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21600" windowHeight="9690" activeTab="7"/>
  </bookViews>
  <sheets>
    <sheet name="基本公式" sheetId="1" r:id="rId1"/>
    <sheet name="兵攻防" sheetId="2" r:id="rId2"/>
    <sheet name="产出与消耗" sheetId="3" r:id="rId3"/>
    <sheet name="建筑消耗" sheetId="4" r:id="rId4"/>
    <sheet name="建筑" sheetId="5" r:id="rId5"/>
    <sheet name="兵消耗" sheetId="6" r:id="rId6"/>
    <sheet name="科技" sheetId="7" r:id="rId7"/>
    <sheet name="武将" sheetId="8" r:id="rId8"/>
    <sheet name="大地图" sheetId="9" r:id="rId9"/>
    <sheet name="其他表格" sheetId="10" r:id="rId10"/>
  </sheets>
  <calcPr calcId="144525"/>
</workbook>
</file>

<file path=xl/calcChain.xml><?xml version="1.0" encoding="utf-8"?>
<calcChain xmlns="http://schemas.openxmlformats.org/spreadsheetml/2006/main">
  <c r="I310" i="8" l="1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H310" i="8"/>
  <c r="G310" i="8"/>
  <c r="H309" i="8"/>
  <c r="G309" i="8"/>
  <c r="H308" i="8"/>
  <c r="G308" i="8"/>
  <c r="H307" i="8"/>
  <c r="G307" i="8"/>
  <c r="H306" i="8"/>
  <c r="G306" i="8"/>
  <c r="H305" i="8"/>
  <c r="G305" i="8"/>
  <c r="H304" i="8"/>
  <c r="G304" i="8"/>
  <c r="H303" i="8"/>
  <c r="G303" i="8"/>
  <c r="H302" i="8"/>
  <c r="G302" i="8"/>
  <c r="H301" i="8"/>
  <c r="G301" i="8"/>
  <c r="H300" i="8"/>
  <c r="G300" i="8"/>
  <c r="H299" i="8"/>
  <c r="G299" i="8"/>
  <c r="H298" i="8"/>
  <c r="G298" i="8"/>
  <c r="H297" i="8"/>
  <c r="G297" i="8"/>
  <c r="H296" i="8"/>
  <c r="G296" i="8"/>
  <c r="H295" i="8"/>
  <c r="G295" i="8"/>
  <c r="H294" i="8"/>
  <c r="G294" i="8"/>
  <c r="H293" i="8"/>
  <c r="G293" i="8"/>
  <c r="H292" i="8"/>
  <c r="G292" i="8"/>
  <c r="H291" i="8"/>
  <c r="G291" i="8"/>
  <c r="H290" i="8"/>
  <c r="G290" i="8"/>
  <c r="H289" i="8"/>
  <c r="G289" i="8"/>
  <c r="H288" i="8"/>
  <c r="G288" i="8"/>
  <c r="H287" i="8"/>
  <c r="G287" i="8"/>
  <c r="I271" i="8"/>
  <c r="G271" i="8"/>
  <c r="H271" i="8"/>
  <c r="I270" i="8"/>
  <c r="H270" i="8"/>
  <c r="G270" i="8"/>
  <c r="G274" i="8"/>
  <c r="G268" i="8"/>
  <c r="G269" i="8"/>
  <c r="G281" i="8"/>
  <c r="G275" i="8"/>
  <c r="G273" i="8"/>
  <c r="G272" i="8"/>
  <c r="I295" i="8"/>
  <c r="I294" i="8"/>
  <c r="I293" i="8"/>
  <c r="I292" i="8"/>
  <c r="I291" i="8"/>
  <c r="I290" i="8"/>
  <c r="I289" i="8"/>
  <c r="I288" i="8"/>
  <c r="I287" i="8"/>
  <c r="I286" i="8"/>
  <c r="H286" i="8"/>
  <c r="G286" i="8"/>
  <c r="I285" i="8"/>
  <c r="H285" i="8"/>
  <c r="G285" i="8"/>
  <c r="I284" i="8"/>
  <c r="H284" i="8"/>
  <c r="G284" i="8"/>
  <c r="I283" i="8"/>
  <c r="H283" i="8"/>
  <c r="G283" i="8"/>
  <c r="I282" i="8"/>
  <c r="H282" i="8"/>
  <c r="G282" i="8"/>
  <c r="I281" i="8"/>
  <c r="H281" i="8"/>
  <c r="I280" i="8"/>
  <c r="H280" i="8"/>
  <c r="G280" i="8"/>
  <c r="I279" i="8"/>
  <c r="H279" i="8"/>
  <c r="G279" i="8"/>
  <c r="I278" i="8"/>
  <c r="H278" i="8"/>
  <c r="G278" i="8"/>
  <c r="I277" i="8"/>
  <c r="H277" i="8"/>
  <c r="G277" i="8"/>
  <c r="I276" i="8"/>
  <c r="H276" i="8"/>
  <c r="G276" i="8"/>
  <c r="I275" i="8"/>
  <c r="H275" i="8"/>
  <c r="I273" i="8"/>
  <c r="H273" i="8"/>
  <c r="I272" i="8"/>
  <c r="H272" i="8"/>
  <c r="I274" i="8"/>
  <c r="H274" i="8"/>
  <c r="I269" i="8"/>
  <c r="H269" i="8"/>
  <c r="I268" i="8"/>
  <c r="H268" i="8"/>
  <c r="I267" i="8"/>
  <c r="H267" i="8"/>
  <c r="G267" i="8"/>
  <c r="I75" i="8"/>
  <c r="G122" i="8" l="1"/>
  <c r="I265" i="8"/>
  <c r="H265" i="8"/>
  <c r="G265" i="8"/>
  <c r="I264" i="8"/>
  <c r="H264" i="8"/>
  <c r="G264" i="8"/>
  <c r="I263" i="8"/>
  <c r="H263" i="8"/>
  <c r="G263" i="8"/>
  <c r="I262" i="8"/>
  <c r="H262" i="8"/>
  <c r="G262" i="8"/>
  <c r="I261" i="8"/>
  <c r="H261" i="8"/>
  <c r="G261" i="8"/>
  <c r="I260" i="8"/>
  <c r="H260" i="8"/>
  <c r="G260" i="8"/>
  <c r="I259" i="8"/>
  <c r="H259" i="8"/>
  <c r="G259" i="8"/>
  <c r="I258" i="8"/>
  <c r="H258" i="8"/>
  <c r="G258" i="8"/>
  <c r="I257" i="8"/>
  <c r="H257" i="8"/>
  <c r="G257" i="8"/>
  <c r="I256" i="8"/>
  <c r="H256" i="8"/>
  <c r="G256" i="8"/>
  <c r="I255" i="8"/>
  <c r="H255" i="8"/>
  <c r="G255" i="8"/>
  <c r="I254" i="8"/>
  <c r="H254" i="8"/>
  <c r="G254" i="8"/>
  <c r="I253" i="8"/>
  <c r="H253" i="8"/>
  <c r="G253" i="8"/>
  <c r="I252" i="8"/>
  <c r="H252" i="8"/>
  <c r="G252" i="8"/>
  <c r="I251" i="8"/>
  <c r="H251" i="8"/>
  <c r="G251" i="8"/>
  <c r="I250" i="8"/>
  <c r="H250" i="8"/>
  <c r="G250" i="8"/>
  <c r="I249" i="8"/>
  <c r="H249" i="8"/>
  <c r="G249" i="8"/>
  <c r="I248" i="8"/>
  <c r="H248" i="8"/>
  <c r="G248" i="8"/>
  <c r="I247" i="8"/>
  <c r="H247" i="8"/>
  <c r="G247" i="8"/>
  <c r="I246" i="8"/>
  <c r="H246" i="8"/>
  <c r="G246" i="8"/>
  <c r="I245" i="8"/>
  <c r="H245" i="8"/>
  <c r="G245" i="8"/>
  <c r="I244" i="8"/>
  <c r="H244" i="8"/>
  <c r="G244" i="8"/>
  <c r="I243" i="8"/>
  <c r="H243" i="8"/>
  <c r="G243" i="8"/>
  <c r="I242" i="8"/>
  <c r="H242" i="8"/>
  <c r="G242" i="8"/>
  <c r="I241" i="8"/>
  <c r="H241" i="8"/>
  <c r="G241" i="8"/>
  <c r="I240" i="8"/>
  <c r="H240" i="8"/>
  <c r="G240" i="8"/>
  <c r="I239" i="8"/>
  <c r="H239" i="8"/>
  <c r="G239" i="8"/>
  <c r="I238" i="8"/>
  <c r="H238" i="8"/>
  <c r="G238" i="8"/>
  <c r="I237" i="8"/>
  <c r="H237" i="8"/>
  <c r="G237" i="8"/>
  <c r="I236" i="8"/>
  <c r="H236" i="8"/>
  <c r="G236" i="8"/>
  <c r="I235" i="8"/>
  <c r="H235" i="8"/>
  <c r="G235" i="8"/>
  <c r="I234" i="8"/>
  <c r="H234" i="8"/>
  <c r="G234" i="8"/>
  <c r="I233" i="8"/>
  <c r="H233" i="8"/>
  <c r="G233" i="8"/>
  <c r="I232" i="8"/>
  <c r="H232" i="8"/>
  <c r="G232" i="8"/>
  <c r="I231" i="8"/>
  <c r="H231" i="8"/>
  <c r="G231" i="8"/>
  <c r="I230" i="8"/>
  <c r="H230" i="8"/>
  <c r="G230" i="8"/>
  <c r="I229" i="8"/>
  <c r="H229" i="8"/>
  <c r="G229" i="8"/>
  <c r="I228" i="8"/>
  <c r="H228" i="8"/>
  <c r="G228" i="8"/>
  <c r="I227" i="8"/>
  <c r="H227" i="8"/>
  <c r="G227" i="8"/>
  <c r="I226" i="8"/>
  <c r="H226" i="8"/>
  <c r="G226" i="8"/>
  <c r="I225" i="8"/>
  <c r="H225" i="8"/>
  <c r="G225" i="8"/>
  <c r="I224" i="8"/>
  <c r="H224" i="8"/>
  <c r="G224" i="8"/>
  <c r="I223" i="8"/>
  <c r="H223" i="8"/>
  <c r="G223" i="8"/>
  <c r="I222" i="8"/>
  <c r="H222" i="8"/>
  <c r="G222" i="8"/>
  <c r="I221" i="8"/>
  <c r="H221" i="8"/>
  <c r="G221" i="8"/>
  <c r="I220" i="8"/>
  <c r="H220" i="8"/>
  <c r="G220" i="8"/>
  <c r="I219" i="8"/>
  <c r="H219" i="8"/>
  <c r="G219" i="8"/>
  <c r="I218" i="8"/>
  <c r="H218" i="8"/>
  <c r="G218" i="8"/>
  <c r="I217" i="8"/>
  <c r="H217" i="8"/>
  <c r="G217" i="8"/>
  <c r="I216" i="8"/>
  <c r="H216" i="8"/>
  <c r="G216" i="8"/>
  <c r="I215" i="8"/>
  <c r="H215" i="8"/>
  <c r="G215" i="8"/>
  <c r="I214" i="8"/>
  <c r="H214" i="8"/>
  <c r="G214" i="8"/>
  <c r="I213" i="8"/>
  <c r="H213" i="8"/>
  <c r="G213" i="8"/>
  <c r="I212" i="8"/>
  <c r="H212" i="8"/>
  <c r="G212" i="8"/>
  <c r="I211" i="8"/>
  <c r="H211" i="8"/>
  <c r="G211" i="8"/>
  <c r="I210" i="8"/>
  <c r="H210" i="8"/>
  <c r="G210" i="8"/>
  <c r="I209" i="8"/>
  <c r="H209" i="8"/>
  <c r="G209" i="8"/>
  <c r="I208" i="8"/>
  <c r="H208" i="8"/>
  <c r="G208" i="8"/>
  <c r="I207" i="8"/>
  <c r="H207" i="8"/>
  <c r="G207" i="8"/>
  <c r="I206" i="8"/>
  <c r="H206" i="8"/>
  <c r="G206" i="8"/>
  <c r="I205" i="8"/>
  <c r="H205" i="8"/>
  <c r="G205" i="8"/>
  <c r="I204" i="8"/>
  <c r="H204" i="8"/>
  <c r="G204" i="8"/>
  <c r="I203" i="8"/>
  <c r="H203" i="8"/>
  <c r="G203" i="8"/>
  <c r="I202" i="8"/>
  <c r="H202" i="8"/>
  <c r="G202" i="8"/>
  <c r="I201" i="8"/>
  <c r="H201" i="8"/>
  <c r="G201" i="8"/>
  <c r="I200" i="8"/>
  <c r="H200" i="8"/>
  <c r="G200" i="8"/>
  <c r="I199" i="8"/>
  <c r="H199" i="8"/>
  <c r="G199" i="8"/>
  <c r="I198" i="8"/>
  <c r="H198" i="8"/>
  <c r="G198" i="8"/>
  <c r="I197" i="8"/>
  <c r="H197" i="8"/>
  <c r="G197" i="8"/>
  <c r="I196" i="8"/>
  <c r="H196" i="8"/>
  <c r="G196" i="8"/>
  <c r="I195" i="8"/>
  <c r="H195" i="8"/>
  <c r="G195" i="8"/>
  <c r="I194" i="8"/>
  <c r="H194" i="8"/>
  <c r="G194" i="8"/>
  <c r="I193" i="8"/>
  <c r="H193" i="8"/>
  <c r="G193" i="8"/>
  <c r="I192" i="8"/>
  <c r="H192" i="8"/>
  <c r="G192" i="8"/>
  <c r="I191" i="8"/>
  <c r="H191" i="8"/>
  <c r="G191" i="8"/>
  <c r="I190" i="8"/>
  <c r="H190" i="8"/>
  <c r="G190" i="8"/>
  <c r="I189" i="8"/>
  <c r="H189" i="8"/>
  <c r="G189" i="8"/>
  <c r="I188" i="8"/>
  <c r="H188" i="8"/>
  <c r="G188" i="8"/>
  <c r="I187" i="8"/>
  <c r="H187" i="8"/>
  <c r="G187" i="8"/>
  <c r="I186" i="8"/>
  <c r="H186" i="8"/>
  <c r="G186" i="8"/>
  <c r="I185" i="8"/>
  <c r="H185" i="8"/>
  <c r="G185" i="8"/>
  <c r="I184" i="8"/>
  <c r="H184" i="8"/>
  <c r="G184" i="8"/>
  <c r="I183" i="8"/>
  <c r="H183" i="8"/>
  <c r="G183" i="8"/>
  <c r="I182" i="8"/>
  <c r="H182" i="8"/>
  <c r="G182" i="8"/>
  <c r="I181" i="8"/>
  <c r="H181" i="8"/>
  <c r="G181" i="8"/>
  <c r="I180" i="8"/>
  <c r="H180" i="8"/>
  <c r="G180" i="8"/>
  <c r="I179" i="8"/>
  <c r="H179" i="8"/>
  <c r="G179" i="8"/>
  <c r="I178" i="8"/>
  <c r="H178" i="8"/>
  <c r="G178" i="8"/>
  <c r="I177" i="8"/>
  <c r="H177" i="8"/>
  <c r="G177" i="8"/>
  <c r="I176" i="8"/>
  <c r="H176" i="8"/>
  <c r="G176" i="8"/>
  <c r="I175" i="8"/>
  <c r="H175" i="8"/>
  <c r="G175" i="8"/>
  <c r="I174" i="8"/>
  <c r="H174" i="8"/>
  <c r="G174" i="8"/>
  <c r="I173" i="8"/>
  <c r="H173" i="8"/>
  <c r="G173" i="8"/>
  <c r="I172" i="8"/>
  <c r="H172" i="8"/>
  <c r="G172" i="8"/>
  <c r="I171" i="8"/>
  <c r="H171" i="8"/>
  <c r="G171" i="8"/>
  <c r="I170" i="8"/>
  <c r="H170" i="8"/>
  <c r="G170" i="8"/>
  <c r="I169" i="8"/>
  <c r="H169" i="8"/>
  <c r="G169" i="8"/>
  <c r="I168" i="8"/>
  <c r="H168" i="8"/>
  <c r="G168" i="8"/>
  <c r="I167" i="8"/>
  <c r="H167" i="8"/>
  <c r="G167" i="8"/>
  <c r="I166" i="8"/>
  <c r="H166" i="8"/>
  <c r="G166" i="8"/>
  <c r="I165" i="8"/>
  <c r="H165" i="8"/>
  <c r="G165" i="8"/>
  <c r="I164" i="8"/>
  <c r="H164" i="8"/>
  <c r="G164" i="8"/>
  <c r="I163" i="8"/>
  <c r="H163" i="8"/>
  <c r="G163" i="8"/>
  <c r="I162" i="8"/>
  <c r="H162" i="8"/>
  <c r="G162" i="8"/>
  <c r="I161" i="8"/>
  <c r="H161" i="8"/>
  <c r="G161" i="8"/>
  <c r="I160" i="8"/>
  <c r="H160" i="8"/>
  <c r="G160" i="8"/>
  <c r="I159" i="8"/>
  <c r="H159" i="8"/>
  <c r="G159" i="8"/>
  <c r="I158" i="8"/>
  <c r="H158" i="8"/>
  <c r="G158" i="8"/>
  <c r="I157" i="8"/>
  <c r="H157" i="8"/>
  <c r="G157" i="8"/>
  <c r="I156" i="8"/>
  <c r="H156" i="8"/>
  <c r="G156" i="8"/>
  <c r="I155" i="8"/>
  <c r="H155" i="8"/>
  <c r="G155" i="8"/>
  <c r="I154" i="8"/>
  <c r="H154" i="8"/>
  <c r="G154" i="8"/>
  <c r="I153" i="8"/>
  <c r="H153" i="8"/>
  <c r="G153" i="8"/>
  <c r="I152" i="8"/>
  <c r="H152" i="8"/>
  <c r="G152" i="8"/>
  <c r="I151" i="8"/>
  <c r="H151" i="8"/>
  <c r="G151" i="8"/>
  <c r="I150" i="8"/>
  <c r="H150" i="8"/>
  <c r="G150" i="8"/>
  <c r="I149" i="8"/>
  <c r="H149" i="8"/>
  <c r="G149" i="8"/>
  <c r="I148" i="8"/>
  <c r="H148" i="8"/>
  <c r="G148" i="8"/>
  <c r="I147" i="8"/>
  <c r="H147" i="8"/>
  <c r="G147" i="8"/>
  <c r="I146" i="8"/>
  <c r="H146" i="8"/>
  <c r="G146" i="8"/>
  <c r="I145" i="8"/>
  <c r="H145" i="8"/>
  <c r="G145" i="8"/>
  <c r="I144" i="8"/>
  <c r="H144" i="8"/>
  <c r="G144" i="8"/>
  <c r="I143" i="8"/>
  <c r="H143" i="8"/>
  <c r="G143" i="8"/>
  <c r="I142" i="8"/>
  <c r="H142" i="8"/>
  <c r="G142" i="8"/>
  <c r="I141" i="8"/>
  <c r="H141" i="8"/>
  <c r="G141" i="8"/>
  <c r="I140" i="8"/>
  <c r="H140" i="8"/>
  <c r="G140" i="8"/>
  <c r="I139" i="8"/>
  <c r="H139" i="8"/>
  <c r="G139" i="8"/>
  <c r="I138" i="8"/>
  <c r="H138" i="8"/>
  <c r="G138" i="8"/>
  <c r="I137" i="8"/>
  <c r="H137" i="8"/>
  <c r="G137" i="8"/>
  <c r="I136" i="8"/>
  <c r="H136" i="8"/>
  <c r="G136" i="8"/>
  <c r="I135" i="8"/>
  <c r="H135" i="8"/>
  <c r="G135" i="8"/>
  <c r="I134" i="8"/>
  <c r="H134" i="8"/>
  <c r="G134" i="8"/>
  <c r="I133" i="8"/>
  <c r="H133" i="8"/>
  <c r="G133" i="8"/>
  <c r="I132" i="8"/>
  <c r="H132" i="8"/>
  <c r="G132" i="8"/>
  <c r="I131" i="8"/>
  <c r="H131" i="8"/>
  <c r="G131" i="8"/>
  <c r="I130" i="8"/>
  <c r="H130" i="8"/>
  <c r="G130" i="8"/>
  <c r="I129" i="8"/>
  <c r="H129" i="8"/>
  <c r="G129" i="8"/>
  <c r="I128" i="8"/>
  <c r="H128" i="8"/>
  <c r="G128" i="8"/>
  <c r="I127" i="8"/>
  <c r="H127" i="8"/>
  <c r="G127" i="8"/>
  <c r="I126" i="8"/>
  <c r="H126" i="8"/>
  <c r="G126" i="8"/>
  <c r="I125" i="8"/>
  <c r="H125" i="8"/>
  <c r="G125" i="8"/>
  <c r="I124" i="8"/>
  <c r="H124" i="8"/>
  <c r="G124" i="8"/>
  <c r="I123" i="8"/>
  <c r="H123" i="8"/>
  <c r="G123" i="8"/>
  <c r="I122" i="8"/>
  <c r="H122" i="8"/>
  <c r="H120" i="8"/>
  <c r="G120" i="8"/>
  <c r="H119" i="8"/>
  <c r="G119" i="8"/>
  <c r="H118" i="8"/>
  <c r="G118" i="8"/>
  <c r="H117" i="8"/>
  <c r="G117" i="8"/>
  <c r="H116" i="8"/>
  <c r="G116" i="8"/>
  <c r="H115" i="8"/>
  <c r="G115" i="8"/>
  <c r="H114" i="8"/>
  <c r="G114" i="8"/>
  <c r="H113" i="8"/>
  <c r="G113" i="8"/>
  <c r="H112" i="8"/>
  <c r="G112" i="8"/>
  <c r="H111" i="8"/>
  <c r="G111" i="8"/>
  <c r="I120" i="8"/>
  <c r="I119" i="8"/>
  <c r="I118" i="8"/>
  <c r="I117" i="8"/>
  <c r="I116" i="8"/>
  <c r="I115" i="8"/>
  <c r="I114" i="8"/>
  <c r="I113" i="8"/>
  <c r="G102" i="8"/>
  <c r="G96" i="8"/>
  <c r="G95" i="8"/>
  <c r="G94" i="8"/>
  <c r="G93" i="8"/>
  <c r="G92" i="8"/>
  <c r="G90" i="8"/>
  <c r="G88" i="8"/>
  <c r="G87" i="8"/>
  <c r="G81" i="8"/>
  <c r="G52" i="8"/>
  <c r="H52" i="8"/>
  <c r="G75" i="8"/>
  <c r="H75" i="8"/>
  <c r="G86" i="8"/>
  <c r="G85" i="8"/>
  <c r="G84" i="8"/>
  <c r="G83" i="8"/>
  <c r="G82" i="8"/>
  <c r="G80" i="8"/>
  <c r="G79" i="8"/>
  <c r="G78" i="8"/>
  <c r="I112" i="8" l="1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H110" i="8"/>
  <c r="G110" i="8"/>
  <c r="H109" i="8"/>
  <c r="G109" i="8"/>
  <c r="H108" i="8"/>
  <c r="G108" i="8"/>
  <c r="H107" i="8"/>
  <c r="G107" i="8"/>
  <c r="H106" i="8"/>
  <c r="G106" i="8"/>
  <c r="H105" i="8"/>
  <c r="G105" i="8"/>
  <c r="H104" i="8"/>
  <c r="G104" i="8"/>
  <c r="H103" i="8"/>
  <c r="G103" i="8"/>
  <c r="H102" i="8"/>
  <c r="H101" i="8"/>
  <c r="G101" i="8"/>
  <c r="H100" i="8"/>
  <c r="G100" i="8"/>
  <c r="H99" i="8"/>
  <c r="G99" i="8"/>
  <c r="H98" i="8"/>
  <c r="G98" i="8"/>
  <c r="H97" i="8"/>
  <c r="G97" i="8"/>
  <c r="H96" i="8"/>
  <c r="H95" i="8"/>
  <c r="H94" i="8"/>
  <c r="H93" i="8"/>
  <c r="H92" i="8"/>
  <c r="H91" i="8"/>
  <c r="G91" i="8"/>
  <c r="H90" i="8"/>
  <c r="H89" i="8"/>
  <c r="G89" i="8"/>
  <c r="H88" i="8"/>
  <c r="H87" i="8"/>
  <c r="H86" i="8"/>
  <c r="H85" i="8"/>
  <c r="H84" i="8"/>
  <c r="H83" i="8"/>
  <c r="H82" i="8"/>
  <c r="H81" i="8"/>
  <c r="H80" i="8"/>
  <c r="H79" i="8"/>
  <c r="H78" i="8"/>
  <c r="G74" i="8" l="1"/>
  <c r="G73" i="8"/>
  <c r="G72" i="8"/>
  <c r="G59" i="8"/>
  <c r="G58" i="8"/>
  <c r="G57" i="8"/>
  <c r="G56" i="8"/>
  <c r="G55" i="8"/>
  <c r="G54" i="8"/>
  <c r="G71" i="8"/>
  <c r="G70" i="8"/>
  <c r="G69" i="8"/>
  <c r="G68" i="8"/>
  <c r="G67" i="8"/>
  <c r="G66" i="8"/>
  <c r="G65" i="8"/>
  <c r="G64" i="8"/>
  <c r="G63" i="8"/>
  <c r="G62" i="8"/>
  <c r="G61" i="8"/>
  <c r="G60" i="8"/>
  <c r="G76" i="8"/>
  <c r="H76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I76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2" i="8"/>
  <c r="H31" i="8"/>
  <c r="H30" i="8"/>
  <c r="H29" i="8"/>
  <c r="H28" i="8"/>
  <c r="H27" i="8"/>
  <c r="H26" i="8"/>
  <c r="H33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2" i="8"/>
  <c r="I31" i="8"/>
  <c r="I30" i="8"/>
  <c r="I29" i="8"/>
  <c r="I28" i="8"/>
  <c r="I27" i="8"/>
  <c r="I26" i="8"/>
  <c r="I33" i="8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12" i="10"/>
  <c r="P11" i="10"/>
  <c r="M11" i="10"/>
  <c r="K11" i="10"/>
  <c r="G11" i="10"/>
  <c r="P10" i="10"/>
  <c r="N10" i="10"/>
  <c r="M10" i="10"/>
  <c r="K10" i="10"/>
  <c r="G10" i="10"/>
  <c r="P9" i="10"/>
  <c r="N9" i="10"/>
  <c r="M9" i="10"/>
  <c r="K9" i="10"/>
  <c r="G9" i="10"/>
  <c r="P8" i="10"/>
  <c r="N8" i="10"/>
  <c r="M8" i="10"/>
  <c r="K8" i="10"/>
  <c r="G8" i="10"/>
  <c r="P7" i="10"/>
  <c r="N7" i="10"/>
  <c r="M7" i="10"/>
  <c r="K7" i="10"/>
  <c r="G7" i="10"/>
  <c r="P6" i="10"/>
  <c r="N6" i="10"/>
  <c r="M6" i="10"/>
  <c r="K6" i="10"/>
  <c r="G6" i="10"/>
  <c r="P5" i="10"/>
  <c r="N5" i="10"/>
  <c r="M5" i="10"/>
  <c r="K5" i="10"/>
  <c r="G5" i="10"/>
  <c r="N4" i="10"/>
  <c r="M4" i="10"/>
  <c r="K4" i="10"/>
  <c r="G4" i="10"/>
  <c r="N3" i="10"/>
  <c r="M3" i="10"/>
  <c r="K3" i="10"/>
  <c r="N2" i="10"/>
  <c r="M2" i="10"/>
  <c r="B23" i="8"/>
  <c r="I22" i="8"/>
  <c r="H22" i="8"/>
  <c r="E22" i="8"/>
  <c r="D22" i="8"/>
  <c r="C22" i="8"/>
  <c r="I21" i="8"/>
  <c r="H21" i="8"/>
  <c r="E21" i="8"/>
  <c r="D21" i="8"/>
  <c r="C21" i="8"/>
  <c r="I20" i="8"/>
  <c r="H20" i="8"/>
  <c r="E20" i="8"/>
  <c r="D20" i="8"/>
  <c r="C20" i="8"/>
  <c r="I19" i="8"/>
  <c r="H19" i="8"/>
  <c r="E19" i="8"/>
  <c r="D19" i="8"/>
  <c r="C19" i="8"/>
  <c r="I18" i="8"/>
  <c r="H18" i="8"/>
  <c r="E18" i="8"/>
  <c r="D18" i="8"/>
  <c r="C18" i="8"/>
  <c r="I17" i="8"/>
  <c r="H17" i="8"/>
  <c r="E17" i="8"/>
  <c r="D17" i="8"/>
  <c r="C17" i="8"/>
  <c r="I16" i="8"/>
  <c r="H16" i="8"/>
  <c r="E16" i="8"/>
  <c r="D16" i="8"/>
  <c r="C16" i="8"/>
  <c r="I15" i="8"/>
  <c r="H15" i="8"/>
  <c r="E15" i="8"/>
  <c r="D15" i="8"/>
  <c r="C15" i="8"/>
  <c r="I14" i="8"/>
  <c r="H14" i="8"/>
  <c r="E14" i="8"/>
  <c r="D14" i="8"/>
  <c r="C14" i="8"/>
  <c r="I13" i="8"/>
  <c r="H13" i="8"/>
  <c r="E13" i="8"/>
  <c r="D13" i="8"/>
  <c r="C13" i="8"/>
  <c r="I12" i="8"/>
  <c r="H12" i="8"/>
  <c r="E12" i="8"/>
  <c r="D12" i="8"/>
  <c r="C12" i="8"/>
  <c r="I11" i="8"/>
  <c r="H11" i="8"/>
  <c r="E11" i="8"/>
  <c r="D11" i="8"/>
  <c r="C11" i="8"/>
  <c r="I10" i="8"/>
  <c r="H10" i="8"/>
  <c r="E10" i="8"/>
  <c r="D10" i="8"/>
  <c r="C10" i="8"/>
  <c r="I9" i="8"/>
  <c r="H9" i="8"/>
  <c r="E9" i="8"/>
  <c r="D9" i="8"/>
  <c r="C9" i="8"/>
  <c r="I8" i="8"/>
  <c r="H8" i="8"/>
  <c r="E8" i="8"/>
  <c r="D8" i="8"/>
  <c r="C8" i="8"/>
  <c r="I7" i="8"/>
  <c r="H7" i="8"/>
  <c r="E7" i="8"/>
  <c r="D7" i="8"/>
  <c r="C7" i="8"/>
  <c r="I6" i="8"/>
  <c r="H6" i="8"/>
  <c r="E6" i="8"/>
  <c r="D6" i="8"/>
  <c r="C6" i="8"/>
  <c r="I5" i="8"/>
  <c r="H5" i="8"/>
  <c r="E5" i="8"/>
  <c r="D5" i="8"/>
  <c r="C5" i="8"/>
  <c r="I4" i="8"/>
  <c r="H4" i="8"/>
  <c r="E4" i="8"/>
  <c r="D4" i="8"/>
  <c r="C4" i="8"/>
  <c r="I3" i="8"/>
  <c r="H3" i="8"/>
  <c r="E3" i="8"/>
  <c r="D3" i="8"/>
  <c r="C3" i="8"/>
  <c r="T252" i="6"/>
  <c r="S252" i="6"/>
  <c r="R252" i="6"/>
  <c r="P252" i="6"/>
  <c r="O252" i="6"/>
  <c r="M252" i="6"/>
  <c r="L252" i="6"/>
  <c r="G252" i="6"/>
  <c r="E252" i="6"/>
  <c r="T251" i="6"/>
  <c r="S251" i="6"/>
  <c r="R251" i="6"/>
  <c r="P251" i="6"/>
  <c r="O251" i="6"/>
  <c r="M251" i="6"/>
  <c r="L251" i="6"/>
  <c r="G251" i="6"/>
  <c r="E251" i="6"/>
  <c r="C251" i="6"/>
  <c r="T250" i="6"/>
  <c r="S250" i="6"/>
  <c r="R250" i="6"/>
  <c r="P250" i="6"/>
  <c r="O250" i="6"/>
  <c r="M250" i="6"/>
  <c r="L250" i="6"/>
  <c r="G250" i="6"/>
  <c r="E250" i="6"/>
  <c r="C250" i="6"/>
  <c r="T249" i="6"/>
  <c r="S249" i="6"/>
  <c r="R249" i="6"/>
  <c r="P249" i="6"/>
  <c r="O249" i="6"/>
  <c r="M249" i="6"/>
  <c r="L249" i="6"/>
  <c r="G249" i="6"/>
  <c r="E249" i="6"/>
  <c r="C249" i="6"/>
  <c r="T248" i="6"/>
  <c r="S248" i="6"/>
  <c r="R248" i="6"/>
  <c r="P248" i="6"/>
  <c r="O248" i="6"/>
  <c r="M248" i="6"/>
  <c r="L248" i="6"/>
  <c r="G248" i="6"/>
  <c r="E248" i="6"/>
  <c r="C248" i="6"/>
  <c r="T247" i="6"/>
  <c r="S247" i="6"/>
  <c r="R247" i="6"/>
  <c r="P247" i="6"/>
  <c r="O247" i="6"/>
  <c r="M247" i="6"/>
  <c r="L247" i="6"/>
  <c r="G247" i="6"/>
  <c r="E247" i="6"/>
  <c r="C247" i="6"/>
  <c r="T246" i="6"/>
  <c r="S246" i="6"/>
  <c r="R246" i="6"/>
  <c r="P246" i="6"/>
  <c r="O246" i="6"/>
  <c r="M246" i="6"/>
  <c r="L246" i="6"/>
  <c r="G246" i="6"/>
  <c r="E246" i="6"/>
  <c r="C246" i="6"/>
  <c r="T245" i="6"/>
  <c r="S245" i="6"/>
  <c r="R245" i="6"/>
  <c r="P245" i="6"/>
  <c r="O245" i="6"/>
  <c r="M245" i="6"/>
  <c r="L245" i="6"/>
  <c r="G245" i="6"/>
  <c r="E245" i="6"/>
  <c r="C245" i="6"/>
  <c r="T244" i="6"/>
  <c r="S244" i="6"/>
  <c r="R244" i="6"/>
  <c r="P244" i="6"/>
  <c r="O244" i="6"/>
  <c r="M244" i="6"/>
  <c r="L244" i="6"/>
  <c r="G244" i="6"/>
  <c r="E244" i="6"/>
  <c r="C244" i="6"/>
  <c r="T243" i="6"/>
  <c r="S243" i="6"/>
  <c r="R243" i="6"/>
  <c r="P243" i="6"/>
  <c r="O243" i="6"/>
  <c r="M243" i="6"/>
  <c r="L243" i="6"/>
  <c r="G243" i="6"/>
  <c r="E243" i="6"/>
  <c r="C243" i="6"/>
  <c r="T242" i="6"/>
  <c r="S242" i="6"/>
  <c r="R242" i="6"/>
  <c r="P242" i="6"/>
  <c r="O242" i="6"/>
  <c r="M242" i="6"/>
  <c r="L242" i="6"/>
  <c r="G242" i="6"/>
  <c r="E242" i="6"/>
  <c r="C242" i="6"/>
  <c r="T241" i="6"/>
  <c r="S241" i="6"/>
  <c r="R241" i="6"/>
  <c r="P241" i="6"/>
  <c r="O241" i="6"/>
  <c r="M241" i="6"/>
  <c r="L241" i="6"/>
  <c r="G241" i="6"/>
  <c r="E241" i="6"/>
  <c r="C241" i="6"/>
  <c r="T240" i="6"/>
  <c r="S240" i="6"/>
  <c r="R240" i="6"/>
  <c r="P240" i="6"/>
  <c r="O240" i="6"/>
  <c r="M240" i="6"/>
  <c r="L240" i="6"/>
  <c r="G240" i="6"/>
  <c r="E240" i="6"/>
  <c r="C240" i="6"/>
  <c r="T239" i="6"/>
  <c r="S239" i="6"/>
  <c r="R239" i="6"/>
  <c r="P239" i="6"/>
  <c r="O239" i="6"/>
  <c r="M239" i="6"/>
  <c r="L239" i="6"/>
  <c r="G239" i="6"/>
  <c r="E239" i="6"/>
  <c r="C239" i="6"/>
  <c r="T238" i="6"/>
  <c r="S238" i="6"/>
  <c r="R238" i="6"/>
  <c r="P238" i="6"/>
  <c r="O238" i="6"/>
  <c r="M238" i="6"/>
  <c r="L238" i="6"/>
  <c r="G238" i="6"/>
  <c r="E238" i="6"/>
  <c r="C238" i="6"/>
  <c r="T237" i="6"/>
  <c r="S237" i="6"/>
  <c r="R237" i="6"/>
  <c r="P237" i="6"/>
  <c r="O237" i="6"/>
  <c r="M237" i="6"/>
  <c r="L237" i="6"/>
  <c r="G237" i="6"/>
  <c r="E237" i="6"/>
  <c r="C237" i="6"/>
  <c r="T236" i="6"/>
  <c r="S236" i="6"/>
  <c r="R236" i="6"/>
  <c r="P236" i="6"/>
  <c r="O236" i="6"/>
  <c r="M236" i="6"/>
  <c r="L236" i="6"/>
  <c r="G236" i="6"/>
  <c r="E236" i="6"/>
  <c r="C236" i="6"/>
  <c r="T235" i="6"/>
  <c r="S235" i="6"/>
  <c r="R235" i="6"/>
  <c r="P235" i="6"/>
  <c r="O235" i="6"/>
  <c r="M235" i="6"/>
  <c r="L235" i="6"/>
  <c r="G235" i="6"/>
  <c r="E235" i="6"/>
  <c r="C235" i="6"/>
  <c r="T234" i="6"/>
  <c r="S234" i="6"/>
  <c r="R234" i="6"/>
  <c r="P234" i="6"/>
  <c r="O234" i="6"/>
  <c r="M234" i="6"/>
  <c r="L234" i="6"/>
  <c r="G234" i="6"/>
  <c r="E234" i="6"/>
  <c r="C234" i="6"/>
  <c r="T233" i="6"/>
  <c r="S233" i="6"/>
  <c r="R233" i="6"/>
  <c r="P233" i="6"/>
  <c r="O233" i="6"/>
  <c r="M233" i="6"/>
  <c r="L233" i="6"/>
  <c r="G233" i="6"/>
  <c r="E233" i="6"/>
  <c r="C233" i="6"/>
  <c r="T231" i="6"/>
  <c r="S231" i="6"/>
  <c r="R231" i="6"/>
  <c r="P231" i="6"/>
  <c r="O231" i="6"/>
  <c r="M231" i="6"/>
  <c r="L231" i="6"/>
  <c r="G231" i="6"/>
  <c r="E231" i="6"/>
  <c r="T230" i="6"/>
  <c r="S230" i="6"/>
  <c r="R230" i="6"/>
  <c r="P230" i="6"/>
  <c r="O230" i="6"/>
  <c r="M230" i="6"/>
  <c r="L230" i="6"/>
  <c r="G230" i="6"/>
  <c r="E230" i="6"/>
  <c r="C230" i="6"/>
  <c r="T229" i="6"/>
  <c r="S229" i="6"/>
  <c r="R229" i="6"/>
  <c r="P229" i="6"/>
  <c r="O229" i="6"/>
  <c r="M229" i="6"/>
  <c r="L229" i="6"/>
  <c r="G229" i="6"/>
  <c r="E229" i="6"/>
  <c r="C229" i="6"/>
  <c r="T228" i="6"/>
  <c r="S228" i="6"/>
  <c r="R228" i="6"/>
  <c r="P228" i="6"/>
  <c r="O228" i="6"/>
  <c r="M228" i="6"/>
  <c r="L228" i="6"/>
  <c r="G228" i="6"/>
  <c r="E228" i="6"/>
  <c r="C228" i="6"/>
  <c r="T227" i="6"/>
  <c r="S227" i="6"/>
  <c r="R227" i="6"/>
  <c r="P227" i="6"/>
  <c r="O227" i="6"/>
  <c r="M227" i="6"/>
  <c r="L227" i="6"/>
  <c r="G227" i="6"/>
  <c r="E227" i="6"/>
  <c r="C227" i="6"/>
  <c r="T226" i="6"/>
  <c r="S226" i="6"/>
  <c r="R226" i="6"/>
  <c r="P226" i="6"/>
  <c r="O226" i="6"/>
  <c r="M226" i="6"/>
  <c r="L226" i="6"/>
  <c r="G226" i="6"/>
  <c r="E226" i="6"/>
  <c r="C226" i="6"/>
  <c r="T225" i="6"/>
  <c r="S225" i="6"/>
  <c r="R225" i="6"/>
  <c r="P225" i="6"/>
  <c r="O225" i="6"/>
  <c r="M225" i="6"/>
  <c r="L225" i="6"/>
  <c r="G225" i="6"/>
  <c r="E225" i="6"/>
  <c r="C225" i="6"/>
  <c r="T224" i="6"/>
  <c r="S224" i="6"/>
  <c r="R224" i="6"/>
  <c r="P224" i="6"/>
  <c r="O224" i="6"/>
  <c r="M224" i="6"/>
  <c r="L224" i="6"/>
  <c r="G224" i="6"/>
  <c r="E224" i="6"/>
  <c r="C224" i="6"/>
  <c r="T223" i="6"/>
  <c r="S223" i="6"/>
  <c r="R223" i="6"/>
  <c r="P223" i="6"/>
  <c r="O223" i="6"/>
  <c r="M223" i="6"/>
  <c r="L223" i="6"/>
  <c r="G223" i="6"/>
  <c r="E223" i="6"/>
  <c r="C223" i="6"/>
  <c r="T222" i="6"/>
  <c r="S222" i="6"/>
  <c r="R222" i="6"/>
  <c r="P222" i="6"/>
  <c r="O222" i="6"/>
  <c r="M222" i="6"/>
  <c r="L222" i="6"/>
  <c r="G222" i="6"/>
  <c r="E222" i="6"/>
  <c r="C222" i="6"/>
  <c r="T221" i="6"/>
  <c r="S221" i="6"/>
  <c r="R221" i="6"/>
  <c r="P221" i="6"/>
  <c r="O221" i="6"/>
  <c r="M221" i="6"/>
  <c r="L221" i="6"/>
  <c r="G221" i="6"/>
  <c r="E221" i="6"/>
  <c r="C221" i="6"/>
  <c r="T220" i="6"/>
  <c r="S220" i="6"/>
  <c r="R220" i="6"/>
  <c r="P220" i="6"/>
  <c r="O220" i="6"/>
  <c r="M220" i="6"/>
  <c r="L220" i="6"/>
  <c r="G220" i="6"/>
  <c r="E220" i="6"/>
  <c r="C220" i="6"/>
  <c r="T219" i="6"/>
  <c r="S219" i="6"/>
  <c r="R219" i="6"/>
  <c r="P219" i="6"/>
  <c r="O219" i="6"/>
  <c r="M219" i="6"/>
  <c r="L219" i="6"/>
  <c r="G219" i="6"/>
  <c r="E219" i="6"/>
  <c r="C219" i="6"/>
  <c r="T218" i="6"/>
  <c r="S218" i="6"/>
  <c r="R218" i="6"/>
  <c r="P218" i="6"/>
  <c r="O218" i="6"/>
  <c r="M218" i="6"/>
  <c r="L218" i="6"/>
  <c r="G218" i="6"/>
  <c r="E218" i="6"/>
  <c r="C218" i="6"/>
  <c r="T217" i="6"/>
  <c r="S217" i="6"/>
  <c r="R217" i="6"/>
  <c r="P217" i="6"/>
  <c r="O217" i="6"/>
  <c r="M217" i="6"/>
  <c r="L217" i="6"/>
  <c r="G217" i="6"/>
  <c r="E217" i="6"/>
  <c r="C217" i="6"/>
  <c r="T216" i="6"/>
  <c r="S216" i="6"/>
  <c r="R216" i="6"/>
  <c r="P216" i="6"/>
  <c r="O216" i="6"/>
  <c r="M216" i="6"/>
  <c r="L216" i="6"/>
  <c r="G216" i="6"/>
  <c r="E216" i="6"/>
  <c r="C216" i="6"/>
  <c r="T215" i="6"/>
  <c r="S215" i="6"/>
  <c r="R215" i="6"/>
  <c r="P215" i="6"/>
  <c r="O215" i="6"/>
  <c r="M215" i="6"/>
  <c r="L215" i="6"/>
  <c r="G215" i="6"/>
  <c r="E215" i="6"/>
  <c r="C215" i="6"/>
  <c r="T214" i="6"/>
  <c r="S214" i="6"/>
  <c r="R214" i="6"/>
  <c r="P214" i="6"/>
  <c r="O214" i="6"/>
  <c r="M214" i="6"/>
  <c r="L214" i="6"/>
  <c r="G214" i="6"/>
  <c r="E214" i="6"/>
  <c r="C214" i="6"/>
  <c r="T213" i="6"/>
  <c r="S213" i="6"/>
  <c r="R213" i="6"/>
  <c r="P213" i="6"/>
  <c r="O213" i="6"/>
  <c r="M213" i="6"/>
  <c r="L213" i="6"/>
  <c r="G213" i="6"/>
  <c r="E213" i="6"/>
  <c r="C213" i="6"/>
  <c r="T212" i="6"/>
  <c r="S212" i="6"/>
  <c r="R212" i="6"/>
  <c r="P212" i="6"/>
  <c r="O212" i="6"/>
  <c r="M212" i="6"/>
  <c r="L212" i="6"/>
  <c r="G212" i="6"/>
  <c r="E212" i="6"/>
  <c r="C212" i="6"/>
  <c r="T210" i="6"/>
  <c r="S210" i="6"/>
  <c r="R210" i="6"/>
  <c r="P210" i="6"/>
  <c r="O210" i="6"/>
  <c r="M210" i="6"/>
  <c r="L210" i="6"/>
  <c r="G210" i="6"/>
  <c r="F210" i="6"/>
  <c r="E210" i="6"/>
  <c r="T209" i="6"/>
  <c r="S209" i="6"/>
  <c r="R209" i="6"/>
  <c r="P209" i="6"/>
  <c r="O209" i="6"/>
  <c r="M209" i="6"/>
  <c r="L209" i="6"/>
  <c r="G209" i="6"/>
  <c r="F209" i="6"/>
  <c r="E209" i="6"/>
  <c r="C209" i="6"/>
  <c r="T208" i="6"/>
  <c r="S208" i="6"/>
  <c r="R208" i="6"/>
  <c r="P208" i="6"/>
  <c r="O208" i="6"/>
  <c r="M208" i="6"/>
  <c r="L208" i="6"/>
  <c r="G208" i="6"/>
  <c r="F208" i="6"/>
  <c r="E208" i="6"/>
  <c r="C208" i="6"/>
  <c r="T207" i="6"/>
  <c r="S207" i="6"/>
  <c r="R207" i="6"/>
  <c r="P207" i="6"/>
  <c r="O207" i="6"/>
  <c r="M207" i="6"/>
  <c r="L207" i="6"/>
  <c r="G207" i="6"/>
  <c r="F207" i="6"/>
  <c r="E207" i="6"/>
  <c r="C207" i="6"/>
  <c r="T206" i="6"/>
  <c r="S206" i="6"/>
  <c r="R206" i="6"/>
  <c r="P206" i="6"/>
  <c r="O206" i="6"/>
  <c r="M206" i="6"/>
  <c r="L206" i="6"/>
  <c r="G206" i="6"/>
  <c r="F206" i="6"/>
  <c r="E206" i="6"/>
  <c r="C206" i="6"/>
  <c r="T205" i="6"/>
  <c r="S205" i="6"/>
  <c r="R205" i="6"/>
  <c r="P205" i="6"/>
  <c r="O205" i="6"/>
  <c r="M205" i="6"/>
  <c r="L205" i="6"/>
  <c r="G205" i="6"/>
  <c r="F205" i="6"/>
  <c r="E205" i="6"/>
  <c r="C205" i="6"/>
  <c r="T204" i="6"/>
  <c r="S204" i="6"/>
  <c r="R204" i="6"/>
  <c r="P204" i="6"/>
  <c r="O204" i="6"/>
  <c r="M204" i="6"/>
  <c r="L204" i="6"/>
  <c r="G204" i="6"/>
  <c r="F204" i="6"/>
  <c r="E204" i="6"/>
  <c r="C204" i="6"/>
  <c r="T203" i="6"/>
  <c r="S203" i="6"/>
  <c r="R203" i="6"/>
  <c r="P203" i="6"/>
  <c r="O203" i="6"/>
  <c r="M203" i="6"/>
  <c r="L203" i="6"/>
  <c r="G203" i="6"/>
  <c r="F203" i="6"/>
  <c r="E203" i="6"/>
  <c r="C203" i="6"/>
  <c r="T202" i="6"/>
  <c r="S202" i="6"/>
  <c r="R202" i="6"/>
  <c r="P202" i="6"/>
  <c r="O202" i="6"/>
  <c r="M202" i="6"/>
  <c r="L202" i="6"/>
  <c r="G202" i="6"/>
  <c r="F202" i="6"/>
  <c r="E202" i="6"/>
  <c r="C202" i="6"/>
  <c r="T201" i="6"/>
  <c r="S201" i="6"/>
  <c r="R201" i="6"/>
  <c r="P201" i="6"/>
  <c r="O201" i="6"/>
  <c r="M201" i="6"/>
  <c r="L201" i="6"/>
  <c r="G201" i="6"/>
  <c r="F201" i="6"/>
  <c r="E201" i="6"/>
  <c r="C201" i="6"/>
  <c r="T200" i="6"/>
  <c r="S200" i="6"/>
  <c r="R200" i="6"/>
  <c r="P200" i="6"/>
  <c r="O200" i="6"/>
  <c r="M200" i="6"/>
  <c r="L200" i="6"/>
  <c r="G200" i="6"/>
  <c r="F200" i="6"/>
  <c r="E200" i="6"/>
  <c r="C200" i="6"/>
  <c r="T199" i="6"/>
  <c r="S199" i="6"/>
  <c r="R199" i="6"/>
  <c r="P199" i="6"/>
  <c r="O199" i="6"/>
  <c r="M199" i="6"/>
  <c r="L199" i="6"/>
  <c r="G199" i="6"/>
  <c r="F199" i="6"/>
  <c r="E199" i="6"/>
  <c r="C199" i="6"/>
  <c r="T198" i="6"/>
  <c r="S198" i="6"/>
  <c r="R198" i="6"/>
  <c r="P198" i="6"/>
  <c r="O198" i="6"/>
  <c r="M198" i="6"/>
  <c r="L198" i="6"/>
  <c r="G198" i="6"/>
  <c r="F198" i="6"/>
  <c r="E198" i="6"/>
  <c r="C198" i="6"/>
  <c r="T197" i="6"/>
  <c r="S197" i="6"/>
  <c r="R197" i="6"/>
  <c r="P197" i="6"/>
  <c r="O197" i="6"/>
  <c r="M197" i="6"/>
  <c r="L197" i="6"/>
  <c r="G197" i="6"/>
  <c r="F197" i="6"/>
  <c r="E197" i="6"/>
  <c r="C197" i="6"/>
  <c r="T196" i="6"/>
  <c r="S196" i="6"/>
  <c r="R196" i="6"/>
  <c r="P196" i="6"/>
  <c r="O196" i="6"/>
  <c r="M196" i="6"/>
  <c r="L196" i="6"/>
  <c r="G196" i="6"/>
  <c r="F196" i="6"/>
  <c r="E196" i="6"/>
  <c r="C196" i="6"/>
  <c r="T195" i="6"/>
  <c r="S195" i="6"/>
  <c r="R195" i="6"/>
  <c r="P195" i="6"/>
  <c r="O195" i="6"/>
  <c r="M195" i="6"/>
  <c r="L195" i="6"/>
  <c r="G195" i="6"/>
  <c r="F195" i="6"/>
  <c r="E195" i="6"/>
  <c r="C195" i="6"/>
  <c r="T194" i="6"/>
  <c r="S194" i="6"/>
  <c r="R194" i="6"/>
  <c r="P194" i="6"/>
  <c r="O194" i="6"/>
  <c r="M194" i="6"/>
  <c r="L194" i="6"/>
  <c r="G194" i="6"/>
  <c r="F194" i="6"/>
  <c r="E194" i="6"/>
  <c r="C194" i="6"/>
  <c r="T193" i="6"/>
  <c r="S193" i="6"/>
  <c r="R193" i="6"/>
  <c r="P193" i="6"/>
  <c r="O193" i="6"/>
  <c r="M193" i="6"/>
  <c r="L193" i="6"/>
  <c r="G193" i="6"/>
  <c r="F193" i="6"/>
  <c r="E193" i="6"/>
  <c r="C193" i="6"/>
  <c r="T192" i="6"/>
  <c r="S192" i="6"/>
  <c r="R192" i="6"/>
  <c r="P192" i="6"/>
  <c r="O192" i="6"/>
  <c r="M192" i="6"/>
  <c r="L192" i="6"/>
  <c r="G192" i="6"/>
  <c r="F192" i="6"/>
  <c r="E192" i="6"/>
  <c r="C192" i="6"/>
  <c r="T191" i="6"/>
  <c r="S191" i="6"/>
  <c r="R191" i="6"/>
  <c r="P191" i="6"/>
  <c r="O191" i="6"/>
  <c r="M191" i="6"/>
  <c r="L191" i="6"/>
  <c r="G191" i="6"/>
  <c r="F191" i="6"/>
  <c r="E191" i="6"/>
  <c r="C191" i="6"/>
  <c r="T189" i="6"/>
  <c r="S189" i="6"/>
  <c r="R189" i="6"/>
  <c r="P189" i="6"/>
  <c r="O189" i="6"/>
  <c r="M189" i="6"/>
  <c r="L189" i="6"/>
  <c r="G189" i="6"/>
  <c r="E189" i="6"/>
  <c r="T188" i="6"/>
  <c r="S188" i="6"/>
  <c r="R188" i="6"/>
  <c r="P188" i="6"/>
  <c r="O188" i="6"/>
  <c r="M188" i="6"/>
  <c r="L188" i="6"/>
  <c r="G188" i="6"/>
  <c r="E188" i="6"/>
  <c r="C188" i="6"/>
  <c r="T187" i="6"/>
  <c r="S187" i="6"/>
  <c r="R187" i="6"/>
  <c r="P187" i="6"/>
  <c r="O187" i="6"/>
  <c r="M187" i="6"/>
  <c r="L187" i="6"/>
  <c r="G187" i="6"/>
  <c r="E187" i="6"/>
  <c r="C187" i="6"/>
  <c r="T186" i="6"/>
  <c r="S186" i="6"/>
  <c r="R186" i="6"/>
  <c r="P186" i="6"/>
  <c r="O186" i="6"/>
  <c r="M186" i="6"/>
  <c r="L186" i="6"/>
  <c r="G186" i="6"/>
  <c r="E186" i="6"/>
  <c r="C186" i="6"/>
  <c r="T185" i="6"/>
  <c r="S185" i="6"/>
  <c r="R185" i="6"/>
  <c r="P185" i="6"/>
  <c r="O185" i="6"/>
  <c r="M185" i="6"/>
  <c r="L185" i="6"/>
  <c r="G185" i="6"/>
  <c r="E185" i="6"/>
  <c r="C185" i="6"/>
  <c r="T184" i="6"/>
  <c r="S184" i="6"/>
  <c r="R184" i="6"/>
  <c r="P184" i="6"/>
  <c r="O184" i="6"/>
  <c r="M184" i="6"/>
  <c r="L184" i="6"/>
  <c r="G184" i="6"/>
  <c r="E184" i="6"/>
  <c r="C184" i="6"/>
  <c r="T183" i="6"/>
  <c r="S183" i="6"/>
  <c r="R183" i="6"/>
  <c r="P183" i="6"/>
  <c r="O183" i="6"/>
  <c r="M183" i="6"/>
  <c r="L183" i="6"/>
  <c r="G183" i="6"/>
  <c r="E183" i="6"/>
  <c r="C183" i="6"/>
  <c r="T182" i="6"/>
  <c r="S182" i="6"/>
  <c r="R182" i="6"/>
  <c r="P182" i="6"/>
  <c r="O182" i="6"/>
  <c r="M182" i="6"/>
  <c r="L182" i="6"/>
  <c r="G182" i="6"/>
  <c r="E182" i="6"/>
  <c r="C182" i="6"/>
  <c r="T181" i="6"/>
  <c r="S181" i="6"/>
  <c r="R181" i="6"/>
  <c r="P181" i="6"/>
  <c r="O181" i="6"/>
  <c r="M181" i="6"/>
  <c r="L181" i="6"/>
  <c r="G181" i="6"/>
  <c r="E181" i="6"/>
  <c r="C181" i="6"/>
  <c r="T180" i="6"/>
  <c r="S180" i="6"/>
  <c r="R180" i="6"/>
  <c r="P180" i="6"/>
  <c r="O180" i="6"/>
  <c r="M180" i="6"/>
  <c r="L180" i="6"/>
  <c r="G180" i="6"/>
  <c r="E180" i="6"/>
  <c r="C180" i="6"/>
  <c r="T179" i="6"/>
  <c r="S179" i="6"/>
  <c r="R179" i="6"/>
  <c r="P179" i="6"/>
  <c r="O179" i="6"/>
  <c r="M179" i="6"/>
  <c r="L179" i="6"/>
  <c r="G179" i="6"/>
  <c r="E179" i="6"/>
  <c r="C179" i="6"/>
  <c r="T178" i="6"/>
  <c r="S178" i="6"/>
  <c r="R178" i="6"/>
  <c r="P178" i="6"/>
  <c r="O178" i="6"/>
  <c r="M178" i="6"/>
  <c r="L178" i="6"/>
  <c r="G178" i="6"/>
  <c r="E178" i="6"/>
  <c r="C178" i="6"/>
  <c r="T177" i="6"/>
  <c r="S177" i="6"/>
  <c r="R177" i="6"/>
  <c r="P177" i="6"/>
  <c r="O177" i="6"/>
  <c r="M177" i="6"/>
  <c r="L177" i="6"/>
  <c r="G177" i="6"/>
  <c r="E177" i="6"/>
  <c r="C177" i="6"/>
  <c r="T176" i="6"/>
  <c r="S176" i="6"/>
  <c r="R176" i="6"/>
  <c r="P176" i="6"/>
  <c r="O176" i="6"/>
  <c r="M176" i="6"/>
  <c r="L176" i="6"/>
  <c r="G176" i="6"/>
  <c r="E176" i="6"/>
  <c r="C176" i="6"/>
  <c r="T175" i="6"/>
  <c r="S175" i="6"/>
  <c r="R175" i="6"/>
  <c r="P175" i="6"/>
  <c r="O175" i="6"/>
  <c r="M175" i="6"/>
  <c r="L175" i="6"/>
  <c r="G175" i="6"/>
  <c r="E175" i="6"/>
  <c r="C175" i="6"/>
  <c r="T174" i="6"/>
  <c r="S174" i="6"/>
  <c r="R174" i="6"/>
  <c r="P174" i="6"/>
  <c r="O174" i="6"/>
  <c r="M174" i="6"/>
  <c r="L174" i="6"/>
  <c r="G174" i="6"/>
  <c r="E174" i="6"/>
  <c r="C174" i="6"/>
  <c r="T173" i="6"/>
  <c r="S173" i="6"/>
  <c r="R173" i="6"/>
  <c r="P173" i="6"/>
  <c r="O173" i="6"/>
  <c r="M173" i="6"/>
  <c r="L173" i="6"/>
  <c r="G173" i="6"/>
  <c r="E173" i="6"/>
  <c r="C173" i="6"/>
  <c r="T172" i="6"/>
  <c r="S172" i="6"/>
  <c r="R172" i="6"/>
  <c r="P172" i="6"/>
  <c r="O172" i="6"/>
  <c r="M172" i="6"/>
  <c r="L172" i="6"/>
  <c r="G172" i="6"/>
  <c r="E172" i="6"/>
  <c r="C172" i="6"/>
  <c r="T171" i="6"/>
  <c r="S171" i="6"/>
  <c r="R171" i="6"/>
  <c r="P171" i="6"/>
  <c r="O171" i="6"/>
  <c r="M171" i="6"/>
  <c r="L171" i="6"/>
  <c r="G171" i="6"/>
  <c r="E171" i="6"/>
  <c r="C171" i="6"/>
  <c r="T170" i="6"/>
  <c r="S170" i="6"/>
  <c r="R170" i="6"/>
  <c r="P170" i="6"/>
  <c r="O170" i="6"/>
  <c r="M170" i="6"/>
  <c r="L170" i="6"/>
  <c r="G170" i="6"/>
  <c r="E170" i="6"/>
  <c r="C170" i="6"/>
  <c r="T168" i="6"/>
  <c r="S168" i="6"/>
  <c r="R168" i="6"/>
  <c r="P168" i="6"/>
  <c r="O168" i="6"/>
  <c r="M168" i="6"/>
  <c r="L168" i="6"/>
  <c r="G168" i="6"/>
  <c r="E168" i="6"/>
  <c r="T167" i="6"/>
  <c r="S167" i="6"/>
  <c r="R167" i="6"/>
  <c r="P167" i="6"/>
  <c r="O167" i="6"/>
  <c r="M167" i="6"/>
  <c r="L167" i="6"/>
  <c r="G167" i="6"/>
  <c r="E167" i="6"/>
  <c r="C167" i="6"/>
  <c r="T166" i="6"/>
  <c r="S166" i="6"/>
  <c r="R166" i="6"/>
  <c r="P166" i="6"/>
  <c r="O166" i="6"/>
  <c r="M166" i="6"/>
  <c r="L166" i="6"/>
  <c r="G166" i="6"/>
  <c r="E166" i="6"/>
  <c r="C166" i="6"/>
  <c r="T165" i="6"/>
  <c r="S165" i="6"/>
  <c r="R165" i="6"/>
  <c r="P165" i="6"/>
  <c r="O165" i="6"/>
  <c r="M165" i="6"/>
  <c r="L165" i="6"/>
  <c r="G165" i="6"/>
  <c r="E165" i="6"/>
  <c r="C165" i="6"/>
  <c r="T164" i="6"/>
  <c r="S164" i="6"/>
  <c r="R164" i="6"/>
  <c r="P164" i="6"/>
  <c r="O164" i="6"/>
  <c r="M164" i="6"/>
  <c r="L164" i="6"/>
  <c r="G164" i="6"/>
  <c r="E164" i="6"/>
  <c r="C164" i="6"/>
  <c r="T163" i="6"/>
  <c r="S163" i="6"/>
  <c r="R163" i="6"/>
  <c r="P163" i="6"/>
  <c r="O163" i="6"/>
  <c r="M163" i="6"/>
  <c r="L163" i="6"/>
  <c r="G163" i="6"/>
  <c r="E163" i="6"/>
  <c r="C163" i="6"/>
  <c r="T162" i="6"/>
  <c r="S162" i="6"/>
  <c r="R162" i="6"/>
  <c r="P162" i="6"/>
  <c r="O162" i="6"/>
  <c r="M162" i="6"/>
  <c r="L162" i="6"/>
  <c r="G162" i="6"/>
  <c r="E162" i="6"/>
  <c r="C162" i="6"/>
  <c r="T161" i="6"/>
  <c r="S161" i="6"/>
  <c r="R161" i="6"/>
  <c r="P161" i="6"/>
  <c r="O161" i="6"/>
  <c r="M161" i="6"/>
  <c r="L161" i="6"/>
  <c r="G161" i="6"/>
  <c r="E161" i="6"/>
  <c r="C161" i="6"/>
  <c r="T160" i="6"/>
  <c r="S160" i="6"/>
  <c r="R160" i="6"/>
  <c r="P160" i="6"/>
  <c r="O160" i="6"/>
  <c r="M160" i="6"/>
  <c r="L160" i="6"/>
  <c r="G160" i="6"/>
  <c r="E160" i="6"/>
  <c r="C160" i="6"/>
  <c r="T159" i="6"/>
  <c r="S159" i="6"/>
  <c r="R159" i="6"/>
  <c r="P159" i="6"/>
  <c r="O159" i="6"/>
  <c r="M159" i="6"/>
  <c r="L159" i="6"/>
  <c r="G159" i="6"/>
  <c r="E159" i="6"/>
  <c r="C159" i="6"/>
  <c r="T158" i="6"/>
  <c r="S158" i="6"/>
  <c r="R158" i="6"/>
  <c r="P158" i="6"/>
  <c r="O158" i="6"/>
  <c r="M158" i="6"/>
  <c r="L158" i="6"/>
  <c r="G158" i="6"/>
  <c r="E158" i="6"/>
  <c r="C158" i="6"/>
  <c r="T157" i="6"/>
  <c r="S157" i="6"/>
  <c r="R157" i="6"/>
  <c r="P157" i="6"/>
  <c r="O157" i="6"/>
  <c r="M157" i="6"/>
  <c r="L157" i="6"/>
  <c r="G157" i="6"/>
  <c r="E157" i="6"/>
  <c r="C157" i="6"/>
  <c r="T156" i="6"/>
  <c r="S156" i="6"/>
  <c r="R156" i="6"/>
  <c r="P156" i="6"/>
  <c r="O156" i="6"/>
  <c r="M156" i="6"/>
  <c r="L156" i="6"/>
  <c r="G156" i="6"/>
  <c r="E156" i="6"/>
  <c r="C156" i="6"/>
  <c r="T155" i="6"/>
  <c r="S155" i="6"/>
  <c r="R155" i="6"/>
  <c r="P155" i="6"/>
  <c r="O155" i="6"/>
  <c r="M155" i="6"/>
  <c r="L155" i="6"/>
  <c r="G155" i="6"/>
  <c r="E155" i="6"/>
  <c r="C155" i="6"/>
  <c r="T154" i="6"/>
  <c r="S154" i="6"/>
  <c r="R154" i="6"/>
  <c r="P154" i="6"/>
  <c r="O154" i="6"/>
  <c r="M154" i="6"/>
  <c r="L154" i="6"/>
  <c r="G154" i="6"/>
  <c r="E154" i="6"/>
  <c r="C154" i="6"/>
  <c r="T153" i="6"/>
  <c r="S153" i="6"/>
  <c r="R153" i="6"/>
  <c r="P153" i="6"/>
  <c r="O153" i="6"/>
  <c r="M153" i="6"/>
  <c r="L153" i="6"/>
  <c r="G153" i="6"/>
  <c r="E153" i="6"/>
  <c r="C153" i="6"/>
  <c r="T152" i="6"/>
  <c r="S152" i="6"/>
  <c r="R152" i="6"/>
  <c r="P152" i="6"/>
  <c r="O152" i="6"/>
  <c r="M152" i="6"/>
  <c r="L152" i="6"/>
  <c r="G152" i="6"/>
  <c r="E152" i="6"/>
  <c r="C152" i="6"/>
  <c r="T151" i="6"/>
  <c r="S151" i="6"/>
  <c r="R151" i="6"/>
  <c r="P151" i="6"/>
  <c r="O151" i="6"/>
  <c r="M151" i="6"/>
  <c r="L151" i="6"/>
  <c r="G151" i="6"/>
  <c r="E151" i="6"/>
  <c r="C151" i="6"/>
  <c r="T150" i="6"/>
  <c r="S150" i="6"/>
  <c r="R150" i="6"/>
  <c r="P150" i="6"/>
  <c r="O150" i="6"/>
  <c r="M150" i="6"/>
  <c r="L150" i="6"/>
  <c r="G150" i="6"/>
  <c r="E150" i="6"/>
  <c r="C150" i="6"/>
  <c r="T149" i="6"/>
  <c r="S149" i="6"/>
  <c r="R149" i="6"/>
  <c r="P149" i="6"/>
  <c r="O149" i="6"/>
  <c r="M149" i="6"/>
  <c r="L149" i="6"/>
  <c r="G149" i="6"/>
  <c r="E149" i="6"/>
  <c r="C149" i="6"/>
  <c r="T147" i="6"/>
  <c r="S147" i="6"/>
  <c r="R147" i="6"/>
  <c r="P147" i="6"/>
  <c r="O147" i="6"/>
  <c r="M147" i="6"/>
  <c r="L147" i="6"/>
  <c r="G147" i="6"/>
  <c r="F147" i="6"/>
  <c r="E147" i="6"/>
  <c r="T146" i="6"/>
  <c r="S146" i="6"/>
  <c r="R146" i="6"/>
  <c r="P146" i="6"/>
  <c r="O146" i="6"/>
  <c r="M146" i="6"/>
  <c r="L146" i="6"/>
  <c r="G146" i="6"/>
  <c r="F146" i="6"/>
  <c r="E146" i="6"/>
  <c r="C146" i="6"/>
  <c r="T145" i="6"/>
  <c r="S145" i="6"/>
  <c r="R145" i="6"/>
  <c r="P145" i="6"/>
  <c r="O145" i="6"/>
  <c r="M145" i="6"/>
  <c r="L145" i="6"/>
  <c r="G145" i="6"/>
  <c r="F145" i="6"/>
  <c r="E145" i="6"/>
  <c r="C145" i="6"/>
  <c r="T144" i="6"/>
  <c r="S144" i="6"/>
  <c r="R144" i="6"/>
  <c r="P144" i="6"/>
  <c r="O144" i="6"/>
  <c r="M144" i="6"/>
  <c r="L144" i="6"/>
  <c r="G144" i="6"/>
  <c r="F144" i="6"/>
  <c r="E144" i="6"/>
  <c r="C144" i="6"/>
  <c r="T143" i="6"/>
  <c r="S143" i="6"/>
  <c r="R143" i="6"/>
  <c r="P143" i="6"/>
  <c r="O143" i="6"/>
  <c r="M143" i="6"/>
  <c r="L143" i="6"/>
  <c r="G143" i="6"/>
  <c r="F143" i="6"/>
  <c r="E143" i="6"/>
  <c r="C143" i="6"/>
  <c r="T142" i="6"/>
  <c r="S142" i="6"/>
  <c r="R142" i="6"/>
  <c r="P142" i="6"/>
  <c r="O142" i="6"/>
  <c r="M142" i="6"/>
  <c r="L142" i="6"/>
  <c r="G142" i="6"/>
  <c r="F142" i="6"/>
  <c r="E142" i="6"/>
  <c r="C142" i="6"/>
  <c r="T141" i="6"/>
  <c r="S141" i="6"/>
  <c r="R141" i="6"/>
  <c r="P141" i="6"/>
  <c r="O141" i="6"/>
  <c r="M141" i="6"/>
  <c r="L141" i="6"/>
  <c r="G141" i="6"/>
  <c r="F141" i="6"/>
  <c r="E141" i="6"/>
  <c r="C141" i="6"/>
  <c r="T140" i="6"/>
  <c r="S140" i="6"/>
  <c r="R140" i="6"/>
  <c r="P140" i="6"/>
  <c r="O140" i="6"/>
  <c r="M140" i="6"/>
  <c r="L140" i="6"/>
  <c r="G140" i="6"/>
  <c r="F140" i="6"/>
  <c r="E140" i="6"/>
  <c r="C140" i="6"/>
  <c r="T139" i="6"/>
  <c r="S139" i="6"/>
  <c r="R139" i="6"/>
  <c r="P139" i="6"/>
  <c r="O139" i="6"/>
  <c r="M139" i="6"/>
  <c r="L139" i="6"/>
  <c r="G139" i="6"/>
  <c r="F139" i="6"/>
  <c r="E139" i="6"/>
  <c r="C139" i="6"/>
  <c r="T138" i="6"/>
  <c r="S138" i="6"/>
  <c r="R138" i="6"/>
  <c r="P138" i="6"/>
  <c r="O138" i="6"/>
  <c r="M138" i="6"/>
  <c r="L138" i="6"/>
  <c r="G138" i="6"/>
  <c r="F138" i="6"/>
  <c r="E138" i="6"/>
  <c r="C138" i="6"/>
  <c r="T137" i="6"/>
  <c r="S137" i="6"/>
  <c r="R137" i="6"/>
  <c r="P137" i="6"/>
  <c r="O137" i="6"/>
  <c r="M137" i="6"/>
  <c r="L137" i="6"/>
  <c r="G137" i="6"/>
  <c r="F137" i="6"/>
  <c r="E137" i="6"/>
  <c r="C137" i="6"/>
  <c r="T136" i="6"/>
  <c r="S136" i="6"/>
  <c r="R136" i="6"/>
  <c r="P136" i="6"/>
  <c r="O136" i="6"/>
  <c r="M136" i="6"/>
  <c r="L136" i="6"/>
  <c r="G136" i="6"/>
  <c r="F136" i="6"/>
  <c r="E136" i="6"/>
  <c r="C136" i="6"/>
  <c r="T135" i="6"/>
  <c r="S135" i="6"/>
  <c r="R135" i="6"/>
  <c r="P135" i="6"/>
  <c r="O135" i="6"/>
  <c r="M135" i="6"/>
  <c r="L135" i="6"/>
  <c r="G135" i="6"/>
  <c r="F135" i="6"/>
  <c r="E135" i="6"/>
  <c r="C135" i="6"/>
  <c r="T134" i="6"/>
  <c r="S134" i="6"/>
  <c r="R134" i="6"/>
  <c r="P134" i="6"/>
  <c r="O134" i="6"/>
  <c r="M134" i="6"/>
  <c r="L134" i="6"/>
  <c r="G134" i="6"/>
  <c r="F134" i="6"/>
  <c r="E134" i="6"/>
  <c r="C134" i="6"/>
  <c r="T133" i="6"/>
  <c r="S133" i="6"/>
  <c r="R133" i="6"/>
  <c r="P133" i="6"/>
  <c r="O133" i="6"/>
  <c r="M133" i="6"/>
  <c r="L133" i="6"/>
  <c r="G133" i="6"/>
  <c r="F133" i="6"/>
  <c r="E133" i="6"/>
  <c r="C133" i="6"/>
  <c r="T132" i="6"/>
  <c r="S132" i="6"/>
  <c r="R132" i="6"/>
  <c r="P132" i="6"/>
  <c r="O132" i="6"/>
  <c r="M132" i="6"/>
  <c r="L132" i="6"/>
  <c r="G132" i="6"/>
  <c r="F132" i="6"/>
  <c r="E132" i="6"/>
  <c r="C132" i="6"/>
  <c r="T131" i="6"/>
  <c r="S131" i="6"/>
  <c r="R131" i="6"/>
  <c r="P131" i="6"/>
  <c r="O131" i="6"/>
  <c r="M131" i="6"/>
  <c r="L131" i="6"/>
  <c r="G131" i="6"/>
  <c r="F131" i="6"/>
  <c r="E131" i="6"/>
  <c r="C131" i="6"/>
  <c r="T130" i="6"/>
  <c r="S130" i="6"/>
  <c r="R130" i="6"/>
  <c r="P130" i="6"/>
  <c r="O130" i="6"/>
  <c r="M130" i="6"/>
  <c r="L130" i="6"/>
  <c r="G130" i="6"/>
  <c r="F130" i="6"/>
  <c r="E130" i="6"/>
  <c r="C130" i="6"/>
  <c r="T129" i="6"/>
  <c r="S129" i="6"/>
  <c r="R129" i="6"/>
  <c r="P129" i="6"/>
  <c r="O129" i="6"/>
  <c r="M129" i="6"/>
  <c r="L129" i="6"/>
  <c r="G129" i="6"/>
  <c r="F129" i="6"/>
  <c r="E129" i="6"/>
  <c r="C129" i="6"/>
  <c r="T128" i="6"/>
  <c r="S128" i="6"/>
  <c r="R128" i="6"/>
  <c r="P128" i="6"/>
  <c r="O128" i="6"/>
  <c r="M128" i="6"/>
  <c r="L128" i="6"/>
  <c r="G128" i="6"/>
  <c r="F128" i="6"/>
  <c r="E128" i="6"/>
  <c r="C128" i="6"/>
  <c r="T126" i="6"/>
  <c r="S126" i="6"/>
  <c r="R126" i="6"/>
  <c r="P126" i="6"/>
  <c r="O126" i="6"/>
  <c r="M126" i="6"/>
  <c r="L126" i="6"/>
  <c r="G126" i="6"/>
  <c r="F126" i="6"/>
  <c r="E126" i="6"/>
  <c r="T125" i="6"/>
  <c r="S125" i="6"/>
  <c r="R125" i="6"/>
  <c r="P125" i="6"/>
  <c r="O125" i="6"/>
  <c r="M125" i="6"/>
  <c r="L125" i="6"/>
  <c r="G125" i="6"/>
  <c r="F125" i="6"/>
  <c r="E125" i="6"/>
  <c r="C125" i="6"/>
  <c r="T124" i="6"/>
  <c r="S124" i="6"/>
  <c r="R124" i="6"/>
  <c r="P124" i="6"/>
  <c r="O124" i="6"/>
  <c r="M124" i="6"/>
  <c r="L124" i="6"/>
  <c r="G124" i="6"/>
  <c r="F124" i="6"/>
  <c r="E124" i="6"/>
  <c r="C124" i="6"/>
  <c r="T123" i="6"/>
  <c r="S123" i="6"/>
  <c r="R123" i="6"/>
  <c r="P123" i="6"/>
  <c r="O123" i="6"/>
  <c r="M123" i="6"/>
  <c r="L123" i="6"/>
  <c r="G123" i="6"/>
  <c r="F123" i="6"/>
  <c r="E123" i="6"/>
  <c r="C123" i="6"/>
  <c r="T122" i="6"/>
  <c r="S122" i="6"/>
  <c r="R122" i="6"/>
  <c r="P122" i="6"/>
  <c r="O122" i="6"/>
  <c r="M122" i="6"/>
  <c r="L122" i="6"/>
  <c r="G122" i="6"/>
  <c r="F122" i="6"/>
  <c r="E122" i="6"/>
  <c r="C122" i="6"/>
  <c r="T121" i="6"/>
  <c r="S121" i="6"/>
  <c r="R121" i="6"/>
  <c r="P121" i="6"/>
  <c r="O121" i="6"/>
  <c r="M121" i="6"/>
  <c r="L121" i="6"/>
  <c r="G121" i="6"/>
  <c r="F121" i="6"/>
  <c r="E121" i="6"/>
  <c r="C121" i="6"/>
  <c r="T120" i="6"/>
  <c r="S120" i="6"/>
  <c r="R120" i="6"/>
  <c r="P120" i="6"/>
  <c r="O120" i="6"/>
  <c r="M120" i="6"/>
  <c r="L120" i="6"/>
  <c r="G120" i="6"/>
  <c r="F120" i="6"/>
  <c r="E120" i="6"/>
  <c r="C120" i="6"/>
  <c r="T119" i="6"/>
  <c r="S119" i="6"/>
  <c r="R119" i="6"/>
  <c r="P119" i="6"/>
  <c r="O119" i="6"/>
  <c r="M119" i="6"/>
  <c r="L119" i="6"/>
  <c r="G119" i="6"/>
  <c r="F119" i="6"/>
  <c r="E119" i="6"/>
  <c r="C119" i="6"/>
  <c r="T118" i="6"/>
  <c r="S118" i="6"/>
  <c r="R118" i="6"/>
  <c r="P118" i="6"/>
  <c r="O118" i="6"/>
  <c r="M118" i="6"/>
  <c r="L118" i="6"/>
  <c r="G118" i="6"/>
  <c r="F118" i="6"/>
  <c r="E118" i="6"/>
  <c r="C118" i="6"/>
  <c r="T117" i="6"/>
  <c r="S117" i="6"/>
  <c r="R117" i="6"/>
  <c r="P117" i="6"/>
  <c r="O117" i="6"/>
  <c r="M117" i="6"/>
  <c r="L117" i="6"/>
  <c r="G117" i="6"/>
  <c r="F117" i="6"/>
  <c r="E117" i="6"/>
  <c r="C117" i="6"/>
  <c r="T116" i="6"/>
  <c r="S116" i="6"/>
  <c r="R116" i="6"/>
  <c r="P116" i="6"/>
  <c r="O116" i="6"/>
  <c r="M116" i="6"/>
  <c r="L116" i="6"/>
  <c r="G116" i="6"/>
  <c r="F116" i="6"/>
  <c r="E116" i="6"/>
  <c r="C116" i="6"/>
  <c r="T115" i="6"/>
  <c r="S115" i="6"/>
  <c r="R115" i="6"/>
  <c r="P115" i="6"/>
  <c r="O115" i="6"/>
  <c r="M115" i="6"/>
  <c r="L115" i="6"/>
  <c r="G115" i="6"/>
  <c r="F115" i="6"/>
  <c r="E115" i="6"/>
  <c r="C115" i="6"/>
  <c r="T114" i="6"/>
  <c r="S114" i="6"/>
  <c r="R114" i="6"/>
  <c r="P114" i="6"/>
  <c r="O114" i="6"/>
  <c r="M114" i="6"/>
  <c r="L114" i="6"/>
  <c r="G114" i="6"/>
  <c r="F114" i="6"/>
  <c r="E114" i="6"/>
  <c r="C114" i="6"/>
  <c r="T113" i="6"/>
  <c r="S113" i="6"/>
  <c r="R113" i="6"/>
  <c r="P113" i="6"/>
  <c r="O113" i="6"/>
  <c r="M113" i="6"/>
  <c r="L113" i="6"/>
  <c r="G113" i="6"/>
  <c r="F113" i="6"/>
  <c r="E113" i="6"/>
  <c r="C113" i="6"/>
  <c r="T112" i="6"/>
  <c r="S112" i="6"/>
  <c r="R112" i="6"/>
  <c r="P112" i="6"/>
  <c r="O112" i="6"/>
  <c r="M112" i="6"/>
  <c r="L112" i="6"/>
  <c r="G112" i="6"/>
  <c r="F112" i="6"/>
  <c r="E112" i="6"/>
  <c r="C112" i="6"/>
  <c r="T111" i="6"/>
  <c r="S111" i="6"/>
  <c r="R111" i="6"/>
  <c r="P111" i="6"/>
  <c r="O111" i="6"/>
  <c r="M111" i="6"/>
  <c r="L111" i="6"/>
  <c r="G111" i="6"/>
  <c r="F111" i="6"/>
  <c r="E111" i="6"/>
  <c r="C111" i="6"/>
  <c r="T110" i="6"/>
  <c r="S110" i="6"/>
  <c r="R110" i="6"/>
  <c r="P110" i="6"/>
  <c r="O110" i="6"/>
  <c r="M110" i="6"/>
  <c r="L110" i="6"/>
  <c r="G110" i="6"/>
  <c r="F110" i="6"/>
  <c r="E110" i="6"/>
  <c r="C110" i="6"/>
  <c r="T109" i="6"/>
  <c r="S109" i="6"/>
  <c r="R109" i="6"/>
  <c r="P109" i="6"/>
  <c r="O109" i="6"/>
  <c r="M109" i="6"/>
  <c r="L109" i="6"/>
  <c r="G109" i="6"/>
  <c r="F109" i="6"/>
  <c r="E109" i="6"/>
  <c r="C109" i="6"/>
  <c r="T108" i="6"/>
  <c r="S108" i="6"/>
  <c r="R108" i="6"/>
  <c r="P108" i="6"/>
  <c r="O108" i="6"/>
  <c r="M108" i="6"/>
  <c r="L108" i="6"/>
  <c r="G108" i="6"/>
  <c r="F108" i="6"/>
  <c r="E108" i="6"/>
  <c r="C108" i="6"/>
  <c r="T107" i="6"/>
  <c r="S107" i="6"/>
  <c r="R107" i="6"/>
  <c r="P107" i="6"/>
  <c r="O107" i="6"/>
  <c r="M107" i="6"/>
  <c r="L107" i="6"/>
  <c r="G107" i="6"/>
  <c r="F107" i="6"/>
  <c r="E107" i="6"/>
  <c r="C107" i="6"/>
  <c r="T105" i="6"/>
  <c r="S105" i="6"/>
  <c r="R105" i="6"/>
  <c r="P105" i="6"/>
  <c r="O105" i="6"/>
  <c r="M105" i="6"/>
  <c r="L105" i="6"/>
  <c r="G105" i="6"/>
  <c r="F105" i="6"/>
  <c r="E105" i="6"/>
  <c r="T104" i="6"/>
  <c r="S104" i="6"/>
  <c r="R104" i="6"/>
  <c r="P104" i="6"/>
  <c r="O104" i="6"/>
  <c r="M104" i="6"/>
  <c r="L104" i="6"/>
  <c r="G104" i="6"/>
  <c r="F104" i="6"/>
  <c r="E104" i="6"/>
  <c r="C104" i="6"/>
  <c r="T103" i="6"/>
  <c r="S103" i="6"/>
  <c r="R103" i="6"/>
  <c r="P103" i="6"/>
  <c r="O103" i="6"/>
  <c r="M103" i="6"/>
  <c r="L103" i="6"/>
  <c r="G103" i="6"/>
  <c r="F103" i="6"/>
  <c r="E103" i="6"/>
  <c r="C103" i="6"/>
  <c r="T102" i="6"/>
  <c r="S102" i="6"/>
  <c r="R102" i="6"/>
  <c r="P102" i="6"/>
  <c r="O102" i="6"/>
  <c r="M102" i="6"/>
  <c r="L102" i="6"/>
  <c r="G102" i="6"/>
  <c r="F102" i="6"/>
  <c r="E102" i="6"/>
  <c r="C102" i="6"/>
  <c r="T101" i="6"/>
  <c r="S101" i="6"/>
  <c r="R101" i="6"/>
  <c r="P101" i="6"/>
  <c r="O101" i="6"/>
  <c r="M101" i="6"/>
  <c r="L101" i="6"/>
  <c r="G101" i="6"/>
  <c r="F101" i="6"/>
  <c r="E101" i="6"/>
  <c r="C101" i="6"/>
  <c r="T100" i="6"/>
  <c r="S100" i="6"/>
  <c r="R100" i="6"/>
  <c r="P100" i="6"/>
  <c r="O100" i="6"/>
  <c r="M100" i="6"/>
  <c r="L100" i="6"/>
  <c r="G100" i="6"/>
  <c r="F100" i="6"/>
  <c r="E100" i="6"/>
  <c r="C100" i="6"/>
  <c r="T99" i="6"/>
  <c r="S99" i="6"/>
  <c r="R99" i="6"/>
  <c r="P99" i="6"/>
  <c r="O99" i="6"/>
  <c r="M99" i="6"/>
  <c r="L99" i="6"/>
  <c r="G99" i="6"/>
  <c r="F99" i="6"/>
  <c r="E99" i="6"/>
  <c r="C99" i="6"/>
  <c r="T98" i="6"/>
  <c r="S98" i="6"/>
  <c r="R98" i="6"/>
  <c r="P98" i="6"/>
  <c r="O98" i="6"/>
  <c r="M98" i="6"/>
  <c r="L98" i="6"/>
  <c r="G98" i="6"/>
  <c r="F98" i="6"/>
  <c r="E98" i="6"/>
  <c r="C98" i="6"/>
  <c r="T97" i="6"/>
  <c r="S97" i="6"/>
  <c r="R97" i="6"/>
  <c r="P97" i="6"/>
  <c r="O97" i="6"/>
  <c r="M97" i="6"/>
  <c r="L97" i="6"/>
  <c r="G97" i="6"/>
  <c r="F97" i="6"/>
  <c r="E97" i="6"/>
  <c r="C97" i="6"/>
  <c r="T96" i="6"/>
  <c r="S96" i="6"/>
  <c r="R96" i="6"/>
  <c r="P96" i="6"/>
  <c r="O96" i="6"/>
  <c r="M96" i="6"/>
  <c r="L96" i="6"/>
  <c r="G96" i="6"/>
  <c r="F96" i="6"/>
  <c r="E96" i="6"/>
  <c r="C96" i="6"/>
  <c r="T95" i="6"/>
  <c r="S95" i="6"/>
  <c r="R95" i="6"/>
  <c r="P95" i="6"/>
  <c r="O95" i="6"/>
  <c r="M95" i="6"/>
  <c r="L95" i="6"/>
  <c r="G95" i="6"/>
  <c r="F95" i="6"/>
  <c r="E95" i="6"/>
  <c r="C95" i="6"/>
  <c r="T94" i="6"/>
  <c r="S94" i="6"/>
  <c r="R94" i="6"/>
  <c r="P94" i="6"/>
  <c r="O94" i="6"/>
  <c r="M94" i="6"/>
  <c r="L94" i="6"/>
  <c r="G94" i="6"/>
  <c r="F94" i="6"/>
  <c r="E94" i="6"/>
  <c r="C94" i="6"/>
  <c r="T93" i="6"/>
  <c r="S93" i="6"/>
  <c r="R93" i="6"/>
  <c r="P93" i="6"/>
  <c r="O93" i="6"/>
  <c r="M93" i="6"/>
  <c r="L93" i="6"/>
  <c r="G93" i="6"/>
  <c r="F93" i="6"/>
  <c r="E93" i="6"/>
  <c r="C93" i="6"/>
  <c r="T92" i="6"/>
  <c r="S92" i="6"/>
  <c r="R92" i="6"/>
  <c r="P92" i="6"/>
  <c r="O92" i="6"/>
  <c r="M92" i="6"/>
  <c r="L92" i="6"/>
  <c r="G92" i="6"/>
  <c r="F92" i="6"/>
  <c r="E92" i="6"/>
  <c r="C92" i="6"/>
  <c r="T91" i="6"/>
  <c r="S91" i="6"/>
  <c r="R91" i="6"/>
  <c r="P91" i="6"/>
  <c r="O91" i="6"/>
  <c r="M91" i="6"/>
  <c r="L91" i="6"/>
  <c r="G91" i="6"/>
  <c r="F91" i="6"/>
  <c r="E91" i="6"/>
  <c r="C91" i="6"/>
  <c r="T90" i="6"/>
  <c r="S90" i="6"/>
  <c r="R90" i="6"/>
  <c r="P90" i="6"/>
  <c r="O90" i="6"/>
  <c r="M90" i="6"/>
  <c r="L90" i="6"/>
  <c r="G90" i="6"/>
  <c r="F90" i="6"/>
  <c r="E90" i="6"/>
  <c r="C90" i="6"/>
  <c r="T89" i="6"/>
  <c r="S89" i="6"/>
  <c r="R89" i="6"/>
  <c r="P89" i="6"/>
  <c r="O89" i="6"/>
  <c r="M89" i="6"/>
  <c r="L89" i="6"/>
  <c r="G89" i="6"/>
  <c r="F89" i="6"/>
  <c r="E89" i="6"/>
  <c r="C89" i="6"/>
  <c r="T88" i="6"/>
  <c r="S88" i="6"/>
  <c r="R88" i="6"/>
  <c r="P88" i="6"/>
  <c r="O88" i="6"/>
  <c r="M88" i="6"/>
  <c r="L88" i="6"/>
  <c r="G88" i="6"/>
  <c r="F88" i="6"/>
  <c r="E88" i="6"/>
  <c r="C88" i="6"/>
  <c r="T87" i="6"/>
  <c r="S87" i="6"/>
  <c r="R87" i="6"/>
  <c r="P87" i="6"/>
  <c r="O87" i="6"/>
  <c r="M87" i="6"/>
  <c r="L87" i="6"/>
  <c r="G87" i="6"/>
  <c r="F87" i="6"/>
  <c r="E87" i="6"/>
  <c r="C87" i="6"/>
  <c r="T86" i="6"/>
  <c r="S86" i="6"/>
  <c r="R86" i="6"/>
  <c r="P86" i="6"/>
  <c r="O86" i="6"/>
  <c r="M86" i="6"/>
  <c r="L86" i="6"/>
  <c r="G86" i="6"/>
  <c r="F86" i="6"/>
  <c r="E86" i="6"/>
  <c r="C86" i="6"/>
  <c r="T84" i="6"/>
  <c r="S84" i="6"/>
  <c r="R84" i="6"/>
  <c r="P84" i="6"/>
  <c r="O84" i="6"/>
  <c r="M84" i="6"/>
  <c r="L84" i="6"/>
  <c r="G84" i="6"/>
  <c r="E84" i="6"/>
  <c r="T83" i="6"/>
  <c r="S83" i="6"/>
  <c r="R83" i="6"/>
  <c r="P83" i="6"/>
  <c r="O83" i="6"/>
  <c r="M83" i="6"/>
  <c r="L83" i="6"/>
  <c r="G83" i="6"/>
  <c r="E83" i="6"/>
  <c r="C83" i="6"/>
  <c r="T82" i="6"/>
  <c r="S82" i="6"/>
  <c r="R82" i="6"/>
  <c r="P82" i="6"/>
  <c r="O82" i="6"/>
  <c r="M82" i="6"/>
  <c r="L82" i="6"/>
  <c r="G82" i="6"/>
  <c r="E82" i="6"/>
  <c r="C82" i="6"/>
  <c r="T81" i="6"/>
  <c r="S81" i="6"/>
  <c r="R81" i="6"/>
  <c r="P81" i="6"/>
  <c r="O81" i="6"/>
  <c r="M81" i="6"/>
  <c r="L81" i="6"/>
  <c r="G81" i="6"/>
  <c r="E81" i="6"/>
  <c r="C81" i="6"/>
  <c r="T80" i="6"/>
  <c r="S80" i="6"/>
  <c r="R80" i="6"/>
  <c r="P80" i="6"/>
  <c r="O80" i="6"/>
  <c r="M80" i="6"/>
  <c r="L80" i="6"/>
  <c r="G80" i="6"/>
  <c r="E80" i="6"/>
  <c r="C80" i="6"/>
  <c r="T79" i="6"/>
  <c r="S79" i="6"/>
  <c r="R79" i="6"/>
  <c r="P79" i="6"/>
  <c r="O79" i="6"/>
  <c r="M79" i="6"/>
  <c r="L79" i="6"/>
  <c r="G79" i="6"/>
  <c r="E79" i="6"/>
  <c r="C79" i="6"/>
  <c r="T78" i="6"/>
  <c r="S78" i="6"/>
  <c r="R78" i="6"/>
  <c r="P78" i="6"/>
  <c r="O78" i="6"/>
  <c r="M78" i="6"/>
  <c r="L78" i="6"/>
  <c r="G78" i="6"/>
  <c r="E78" i="6"/>
  <c r="C78" i="6"/>
  <c r="T77" i="6"/>
  <c r="S77" i="6"/>
  <c r="R77" i="6"/>
  <c r="P77" i="6"/>
  <c r="O77" i="6"/>
  <c r="M77" i="6"/>
  <c r="L77" i="6"/>
  <c r="G77" i="6"/>
  <c r="E77" i="6"/>
  <c r="C77" i="6"/>
  <c r="T76" i="6"/>
  <c r="S76" i="6"/>
  <c r="R76" i="6"/>
  <c r="P76" i="6"/>
  <c r="O76" i="6"/>
  <c r="M76" i="6"/>
  <c r="L76" i="6"/>
  <c r="G76" i="6"/>
  <c r="E76" i="6"/>
  <c r="C76" i="6"/>
  <c r="T75" i="6"/>
  <c r="S75" i="6"/>
  <c r="R75" i="6"/>
  <c r="P75" i="6"/>
  <c r="O75" i="6"/>
  <c r="M75" i="6"/>
  <c r="L75" i="6"/>
  <c r="G75" i="6"/>
  <c r="E75" i="6"/>
  <c r="C75" i="6"/>
  <c r="T74" i="6"/>
  <c r="S74" i="6"/>
  <c r="R74" i="6"/>
  <c r="P74" i="6"/>
  <c r="O74" i="6"/>
  <c r="M74" i="6"/>
  <c r="L74" i="6"/>
  <c r="G74" i="6"/>
  <c r="E74" i="6"/>
  <c r="C74" i="6"/>
  <c r="T73" i="6"/>
  <c r="S73" i="6"/>
  <c r="R73" i="6"/>
  <c r="P73" i="6"/>
  <c r="O73" i="6"/>
  <c r="M73" i="6"/>
  <c r="L73" i="6"/>
  <c r="G73" i="6"/>
  <c r="E73" i="6"/>
  <c r="C73" i="6"/>
  <c r="T72" i="6"/>
  <c r="S72" i="6"/>
  <c r="R72" i="6"/>
  <c r="P72" i="6"/>
  <c r="O72" i="6"/>
  <c r="M72" i="6"/>
  <c r="L72" i="6"/>
  <c r="G72" i="6"/>
  <c r="E72" i="6"/>
  <c r="C72" i="6"/>
  <c r="T71" i="6"/>
  <c r="S71" i="6"/>
  <c r="R71" i="6"/>
  <c r="P71" i="6"/>
  <c r="O71" i="6"/>
  <c r="M71" i="6"/>
  <c r="L71" i="6"/>
  <c r="G71" i="6"/>
  <c r="E71" i="6"/>
  <c r="C71" i="6"/>
  <c r="T70" i="6"/>
  <c r="S70" i="6"/>
  <c r="R70" i="6"/>
  <c r="P70" i="6"/>
  <c r="O70" i="6"/>
  <c r="M70" i="6"/>
  <c r="L70" i="6"/>
  <c r="G70" i="6"/>
  <c r="E70" i="6"/>
  <c r="C70" i="6"/>
  <c r="T69" i="6"/>
  <c r="S69" i="6"/>
  <c r="R69" i="6"/>
  <c r="P69" i="6"/>
  <c r="O69" i="6"/>
  <c r="M69" i="6"/>
  <c r="L69" i="6"/>
  <c r="G69" i="6"/>
  <c r="E69" i="6"/>
  <c r="C69" i="6"/>
  <c r="T68" i="6"/>
  <c r="S68" i="6"/>
  <c r="R68" i="6"/>
  <c r="P68" i="6"/>
  <c r="O68" i="6"/>
  <c r="M68" i="6"/>
  <c r="L68" i="6"/>
  <c r="G68" i="6"/>
  <c r="E68" i="6"/>
  <c r="C68" i="6"/>
  <c r="T67" i="6"/>
  <c r="S67" i="6"/>
  <c r="R67" i="6"/>
  <c r="P67" i="6"/>
  <c r="O67" i="6"/>
  <c r="M67" i="6"/>
  <c r="L67" i="6"/>
  <c r="G67" i="6"/>
  <c r="E67" i="6"/>
  <c r="C67" i="6"/>
  <c r="T66" i="6"/>
  <c r="S66" i="6"/>
  <c r="R66" i="6"/>
  <c r="P66" i="6"/>
  <c r="O66" i="6"/>
  <c r="M66" i="6"/>
  <c r="L66" i="6"/>
  <c r="G66" i="6"/>
  <c r="E66" i="6"/>
  <c r="C66" i="6"/>
  <c r="T65" i="6"/>
  <c r="S65" i="6"/>
  <c r="R65" i="6"/>
  <c r="P65" i="6"/>
  <c r="O65" i="6"/>
  <c r="M65" i="6"/>
  <c r="L65" i="6"/>
  <c r="G65" i="6"/>
  <c r="E65" i="6"/>
  <c r="C65" i="6"/>
  <c r="T63" i="6"/>
  <c r="S63" i="6"/>
  <c r="R63" i="6"/>
  <c r="P63" i="6"/>
  <c r="O63" i="6"/>
  <c r="M63" i="6"/>
  <c r="L63" i="6"/>
  <c r="G63" i="6"/>
  <c r="E63" i="6"/>
  <c r="T62" i="6"/>
  <c r="S62" i="6"/>
  <c r="R62" i="6"/>
  <c r="P62" i="6"/>
  <c r="O62" i="6"/>
  <c r="M62" i="6"/>
  <c r="L62" i="6"/>
  <c r="G62" i="6"/>
  <c r="E62" i="6"/>
  <c r="C62" i="6"/>
  <c r="T61" i="6"/>
  <c r="S61" i="6"/>
  <c r="R61" i="6"/>
  <c r="P61" i="6"/>
  <c r="O61" i="6"/>
  <c r="M61" i="6"/>
  <c r="L61" i="6"/>
  <c r="G61" i="6"/>
  <c r="E61" i="6"/>
  <c r="C61" i="6"/>
  <c r="T60" i="6"/>
  <c r="S60" i="6"/>
  <c r="R60" i="6"/>
  <c r="P60" i="6"/>
  <c r="O60" i="6"/>
  <c r="M60" i="6"/>
  <c r="L60" i="6"/>
  <c r="G60" i="6"/>
  <c r="E60" i="6"/>
  <c r="C60" i="6"/>
  <c r="T59" i="6"/>
  <c r="S59" i="6"/>
  <c r="R59" i="6"/>
  <c r="P59" i="6"/>
  <c r="O59" i="6"/>
  <c r="M59" i="6"/>
  <c r="L59" i="6"/>
  <c r="G59" i="6"/>
  <c r="E59" i="6"/>
  <c r="C59" i="6"/>
  <c r="T58" i="6"/>
  <c r="S58" i="6"/>
  <c r="R58" i="6"/>
  <c r="P58" i="6"/>
  <c r="O58" i="6"/>
  <c r="M58" i="6"/>
  <c r="L58" i="6"/>
  <c r="G58" i="6"/>
  <c r="E58" i="6"/>
  <c r="C58" i="6"/>
  <c r="T57" i="6"/>
  <c r="S57" i="6"/>
  <c r="R57" i="6"/>
  <c r="P57" i="6"/>
  <c r="O57" i="6"/>
  <c r="M57" i="6"/>
  <c r="L57" i="6"/>
  <c r="G57" i="6"/>
  <c r="E57" i="6"/>
  <c r="C57" i="6"/>
  <c r="T56" i="6"/>
  <c r="S56" i="6"/>
  <c r="R56" i="6"/>
  <c r="P56" i="6"/>
  <c r="O56" i="6"/>
  <c r="M56" i="6"/>
  <c r="L56" i="6"/>
  <c r="G56" i="6"/>
  <c r="E56" i="6"/>
  <c r="C56" i="6"/>
  <c r="T55" i="6"/>
  <c r="S55" i="6"/>
  <c r="R55" i="6"/>
  <c r="P55" i="6"/>
  <c r="O55" i="6"/>
  <c r="M55" i="6"/>
  <c r="L55" i="6"/>
  <c r="G55" i="6"/>
  <c r="E55" i="6"/>
  <c r="C55" i="6"/>
  <c r="T54" i="6"/>
  <c r="S54" i="6"/>
  <c r="R54" i="6"/>
  <c r="P54" i="6"/>
  <c r="O54" i="6"/>
  <c r="M54" i="6"/>
  <c r="L54" i="6"/>
  <c r="G54" i="6"/>
  <c r="E54" i="6"/>
  <c r="C54" i="6"/>
  <c r="T53" i="6"/>
  <c r="S53" i="6"/>
  <c r="R53" i="6"/>
  <c r="P53" i="6"/>
  <c r="O53" i="6"/>
  <c r="M53" i="6"/>
  <c r="L53" i="6"/>
  <c r="G53" i="6"/>
  <c r="E53" i="6"/>
  <c r="C53" i="6"/>
  <c r="T52" i="6"/>
  <c r="S52" i="6"/>
  <c r="R52" i="6"/>
  <c r="P52" i="6"/>
  <c r="O52" i="6"/>
  <c r="M52" i="6"/>
  <c r="L52" i="6"/>
  <c r="G52" i="6"/>
  <c r="E52" i="6"/>
  <c r="C52" i="6"/>
  <c r="T51" i="6"/>
  <c r="S51" i="6"/>
  <c r="R51" i="6"/>
  <c r="P51" i="6"/>
  <c r="O51" i="6"/>
  <c r="M51" i="6"/>
  <c r="L51" i="6"/>
  <c r="G51" i="6"/>
  <c r="E51" i="6"/>
  <c r="C51" i="6"/>
  <c r="T50" i="6"/>
  <c r="S50" i="6"/>
  <c r="R50" i="6"/>
  <c r="P50" i="6"/>
  <c r="O50" i="6"/>
  <c r="M50" i="6"/>
  <c r="L50" i="6"/>
  <c r="G50" i="6"/>
  <c r="E50" i="6"/>
  <c r="C50" i="6"/>
  <c r="T49" i="6"/>
  <c r="S49" i="6"/>
  <c r="R49" i="6"/>
  <c r="P49" i="6"/>
  <c r="O49" i="6"/>
  <c r="M49" i="6"/>
  <c r="L49" i="6"/>
  <c r="G49" i="6"/>
  <c r="E49" i="6"/>
  <c r="C49" i="6"/>
  <c r="T48" i="6"/>
  <c r="S48" i="6"/>
  <c r="R48" i="6"/>
  <c r="P48" i="6"/>
  <c r="O48" i="6"/>
  <c r="M48" i="6"/>
  <c r="L48" i="6"/>
  <c r="G48" i="6"/>
  <c r="E48" i="6"/>
  <c r="C48" i="6"/>
  <c r="T47" i="6"/>
  <c r="S47" i="6"/>
  <c r="R47" i="6"/>
  <c r="P47" i="6"/>
  <c r="O47" i="6"/>
  <c r="M47" i="6"/>
  <c r="L47" i="6"/>
  <c r="G47" i="6"/>
  <c r="E47" i="6"/>
  <c r="C47" i="6"/>
  <c r="T46" i="6"/>
  <c r="S46" i="6"/>
  <c r="R46" i="6"/>
  <c r="P46" i="6"/>
  <c r="O46" i="6"/>
  <c r="M46" i="6"/>
  <c r="L46" i="6"/>
  <c r="G46" i="6"/>
  <c r="E46" i="6"/>
  <c r="C46" i="6"/>
  <c r="T45" i="6"/>
  <c r="S45" i="6"/>
  <c r="R45" i="6"/>
  <c r="P45" i="6"/>
  <c r="O45" i="6"/>
  <c r="M45" i="6"/>
  <c r="L45" i="6"/>
  <c r="G45" i="6"/>
  <c r="E45" i="6"/>
  <c r="C45" i="6"/>
  <c r="T44" i="6"/>
  <c r="S44" i="6"/>
  <c r="R44" i="6"/>
  <c r="P44" i="6"/>
  <c r="O44" i="6"/>
  <c r="M44" i="6"/>
  <c r="L44" i="6"/>
  <c r="G44" i="6"/>
  <c r="E44" i="6"/>
  <c r="C44" i="6"/>
  <c r="T42" i="6"/>
  <c r="S42" i="6"/>
  <c r="R42" i="6"/>
  <c r="P42" i="6"/>
  <c r="O42" i="6"/>
  <c r="M42" i="6"/>
  <c r="L42" i="6"/>
  <c r="G42" i="6"/>
  <c r="E42" i="6"/>
  <c r="T41" i="6"/>
  <c r="S41" i="6"/>
  <c r="R41" i="6"/>
  <c r="P41" i="6"/>
  <c r="O41" i="6"/>
  <c r="M41" i="6"/>
  <c r="L41" i="6"/>
  <c r="G41" i="6"/>
  <c r="E41" i="6"/>
  <c r="C41" i="6"/>
  <c r="T40" i="6"/>
  <c r="S40" i="6"/>
  <c r="R40" i="6"/>
  <c r="P40" i="6"/>
  <c r="O40" i="6"/>
  <c r="M40" i="6"/>
  <c r="L40" i="6"/>
  <c r="G40" i="6"/>
  <c r="E40" i="6"/>
  <c r="C40" i="6"/>
  <c r="T39" i="6"/>
  <c r="S39" i="6"/>
  <c r="R39" i="6"/>
  <c r="P39" i="6"/>
  <c r="O39" i="6"/>
  <c r="M39" i="6"/>
  <c r="L39" i="6"/>
  <c r="G39" i="6"/>
  <c r="E39" i="6"/>
  <c r="C39" i="6"/>
  <c r="T38" i="6"/>
  <c r="S38" i="6"/>
  <c r="R38" i="6"/>
  <c r="P38" i="6"/>
  <c r="O38" i="6"/>
  <c r="M38" i="6"/>
  <c r="L38" i="6"/>
  <c r="G38" i="6"/>
  <c r="E38" i="6"/>
  <c r="C38" i="6"/>
  <c r="T37" i="6"/>
  <c r="S37" i="6"/>
  <c r="R37" i="6"/>
  <c r="P37" i="6"/>
  <c r="O37" i="6"/>
  <c r="M37" i="6"/>
  <c r="L37" i="6"/>
  <c r="G37" i="6"/>
  <c r="E37" i="6"/>
  <c r="C37" i="6"/>
  <c r="T36" i="6"/>
  <c r="S36" i="6"/>
  <c r="R36" i="6"/>
  <c r="P36" i="6"/>
  <c r="O36" i="6"/>
  <c r="M36" i="6"/>
  <c r="L36" i="6"/>
  <c r="G36" i="6"/>
  <c r="E36" i="6"/>
  <c r="C36" i="6"/>
  <c r="T35" i="6"/>
  <c r="S35" i="6"/>
  <c r="R35" i="6"/>
  <c r="P35" i="6"/>
  <c r="O35" i="6"/>
  <c r="M35" i="6"/>
  <c r="L35" i="6"/>
  <c r="G35" i="6"/>
  <c r="E35" i="6"/>
  <c r="C35" i="6"/>
  <c r="T34" i="6"/>
  <c r="S34" i="6"/>
  <c r="R34" i="6"/>
  <c r="P34" i="6"/>
  <c r="O34" i="6"/>
  <c r="M34" i="6"/>
  <c r="L34" i="6"/>
  <c r="G34" i="6"/>
  <c r="E34" i="6"/>
  <c r="C34" i="6"/>
  <c r="T33" i="6"/>
  <c r="S33" i="6"/>
  <c r="R33" i="6"/>
  <c r="P33" i="6"/>
  <c r="O33" i="6"/>
  <c r="M33" i="6"/>
  <c r="L33" i="6"/>
  <c r="G33" i="6"/>
  <c r="E33" i="6"/>
  <c r="C33" i="6"/>
  <c r="T32" i="6"/>
  <c r="S32" i="6"/>
  <c r="R32" i="6"/>
  <c r="P32" i="6"/>
  <c r="O32" i="6"/>
  <c r="M32" i="6"/>
  <c r="L32" i="6"/>
  <c r="G32" i="6"/>
  <c r="E32" i="6"/>
  <c r="C32" i="6"/>
  <c r="T31" i="6"/>
  <c r="S31" i="6"/>
  <c r="R31" i="6"/>
  <c r="P31" i="6"/>
  <c r="O31" i="6"/>
  <c r="M31" i="6"/>
  <c r="L31" i="6"/>
  <c r="G31" i="6"/>
  <c r="E31" i="6"/>
  <c r="C31" i="6"/>
  <c r="T30" i="6"/>
  <c r="S30" i="6"/>
  <c r="R30" i="6"/>
  <c r="P30" i="6"/>
  <c r="O30" i="6"/>
  <c r="M30" i="6"/>
  <c r="L30" i="6"/>
  <c r="G30" i="6"/>
  <c r="E30" i="6"/>
  <c r="C30" i="6"/>
  <c r="T29" i="6"/>
  <c r="S29" i="6"/>
  <c r="R29" i="6"/>
  <c r="P29" i="6"/>
  <c r="O29" i="6"/>
  <c r="M29" i="6"/>
  <c r="L29" i="6"/>
  <c r="G29" i="6"/>
  <c r="E29" i="6"/>
  <c r="C29" i="6"/>
  <c r="T28" i="6"/>
  <c r="S28" i="6"/>
  <c r="R28" i="6"/>
  <c r="P28" i="6"/>
  <c r="O28" i="6"/>
  <c r="M28" i="6"/>
  <c r="L28" i="6"/>
  <c r="G28" i="6"/>
  <c r="E28" i="6"/>
  <c r="C28" i="6"/>
  <c r="T27" i="6"/>
  <c r="S27" i="6"/>
  <c r="R27" i="6"/>
  <c r="P27" i="6"/>
  <c r="O27" i="6"/>
  <c r="M27" i="6"/>
  <c r="L27" i="6"/>
  <c r="G27" i="6"/>
  <c r="E27" i="6"/>
  <c r="C27" i="6"/>
  <c r="T26" i="6"/>
  <c r="S26" i="6"/>
  <c r="R26" i="6"/>
  <c r="P26" i="6"/>
  <c r="O26" i="6"/>
  <c r="M26" i="6"/>
  <c r="L26" i="6"/>
  <c r="G26" i="6"/>
  <c r="E26" i="6"/>
  <c r="C26" i="6"/>
  <c r="T25" i="6"/>
  <c r="S25" i="6"/>
  <c r="R25" i="6"/>
  <c r="P25" i="6"/>
  <c r="O25" i="6"/>
  <c r="M25" i="6"/>
  <c r="L25" i="6"/>
  <c r="G25" i="6"/>
  <c r="E25" i="6"/>
  <c r="C25" i="6"/>
  <c r="T24" i="6"/>
  <c r="S24" i="6"/>
  <c r="R24" i="6"/>
  <c r="P24" i="6"/>
  <c r="O24" i="6"/>
  <c r="M24" i="6"/>
  <c r="L24" i="6"/>
  <c r="G24" i="6"/>
  <c r="E24" i="6"/>
  <c r="C24" i="6"/>
  <c r="T23" i="6"/>
  <c r="S23" i="6"/>
  <c r="R23" i="6"/>
  <c r="P23" i="6"/>
  <c r="O23" i="6"/>
  <c r="M23" i="6"/>
  <c r="L23" i="6"/>
  <c r="G23" i="6"/>
  <c r="E23" i="6"/>
  <c r="C23" i="6"/>
  <c r="W21" i="6"/>
  <c r="V21" i="6"/>
  <c r="U21" i="6"/>
  <c r="T21" i="6"/>
  <c r="S21" i="6"/>
  <c r="R21" i="6"/>
  <c r="P21" i="6"/>
  <c r="O21" i="6"/>
  <c r="M21" i="6"/>
  <c r="L21" i="6"/>
  <c r="I21" i="6"/>
  <c r="H21" i="6"/>
  <c r="G21" i="6"/>
  <c r="E21" i="6"/>
  <c r="W20" i="6"/>
  <c r="V20" i="6"/>
  <c r="U20" i="6"/>
  <c r="T20" i="6"/>
  <c r="S20" i="6"/>
  <c r="R20" i="6"/>
  <c r="P20" i="6"/>
  <c r="O20" i="6"/>
  <c r="M20" i="6"/>
  <c r="L20" i="6"/>
  <c r="J20" i="6"/>
  <c r="I20" i="6"/>
  <c r="H20" i="6"/>
  <c r="G20" i="6"/>
  <c r="E20" i="6"/>
  <c r="C20" i="6"/>
  <c r="W19" i="6"/>
  <c r="V19" i="6"/>
  <c r="U19" i="6"/>
  <c r="T19" i="6"/>
  <c r="S19" i="6"/>
  <c r="R19" i="6"/>
  <c r="P19" i="6"/>
  <c r="O19" i="6"/>
  <c r="M19" i="6"/>
  <c r="L19" i="6"/>
  <c r="J19" i="6"/>
  <c r="I19" i="6"/>
  <c r="H19" i="6"/>
  <c r="G19" i="6"/>
  <c r="E19" i="6"/>
  <c r="C19" i="6"/>
  <c r="W18" i="6"/>
  <c r="V18" i="6"/>
  <c r="U18" i="6"/>
  <c r="T18" i="6"/>
  <c r="S18" i="6"/>
  <c r="R18" i="6"/>
  <c r="P18" i="6"/>
  <c r="O18" i="6"/>
  <c r="M18" i="6"/>
  <c r="L18" i="6"/>
  <c r="J18" i="6"/>
  <c r="I18" i="6"/>
  <c r="H18" i="6"/>
  <c r="G18" i="6"/>
  <c r="E18" i="6"/>
  <c r="C18" i="6"/>
  <c r="W17" i="6"/>
  <c r="V17" i="6"/>
  <c r="U17" i="6"/>
  <c r="T17" i="6"/>
  <c r="S17" i="6"/>
  <c r="R17" i="6"/>
  <c r="P17" i="6"/>
  <c r="O17" i="6"/>
  <c r="M17" i="6"/>
  <c r="L17" i="6"/>
  <c r="J17" i="6"/>
  <c r="I17" i="6"/>
  <c r="H17" i="6"/>
  <c r="G17" i="6"/>
  <c r="E17" i="6"/>
  <c r="C17" i="6"/>
  <c r="W16" i="6"/>
  <c r="V16" i="6"/>
  <c r="U16" i="6"/>
  <c r="T16" i="6"/>
  <c r="S16" i="6"/>
  <c r="R16" i="6"/>
  <c r="P16" i="6"/>
  <c r="O16" i="6"/>
  <c r="M16" i="6"/>
  <c r="L16" i="6"/>
  <c r="J16" i="6"/>
  <c r="I16" i="6"/>
  <c r="H16" i="6"/>
  <c r="G16" i="6"/>
  <c r="E16" i="6"/>
  <c r="C16" i="6"/>
  <c r="W15" i="6"/>
  <c r="V15" i="6"/>
  <c r="U15" i="6"/>
  <c r="T15" i="6"/>
  <c r="S15" i="6"/>
  <c r="R15" i="6"/>
  <c r="P15" i="6"/>
  <c r="O15" i="6"/>
  <c r="M15" i="6"/>
  <c r="L15" i="6"/>
  <c r="J15" i="6"/>
  <c r="I15" i="6"/>
  <c r="H15" i="6"/>
  <c r="G15" i="6"/>
  <c r="E15" i="6"/>
  <c r="C15" i="6"/>
  <c r="W14" i="6"/>
  <c r="V14" i="6"/>
  <c r="U14" i="6"/>
  <c r="T14" i="6"/>
  <c r="S14" i="6"/>
  <c r="R14" i="6"/>
  <c r="P14" i="6"/>
  <c r="O14" i="6"/>
  <c r="M14" i="6"/>
  <c r="L14" i="6"/>
  <c r="J14" i="6"/>
  <c r="I14" i="6"/>
  <c r="H14" i="6"/>
  <c r="G14" i="6"/>
  <c r="E14" i="6"/>
  <c r="C14" i="6"/>
  <c r="W13" i="6"/>
  <c r="V13" i="6"/>
  <c r="U13" i="6"/>
  <c r="T13" i="6"/>
  <c r="S13" i="6"/>
  <c r="R13" i="6"/>
  <c r="P13" i="6"/>
  <c r="O13" i="6"/>
  <c r="M13" i="6"/>
  <c r="L13" i="6"/>
  <c r="J13" i="6"/>
  <c r="I13" i="6"/>
  <c r="H13" i="6"/>
  <c r="G13" i="6"/>
  <c r="E13" i="6"/>
  <c r="C13" i="6"/>
  <c r="W12" i="6"/>
  <c r="V12" i="6"/>
  <c r="U12" i="6"/>
  <c r="T12" i="6"/>
  <c r="S12" i="6"/>
  <c r="R12" i="6"/>
  <c r="P12" i="6"/>
  <c r="O12" i="6"/>
  <c r="M12" i="6"/>
  <c r="L12" i="6"/>
  <c r="J12" i="6"/>
  <c r="I12" i="6"/>
  <c r="H12" i="6"/>
  <c r="G12" i="6"/>
  <c r="E12" i="6"/>
  <c r="C12" i="6"/>
  <c r="W11" i="6"/>
  <c r="V11" i="6"/>
  <c r="U11" i="6"/>
  <c r="T11" i="6"/>
  <c r="S11" i="6"/>
  <c r="R11" i="6"/>
  <c r="P11" i="6"/>
  <c r="O11" i="6"/>
  <c r="M11" i="6"/>
  <c r="L11" i="6"/>
  <c r="J11" i="6"/>
  <c r="I11" i="6"/>
  <c r="H11" i="6"/>
  <c r="G11" i="6"/>
  <c r="E11" i="6"/>
  <c r="C11" i="6"/>
  <c r="W10" i="6"/>
  <c r="V10" i="6"/>
  <c r="U10" i="6"/>
  <c r="T10" i="6"/>
  <c r="S10" i="6"/>
  <c r="R10" i="6"/>
  <c r="P10" i="6"/>
  <c r="O10" i="6"/>
  <c r="M10" i="6"/>
  <c r="L10" i="6"/>
  <c r="J10" i="6"/>
  <c r="I10" i="6"/>
  <c r="H10" i="6"/>
  <c r="G10" i="6"/>
  <c r="E10" i="6"/>
  <c r="C10" i="6"/>
  <c r="W9" i="6"/>
  <c r="V9" i="6"/>
  <c r="U9" i="6"/>
  <c r="T9" i="6"/>
  <c r="S9" i="6"/>
  <c r="R9" i="6"/>
  <c r="P9" i="6"/>
  <c r="O9" i="6"/>
  <c r="M9" i="6"/>
  <c r="L9" i="6"/>
  <c r="J9" i="6"/>
  <c r="I9" i="6"/>
  <c r="H9" i="6"/>
  <c r="G9" i="6"/>
  <c r="E9" i="6"/>
  <c r="C9" i="6"/>
  <c r="W8" i="6"/>
  <c r="V8" i="6"/>
  <c r="U8" i="6"/>
  <c r="T8" i="6"/>
  <c r="S8" i="6"/>
  <c r="R8" i="6"/>
  <c r="P8" i="6"/>
  <c r="O8" i="6"/>
  <c r="M8" i="6"/>
  <c r="L8" i="6"/>
  <c r="J8" i="6"/>
  <c r="I8" i="6"/>
  <c r="H8" i="6"/>
  <c r="G8" i="6"/>
  <c r="E8" i="6"/>
  <c r="C8" i="6"/>
  <c r="W7" i="6"/>
  <c r="V7" i="6"/>
  <c r="U7" i="6"/>
  <c r="T7" i="6"/>
  <c r="S7" i="6"/>
  <c r="R7" i="6"/>
  <c r="P7" i="6"/>
  <c r="O7" i="6"/>
  <c r="M7" i="6"/>
  <c r="L7" i="6"/>
  <c r="J7" i="6"/>
  <c r="I7" i="6"/>
  <c r="H7" i="6"/>
  <c r="G7" i="6"/>
  <c r="E7" i="6"/>
  <c r="C7" i="6"/>
  <c r="W6" i="6"/>
  <c r="V6" i="6"/>
  <c r="U6" i="6"/>
  <c r="T6" i="6"/>
  <c r="S6" i="6"/>
  <c r="R6" i="6"/>
  <c r="P6" i="6"/>
  <c r="O6" i="6"/>
  <c r="M6" i="6"/>
  <c r="L6" i="6"/>
  <c r="J6" i="6"/>
  <c r="I6" i="6"/>
  <c r="H6" i="6"/>
  <c r="G6" i="6"/>
  <c r="E6" i="6"/>
  <c r="C6" i="6"/>
  <c r="W5" i="6"/>
  <c r="V5" i="6"/>
  <c r="U5" i="6"/>
  <c r="T5" i="6"/>
  <c r="S5" i="6"/>
  <c r="R5" i="6"/>
  <c r="P5" i="6"/>
  <c r="O5" i="6"/>
  <c r="M5" i="6"/>
  <c r="L5" i="6"/>
  <c r="J5" i="6"/>
  <c r="I5" i="6"/>
  <c r="H5" i="6"/>
  <c r="G5" i="6"/>
  <c r="E5" i="6"/>
  <c r="C5" i="6"/>
  <c r="W4" i="6"/>
  <c r="V4" i="6"/>
  <c r="U4" i="6"/>
  <c r="T4" i="6"/>
  <c r="S4" i="6"/>
  <c r="R4" i="6"/>
  <c r="P4" i="6"/>
  <c r="O4" i="6"/>
  <c r="M4" i="6"/>
  <c r="L4" i="6"/>
  <c r="J4" i="6"/>
  <c r="I4" i="6"/>
  <c r="H4" i="6"/>
  <c r="G4" i="6"/>
  <c r="E4" i="6"/>
  <c r="C4" i="6"/>
  <c r="W3" i="6"/>
  <c r="V3" i="6"/>
  <c r="U3" i="6"/>
  <c r="T3" i="6"/>
  <c r="S3" i="6"/>
  <c r="R3" i="6"/>
  <c r="P3" i="6"/>
  <c r="O3" i="6"/>
  <c r="M3" i="6"/>
  <c r="L3" i="6"/>
  <c r="J3" i="6"/>
  <c r="I3" i="6"/>
  <c r="H3" i="6"/>
  <c r="G3" i="6"/>
  <c r="E3" i="6"/>
  <c r="C3" i="6"/>
  <c r="W2" i="6"/>
  <c r="V2" i="6"/>
  <c r="U2" i="6"/>
  <c r="T2" i="6"/>
  <c r="S2" i="6"/>
  <c r="R2" i="6"/>
  <c r="P2" i="6"/>
  <c r="O2" i="6"/>
  <c r="M2" i="6"/>
  <c r="L2" i="6"/>
  <c r="J2" i="6"/>
  <c r="I2" i="6"/>
  <c r="H2" i="6"/>
  <c r="G2" i="6"/>
  <c r="E2" i="6"/>
  <c r="C2" i="6"/>
  <c r="F315" i="5"/>
  <c r="E315" i="5"/>
  <c r="D315" i="5"/>
  <c r="C315" i="5"/>
  <c r="B315" i="5"/>
  <c r="F314" i="5"/>
  <c r="E314" i="5"/>
  <c r="D314" i="5"/>
  <c r="C314" i="5"/>
  <c r="B314" i="5"/>
  <c r="F313" i="5"/>
  <c r="E313" i="5"/>
  <c r="D313" i="5"/>
  <c r="C313" i="5"/>
  <c r="B313" i="5"/>
  <c r="F312" i="5"/>
  <c r="E312" i="5"/>
  <c r="D312" i="5"/>
  <c r="C312" i="5"/>
  <c r="B312" i="5"/>
  <c r="F311" i="5"/>
  <c r="E311" i="5"/>
  <c r="D311" i="5"/>
  <c r="C311" i="5"/>
  <c r="B311" i="5"/>
  <c r="F310" i="5"/>
  <c r="E310" i="5"/>
  <c r="D310" i="5"/>
  <c r="C310" i="5"/>
  <c r="B310" i="5"/>
  <c r="F309" i="5"/>
  <c r="E309" i="5"/>
  <c r="D309" i="5"/>
  <c r="C309" i="5"/>
  <c r="B309" i="5"/>
  <c r="F308" i="5"/>
  <c r="E308" i="5"/>
  <c r="D308" i="5"/>
  <c r="C308" i="5"/>
  <c r="B308" i="5"/>
  <c r="F307" i="5"/>
  <c r="E307" i="5"/>
  <c r="D307" i="5"/>
  <c r="C307" i="5"/>
  <c r="B307" i="5"/>
  <c r="F306" i="5"/>
  <c r="E306" i="5"/>
  <c r="D306" i="5"/>
  <c r="C306" i="5"/>
  <c r="B306" i="5"/>
  <c r="F305" i="5"/>
  <c r="E305" i="5"/>
  <c r="D305" i="5"/>
  <c r="C305" i="5"/>
  <c r="B305" i="5"/>
  <c r="F304" i="5"/>
  <c r="E304" i="5"/>
  <c r="D304" i="5"/>
  <c r="C304" i="5"/>
  <c r="B304" i="5"/>
  <c r="F303" i="5"/>
  <c r="E303" i="5"/>
  <c r="D303" i="5"/>
  <c r="C303" i="5"/>
  <c r="B303" i="5"/>
  <c r="F302" i="5"/>
  <c r="E302" i="5"/>
  <c r="D302" i="5"/>
  <c r="C302" i="5"/>
  <c r="B302" i="5"/>
  <c r="F301" i="5"/>
  <c r="E301" i="5"/>
  <c r="D301" i="5"/>
  <c r="C301" i="5"/>
  <c r="B301" i="5"/>
  <c r="F300" i="5"/>
  <c r="E300" i="5"/>
  <c r="D300" i="5"/>
  <c r="C300" i="5"/>
  <c r="B300" i="5"/>
  <c r="F299" i="5"/>
  <c r="E299" i="5"/>
  <c r="D299" i="5"/>
  <c r="C299" i="5"/>
  <c r="B299" i="5"/>
  <c r="F298" i="5"/>
  <c r="E298" i="5"/>
  <c r="D298" i="5"/>
  <c r="C298" i="5"/>
  <c r="B298" i="5"/>
  <c r="F297" i="5"/>
  <c r="E297" i="5"/>
  <c r="D297" i="5"/>
  <c r="C297" i="5"/>
  <c r="B297" i="5"/>
  <c r="F296" i="5"/>
  <c r="E296" i="5"/>
  <c r="D296" i="5"/>
  <c r="C296" i="5"/>
  <c r="B296" i="5"/>
  <c r="F294" i="5"/>
  <c r="E294" i="5"/>
  <c r="D294" i="5"/>
  <c r="C294" i="5"/>
  <c r="B294" i="5"/>
  <c r="F293" i="5"/>
  <c r="E293" i="5"/>
  <c r="D293" i="5"/>
  <c r="C293" i="5"/>
  <c r="B293" i="5"/>
  <c r="F292" i="5"/>
  <c r="E292" i="5"/>
  <c r="D292" i="5"/>
  <c r="C292" i="5"/>
  <c r="B292" i="5"/>
  <c r="F291" i="5"/>
  <c r="E291" i="5"/>
  <c r="D291" i="5"/>
  <c r="C291" i="5"/>
  <c r="B291" i="5"/>
  <c r="F290" i="5"/>
  <c r="E290" i="5"/>
  <c r="D290" i="5"/>
  <c r="C290" i="5"/>
  <c r="B290" i="5"/>
  <c r="F289" i="5"/>
  <c r="E289" i="5"/>
  <c r="D289" i="5"/>
  <c r="C289" i="5"/>
  <c r="B289" i="5"/>
  <c r="F288" i="5"/>
  <c r="E288" i="5"/>
  <c r="D288" i="5"/>
  <c r="C288" i="5"/>
  <c r="B288" i="5"/>
  <c r="F287" i="5"/>
  <c r="E287" i="5"/>
  <c r="D287" i="5"/>
  <c r="C287" i="5"/>
  <c r="B287" i="5"/>
  <c r="F286" i="5"/>
  <c r="E286" i="5"/>
  <c r="D286" i="5"/>
  <c r="C286" i="5"/>
  <c r="B286" i="5"/>
  <c r="F285" i="5"/>
  <c r="E285" i="5"/>
  <c r="D285" i="5"/>
  <c r="C285" i="5"/>
  <c r="B285" i="5"/>
  <c r="F284" i="5"/>
  <c r="E284" i="5"/>
  <c r="D284" i="5"/>
  <c r="C284" i="5"/>
  <c r="B284" i="5"/>
  <c r="F283" i="5"/>
  <c r="E283" i="5"/>
  <c r="D283" i="5"/>
  <c r="C283" i="5"/>
  <c r="B283" i="5"/>
  <c r="F282" i="5"/>
  <c r="E282" i="5"/>
  <c r="D282" i="5"/>
  <c r="C282" i="5"/>
  <c r="B282" i="5"/>
  <c r="F281" i="5"/>
  <c r="E281" i="5"/>
  <c r="D281" i="5"/>
  <c r="C281" i="5"/>
  <c r="B281" i="5"/>
  <c r="F280" i="5"/>
  <c r="E280" i="5"/>
  <c r="D280" i="5"/>
  <c r="C280" i="5"/>
  <c r="B280" i="5"/>
  <c r="F279" i="5"/>
  <c r="E279" i="5"/>
  <c r="D279" i="5"/>
  <c r="C279" i="5"/>
  <c r="B279" i="5"/>
  <c r="F278" i="5"/>
  <c r="E278" i="5"/>
  <c r="D278" i="5"/>
  <c r="C278" i="5"/>
  <c r="B278" i="5"/>
  <c r="F277" i="5"/>
  <c r="E277" i="5"/>
  <c r="D277" i="5"/>
  <c r="C277" i="5"/>
  <c r="B277" i="5"/>
  <c r="F276" i="5"/>
  <c r="E276" i="5"/>
  <c r="D276" i="5"/>
  <c r="C276" i="5"/>
  <c r="B276" i="5"/>
  <c r="F275" i="5"/>
  <c r="E275" i="5"/>
  <c r="D275" i="5"/>
  <c r="C275" i="5"/>
  <c r="B275" i="5"/>
  <c r="F273" i="5"/>
  <c r="E273" i="5"/>
  <c r="D273" i="5"/>
  <c r="C273" i="5"/>
  <c r="B273" i="5"/>
  <c r="F272" i="5"/>
  <c r="E272" i="5"/>
  <c r="D272" i="5"/>
  <c r="C272" i="5"/>
  <c r="B272" i="5"/>
  <c r="F271" i="5"/>
  <c r="E271" i="5"/>
  <c r="D271" i="5"/>
  <c r="C271" i="5"/>
  <c r="B271" i="5"/>
  <c r="F270" i="5"/>
  <c r="E270" i="5"/>
  <c r="D270" i="5"/>
  <c r="C270" i="5"/>
  <c r="B270" i="5"/>
  <c r="F269" i="5"/>
  <c r="E269" i="5"/>
  <c r="D269" i="5"/>
  <c r="C269" i="5"/>
  <c r="B269" i="5"/>
  <c r="F268" i="5"/>
  <c r="E268" i="5"/>
  <c r="D268" i="5"/>
  <c r="C268" i="5"/>
  <c r="B268" i="5"/>
  <c r="F267" i="5"/>
  <c r="E267" i="5"/>
  <c r="D267" i="5"/>
  <c r="C267" i="5"/>
  <c r="B267" i="5"/>
  <c r="F266" i="5"/>
  <c r="E266" i="5"/>
  <c r="D266" i="5"/>
  <c r="C266" i="5"/>
  <c r="B266" i="5"/>
  <c r="F265" i="5"/>
  <c r="E265" i="5"/>
  <c r="D265" i="5"/>
  <c r="C265" i="5"/>
  <c r="B265" i="5"/>
  <c r="F264" i="5"/>
  <c r="E264" i="5"/>
  <c r="D264" i="5"/>
  <c r="C264" i="5"/>
  <c r="B264" i="5"/>
  <c r="F263" i="5"/>
  <c r="E263" i="5"/>
  <c r="D263" i="5"/>
  <c r="C263" i="5"/>
  <c r="B263" i="5"/>
  <c r="F262" i="5"/>
  <c r="E262" i="5"/>
  <c r="D262" i="5"/>
  <c r="C262" i="5"/>
  <c r="B262" i="5"/>
  <c r="F261" i="5"/>
  <c r="E261" i="5"/>
  <c r="D261" i="5"/>
  <c r="C261" i="5"/>
  <c r="B261" i="5"/>
  <c r="F260" i="5"/>
  <c r="E260" i="5"/>
  <c r="D260" i="5"/>
  <c r="C260" i="5"/>
  <c r="B260" i="5"/>
  <c r="F259" i="5"/>
  <c r="E259" i="5"/>
  <c r="D259" i="5"/>
  <c r="C259" i="5"/>
  <c r="B259" i="5"/>
  <c r="F258" i="5"/>
  <c r="E258" i="5"/>
  <c r="D258" i="5"/>
  <c r="C258" i="5"/>
  <c r="B258" i="5"/>
  <c r="F257" i="5"/>
  <c r="E257" i="5"/>
  <c r="D257" i="5"/>
  <c r="C257" i="5"/>
  <c r="B257" i="5"/>
  <c r="F256" i="5"/>
  <c r="E256" i="5"/>
  <c r="D256" i="5"/>
  <c r="C256" i="5"/>
  <c r="B256" i="5"/>
  <c r="F255" i="5"/>
  <c r="E255" i="5"/>
  <c r="D255" i="5"/>
  <c r="C255" i="5"/>
  <c r="B255" i="5"/>
  <c r="F254" i="5"/>
  <c r="E254" i="5"/>
  <c r="D254" i="5"/>
  <c r="C254" i="5"/>
  <c r="B254" i="5"/>
  <c r="F252" i="5"/>
  <c r="E252" i="5"/>
  <c r="D252" i="5"/>
  <c r="C252" i="5"/>
  <c r="B252" i="5"/>
  <c r="F251" i="5"/>
  <c r="E251" i="5"/>
  <c r="D251" i="5"/>
  <c r="C251" i="5"/>
  <c r="B251" i="5"/>
  <c r="F250" i="5"/>
  <c r="E250" i="5"/>
  <c r="D250" i="5"/>
  <c r="C250" i="5"/>
  <c r="B250" i="5"/>
  <c r="F249" i="5"/>
  <c r="E249" i="5"/>
  <c r="D249" i="5"/>
  <c r="C249" i="5"/>
  <c r="B249" i="5"/>
  <c r="F248" i="5"/>
  <c r="E248" i="5"/>
  <c r="D248" i="5"/>
  <c r="C248" i="5"/>
  <c r="B248" i="5"/>
  <c r="F247" i="5"/>
  <c r="E247" i="5"/>
  <c r="D247" i="5"/>
  <c r="C247" i="5"/>
  <c r="B247" i="5"/>
  <c r="F246" i="5"/>
  <c r="E246" i="5"/>
  <c r="D246" i="5"/>
  <c r="C246" i="5"/>
  <c r="B246" i="5"/>
  <c r="F245" i="5"/>
  <c r="E245" i="5"/>
  <c r="D245" i="5"/>
  <c r="C245" i="5"/>
  <c r="B245" i="5"/>
  <c r="F244" i="5"/>
  <c r="E244" i="5"/>
  <c r="D244" i="5"/>
  <c r="C244" i="5"/>
  <c r="B244" i="5"/>
  <c r="F243" i="5"/>
  <c r="E243" i="5"/>
  <c r="D243" i="5"/>
  <c r="C243" i="5"/>
  <c r="B243" i="5"/>
  <c r="F242" i="5"/>
  <c r="E242" i="5"/>
  <c r="D242" i="5"/>
  <c r="C242" i="5"/>
  <c r="B242" i="5"/>
  <c r="F241" i="5"/>
  <c r="E241" i="5"/>
  <c r="D241" i="5"/>
  <c r="C241" i="5"/>
  <c r="B241" i="5"/>
  <c r="F240" i="5"/>
  <c r="E240" i="5"/>
  <c r="D240" i="5"/>
  <c r="C240" i="5"/>
  <c r="B240" i="5"/>
  <c r="F239" i="5"/>
  <c r="E239" i="5"/>
  <c r="D239" i="5"/>
  <c r="C239" i="5"/>
  <c r="B239" i="5"/>
  <c r="F238" i="5"/>
  <c r="E238" i="5"/>
  <c r="D238" i="5"/>
  <c r="C238" i="5"/>
  <c r="B238" i="5"/>
  <c r="F237" i="5"/>
  <c r="E237" i="5"/>
  <c r="D237" i="5"/>
  <c r="C237" i="5"/>
  <c r="B237" i="5"/>
  <c r="F236" i="5"/>
  <c r="E236" i="5"/>
  <c r="D236" i="5"/>
  <c r="C236" i="5"/>
  <c r="B236" i="5"/>
  <c r="F235" i="5"/>
  <c r="E235" i="5"/>
  <c r="D235" i="5"/>
  <c r="C235" i="5"/>
  <c r="B235" i="5"/>
  <c r="F234" i="5"/>
  <c r="E234" i="5"/>
  <c r="D234" i="5"/>
  <c r="C234" i="5"/>
  <c r="B234" i="5"/>
  <c r="F233" i="5"/>
  <c r="E233" i="5"/>
  <c r="D233" i="5"/>
  <c r="C233" i="5"/>
  <c r="B233" i="5"/>
  <c r="F231" i="5"/>
  <c r="E231" i="5"/>
  <c r="D231" i="5"/>
  <c r="C231" i="5"/>
  <c r="B231" i="5"/>
  <c r="F230" i="5"/>
  <c r="E230" i="5"/>
  <c r="D230" i="5"/>
  <c r="C230" i="5"/>
  <c r="B230" i="5"/>
  <c r="F229" i="5"/>
  <c r="E229" i="5"/>
  <c r="D229" i="5"/>
  <c r="C229" i="5"/>
  <c r="B229" i="5"/>
  <c r="F228" i="5"/>
  <c r="E228" i="5"/>
  <c r="D228" i="5"/>
  <c r="C228" i="5"/>
  <c r="B228" i="5"/>
  <c r="F227" i="5"/>
  <c r="E227" i="5"/>
  <c r="D227" i="5"/>
  <c r="C227" i="5"/>
  <c r="B227" i="5"/>
  <c r="F226" i="5"/>
  <c r="E226" i="5"/>
  <c r="D226" i="5"/>
  <c r="C226" i="5"/>
  <c r="B226" i="5"/>
  <c r="F225" i="5"/>
  <c r="E225" i="5"/>
  <c r="D225" i="5"/>
  <c r="C225" i="5"/>
  <c r="B225" i="5"/>
  <c r="F224" i="5"/>
  <c r="E224" i="5"/>
  <c r="D224" i="5"/>
  <c r="C224" i="5"/>
  <c r="B224" i="5"/>
  <c r="F223" i="5"/>
  <c r="E223" i="5"/>
  <c r="D223" i="5"/>
  <c r="C223" i="5"/>
  <c r="B223" i="5"/>
  <c r="F222" i="5"/>
  <c r="E222" i="5"/>
  <c r="D222" i="5"/>
  <c r="C222" i="5"/>
  <c r="B222" i="5"/>
  <c r="F221" i="5"/>
  <c r="E221" i="5"/>
  <c r="D221" i="5"/>
  <c r="C221" i="5"/>
  <c r="B221" i="5"/>
  <c r="F220" i="5"/>
  <c r="E220" i="5"/>
  <c r="D220" i="5"/>
  <c r="C220" i="5"/>
  <c r="B220" i="5"/>
  <c r="F219" i="5"/>
  <c r="E219" i="5"/>
  <c r="D219" i="5"/>
  <c r="C219" i="5"/>
  <c r="B219" i="5"/>
  <c r="F218" i="5"/>
  <c r="E218" i="5"/>
  <c r="D218" i="5"/>
  <c r="C218" i="5"/>
  <c r="B218" i="5"/>
  <c r="F217" i="5"/>
  <c r="E217" i="5"/>
  <c r="D217" i="5"/>
  <c r="C217" i="5"/>
  <c r="B217" i="5"/>
  <c r="F216" i="5"/>
  <c r="E216" i="5"/>
  <c r="D216" i="5"/>
  <c r="C216" i="5"/>
  <c r="B216" i="5"/>
  <c r="F215" i="5"/>
  <c r="E215" i="5"/>
  <c r="D215" i="5"/>
  <c r="C215" i="5"/>
  <c r="B215" i="5"/>
  <c r="F214" i="5"/>
  <c r="E214" i="5"/>
  <c r="D214" i="5"/>
  <c r="C214" i="5"/>
  <c r="B214" i="5"/>
  <c r="F213" i="5"/>
  <c r="E213" i="5"/>
  <c r="D213" i="5"/>
  <c r="C213" i="5"/>
  <c r="B213" i="5"/>
  <c r="F212" i="5"/>
  <c r="E212" i="5"/>
  <c r="D212" i="5"/>
  <c r="C212" i="5"/>
  <c r="B212" i="5"/>
  <c r="F210" i="5"/>
  <c r="E210" i="5"/>
  <c r="D210" i="5"/>
  <c r="C210" i="5"/>
  <c r="B210" i="5"/>
  <c r="F209" i="5"/>
  <c r="E209" i="5"/>
  <c r="D209" i="5"/>
  <c r="C209" i="5"/>
  <c r="B209" i="5"/>
  <c r="F208" i="5"/>
  <c r="E208" i="5"/>
  <c r="D208" i="5"/>
  <c r="C208" i="5"/>
  <c r="B208" i="5"/>
  <c r="F207" i="5"/>
  <c r="E207" i="5"/>
  <c r="D207" i="5"/>
  <c r="C207" i="5"/>
  <c r="B207" i="5"/>
  <c r="F206" i="5"/>
  <c r="E206" i="5"/>
  <c r="D206" i="5"/>
  <c r="C206" i="5"/>
  <c r="B206" i="5"/>
  <c r="F205" i="5"/>
  <c r="E205" i="5"/>
  <c r="D205" i="5"/>
  <c r="C205" i="5"/>
  <c r="B205" i="5"/>
  <c r="F204" i="5"/>
  <c r="E204" i="5"/>
  <c r="D204" i="5"/>
  <c r="C204" i="5"/>
  <c r="B204" i="5"/>
  <c r="F203" i="5"/>
  <c r="E203" i="5"/>
  <c r="D203" i="5"/>
  <c r="C203" i="5"/>
  <c r="B203" i="5"/>
  <c r="F202" i="5"/>
  <c r="E202" i="5"/>
  <c r="D202" i="5"/>
  <c r="C202" i="5"/>
  <c r="B202" i="5"/>
  <c r="F201" i="5"/>
  <c r="E201" i="5"/>
  <c r="D201" i="5"/>
  <c r="C201" i="5"/>
  <c r="B201" i="5"/>
  <c r="F200" i="5"/>
  <c r="E200" i="5"/>
  <c r="D200" i="5"/>
  <c r="C200" i="5"/>
  <c r="B200" i="5"/>
  <c r="F199" i="5"/>
  <c r="E199" i="5"/>
  <c r="D199" i="5"/>
  <c r="C199" i="5"/>
  <c r="B199" i="5"/>
  <c r="F198" i="5"/>
  <c r="E198" i="5"/>
  <c r="D198" i="5"/>
  <c r="C198" i="5"/>
  <c r="B198" i="5"/>
  <c r="F197" i="5"/>
  <c r="E197" i="5"/>
  <c r="D197" i="5"/>
  <c r="C197" i="5"/>
  <c r="B197" i="5"/>
  <c r="F196" i="5"/>
  <c r="E196" i="5"/>
  <c r="D196" i="5"/>
  <c r="C196" i="5"/>
  <c r="B196" i="5"/>
  <c r="F195" i="5"/>
  <c r="E195" i="5"/>
  <c r="D195" i="5"/>
  <c r="C195" i="5"/>
  <c r="B195" i="5"/>
  <c r="F194" i="5"/>
  <c r="E194" i="5"/>
  <c r="D194" i="5"/>
  <c r="C194" i="5"/>
  <c r="B194" i="5"/>
  <c r="F193" i="5"/>
  <c r="E193" i="5"/>
  <c r="D193" i="5"/>
  <c r="C193" i="5"/>
  <c r="B193" i="5"/>
  <c r="F192" i="5"/>
  <c r="E192" i="5"/>
  <c r="D192" i="5"/>
  <c r="C192" i="5"/>
  <c r="B192" i="5"/>
  <c r="F191" i="5"/>
  <c r="E191" i="5"/>
  <c r="D191" i="5"/>
  <c r="C191" i="5"/>
  <c r="B191" i="5"/>
  <c r="F189" i="5"/>
  <c r="E189" i="5"/>
  <c r="D189" i="5"/>
  <c r="C189" i="5"/>
  <c r="B189" i="5"/>
  <c r="F188" i="5"/>
  <c r="E188" i="5"/>
  <c r="D188" i="5"/>
  <c r="C188" i="5"/>
  <c r="B188" i="5"/>
  <c r="F187" i="5"/>
  <c r="E187" i="5"/>
  <c r="D187" i="5"/>
  <c r="C187" i="5"/>
  <c r="B187" i="5"/>
  <c r="F186" i="5"/>
  <c r="E186" i="5"/>
  <c r="D186" i="5"/>
  <c r="C186" i="5"/>
  <c r="B186" i="5"/>
  <c r="F185" i="5"/>
  <c r="E185" i="5"/>
  <c r="D185" i="5"/>
  <c r="C185" i="5"/>
  <c r="B185" i="5"/>
  <c r="F184" i="5"/>
  <c r="E184" i="5"/>
  <c r="D184" i="5"/>
  <c r="C184" i="5"/>
  <c r="B184" i="5"/>
  <c r="F183" i="5"/>
  <c r="E183" i="5"/>
  <c r="D183" i="5"/>
  <c r="C183" i="5"/>
  <c r="B183" i="5"/>
  <c r="F182" i="5"/>
  <c r="E182" i="5"/>
  <c r="D182" i="5"/>
  <c r="C182" i="5"/>
  <c r="B182" i="5"/>
  <c r="F181" i="5"/>
  <c r="E181" i="5"/>
  <c r="D181" i="5"/>
  <c r="C181" i="5"/>
  <c r="B181" i="5"/>
  <c r="F180" i="5"/>
  <c r="E180" i="5"/>
  <c r="D180" i="5"/>
  <c r="C180" i="5"/>
  <c r="B180" i="5"/>
  <c r="F179" i="5"/>
  <c r="E179" i="5"/>
  <c r="D179" i="5"/>
  <c r="C179" i="5"/>
  <c r="B179" i="5"/>
  <c r="F178" i="5"/>
  <c r="E178" i="5"/>
  <c r="D178" i="5"/>
  <c r="C178" i="5"/>
  <c r="B178" i="5"/>
  <c r="F177" i="5"/>
  <c r="E177" i="5"/>
  <c r="D177" i="5"/>
  <c r="C177" i="5"/>
  <c r="B177" i="5"/>
  <c r="F176" i="5"/>
  <c r="E176" i="5"/>
  <c r="D176" i="5"/>
  <c r="C176" i="5"/>
  <c r="B176" i="5"/>
  <c r="F175" i="5"/>
  <c r="E175" i="5"/>
  <c r="D175" i="5"/>
  <c r="C175" i="5"/>
  <c r="B175" i="5"/>
  <c r="F174" i="5"/>
  <c r="E174" i="5"/>
  <c r="D174" i="5"/>
  <c r="C174" i="5"/>
  <c r="B174" i="5"/>
  <c r="F173" i="5"/>
  <c r="E173" i="5"/>
  <c r="D173" i="5"/>
  <c r="C173" i="5"/>
  <c r="B173" i="5"/>
  <c r="F172" i="5"/>
  <c r="E172" i="5"/>
  <c r="D172" i="5"/>
  <c r="C172" i="5"/>
  <c r="B172" i="5"/>
  <c r="F171" i="5"/>
  <c r="E171" i="5"/>
  <c r="D171" i="5"/>
  <c r="C171" i="5"/>
  <c r="B171" i="5"/>
  <c r="F170" i="5"/>
  <c r="E170" i="5"/>
  <c r="D170" i="5"/>
  <c r="C170" i="5"/>
  <c r="B170" i="5"/>
  <c r="F168" i="5"/>
  <c r="E168" i="5"/>
  <c r="D168" i="5"/>
  <c r="C168" i="5"/>
  <c r="B168" i="5"/>
  <c r="F167" i="5"/>
  <c r="E167" i="5"/>
  <c r="D167" i="5"/>
  <c r="C167" i="5"/>
  <c r="B167" i="5"/>
  <c r="F166" i="5"/>
  <c r="E166" i="5"/>
  <c r="D166" i="5"/>
  <c r="C166" i="5"/>
  <c r="B166" i="5"/>
  <c r="F165" i="5"/>
  <c r="E165" i="5"/>
  <c r="D165" i="5"/>
  <c r="C165" i="5"/>
  <c r="B165" i="5"/>
  <c r="F164" i="5"/>
  <c r="E164" i="5"/>
  <c r="D164" i="5"/>
  <c r="C164" i="5"/>
  <c r="B164" i="5"/>
  <c r="F163" i="5"/>
  <c r="E163" i="5"/>
  <c r="D163" i="5"/>
  <c r="C163" i="5"/>
  <c r="B163" i="5"/>
  <c r="F162" i="5"/>
  <c r="E162" i="5"/>
  <c r="D162" i="5"/>
  <c r="C162" i="5"/>
  <c r="B162" i="5"/>
  <c r="F161" i="5"/>
  <c r="E161" i="5"/>
  <c r="D161" i="5"/>
  <c r="C161" i="5"/>
  <c r="B161" i="5"/>
  <c r="F160" i="5"/>
  <c r="E160" i="5"/>
  <c r="D160" i="5"/>
  <c r="C160" i="5"/>
  <c r="B160" i="5"/>
  <c r="F159" i="5"/>
  <c r="E159" i="5"/>
  <c r="D159" i="5"/>
  <c r="C159" i="5"/>
  <c r="B159" i="5"/>
  <c r="F158" i="5"/>
  <c r="E158" i="5"/>
  <c r="D158" i="5"/>
  <c r="C158" i="5"/>
  <c r="B158" i="5"/>
  <c r="F157" i="5"/>
  <c r="E157" i="5"/>
  <c r="D157" i="5"/>
  <c r="C157" i="5"/>
  <c r="B157" i="5"/>
  <c r="F156" i="5"/>
  <c r="E156" i="5"/>
  <c r="D156" i="5"/>
  <c r="C156" i="5"/>
  <c r="B156" i="5"/>
  <c r="F155" i="5"/>
  <c r="E155" i="5"/>
  <c r="D155" i="5"/>
  <c r="C155" i="5"/>
  <c r="B155" i="5"/>
  <c r="F154" i="5"/>
  <c r="E154" i="5"/>
  <c r="D154" i="5"/>
  <c r="C154" i="5"/>
  <c r="B154" i="5"/>
  <c r="F153" i="5"/>
  <c r="E153" i="5"/>
  <c r="D153" i="5"/>
  <c r="C153" i="5"/>
  <c r="B153" i="5"/>
  <c r="F152" i="5"/>
  <c r="E152" i="5"/>
  <c r="D152" i="5"/>
  <c r="C152" i="5"/>
  <c r="B152" i="5"/>
  <c r="F151" i="5"/>
  <c r="E151" i="5"/>
  <c r="D151" i="5"/>
  <c r="C151" i="5"/>
  <c r="B151" i="5"/>
  <c r="F150" i="5"/>
  <c r="E150" i="5"/>
  <c r="D150" i="5"/>
  <c r="C150" i="5"/>
  <c r="B150" i="5"/>
  <c r="F149" i="5"/>
  <c r="E149" i="5"/>
  <c r="D149" i="5"/>
  <c r="C149" i="5"/>
  <c r="B149" i="5"/>
  <c r="H147" i="5"/>
  <c r="G147" i="5"/>
  <c r="F147" i="5"/>
  <c r="E147" i="5"/>
  <c r="D147" i="5"/>
  <c r="C147" i="5"/>
  <c r="B147" i="5"/>
  <c r="H146" i="5"/>
  <c r="G146" i="5"/>
  <c r="F146" i="5"/>
  <c r="E146" i="5"/>
  <c r="D146" i="5"/>
  <c r="C146" i="5"/>
  <c r="B146" i="5"/>
  <c r="H145" i="5"/>
  <c r="G145" i="5"/>
  <c r="F145" i="5"/>
  <c r="E145" i="5"/>
  <c r="D145" i="5"/>
  <c r="C145" i="5"/>
  <c r="B145" i="5"/>
  <c r="H144" i="5"/>
  <c r="G144" i="5"/>
  <c r="F144" i="5"/>
  <c r="E144" i="5"/>
  <c r="D144" i="5"/>
  <c r="C144" i="5"/>
  <c r="B144" i="5"/>
  <c r="H143" i="5"/>
  <c r="G143" i="5"/>
  <c r="F143" i="5"/>
  <c r="E143" i="5"/>
  <c r="D143" i="5"/>
  <c r="C143" i="5"/>
  <c r="B143" i="5"/>
  <c r="H142" i="5"/>
  <c r="G142" i="5"/>
  <c r="F142" i="5"/>
  <c r="E142" i="5"/>
  <c r="D142" i="5"/>
  <c r="C142" i="5"/>
  <c r="B142" i="5"/>
  <c r="H141" i="5"/>
  <c r="G141" i="5"/>
  <c r="F141" i="5"/>
  <c r="E141" i="5"/>
  <c r="D141" i="5"/>
  <c r="C141" i="5"/>
  <c r="B141" i="5"/>
  <c r="H140" i="5"/>
  <c r="G140" i="5"/>
  <c r="F140" i="5"/>
  <c r="E140" i="5"/>
  <c r="D140" i="5"/>
  <c r="C140" i="5"/>
  <c r="B140" i="5"/>
  <c r="H139" i="5"/>
  <c r="G139" i="5"/>
  <c r="F139" i="5"/>
  <c r="E139" i="5"/>
  <c r="D139" i="5"/>
  <c r="C139" i="5"/>
  <c r="B139" i="5"/>
  <c r="H138" i="5"/>
  <c r="G138" i="5"/>
  <c r="F138" i="5"/>
  <c r="E138" i="5"/>
  <c r="D138" i="5"/>
  <c r="C138" i="5"/>
  <c r="B138" i="5"/>
  <c r="H137" i="5"/>
  <c r="G137" i="5"/>
  <c r="F137" i="5"/>
  <c r="E137" i="5"/>
  <c r="D137" i="5"/>
  <c r="C137" i="5"/>
  <c r="B137" i="5"/>
  <c r="H136" i="5"/>
  <c r="G136" i="5"/>
  <c r="F136" i="5"/>
  <c r="E136" i="5"/>
  <c r="D136" i="5"/>
  <c r="C136" i="5"/>
  <c r="B136" i="5"/>
  <c r="H135" i="5"/>
  <c r="G135" i="5"/>
  <c r="F135" i="5"/>
  <c r="E135" i="5"/>
  <c r="D135" i="5"/>
  <c r="C135" i="5"/>
  <c r="B135" i="5"/>
  <c r="H134" i="5"/>
  <c r="G134" i="5"/>
  <c r="F134" i="5"/>
  <c r="E134" i="5"/>
  <c r="D134" i="5"/>
  <c r="C134" i="5"/>
  <c r="B134" i="5"/>
  <c r="H133" i="5"/>
  <c r="G133" i="5"/>
  <c r="F133" i="5"/>
  <c r="E133" i="5"/>
  <c r="D133" i="5"/>
  <c r="C133" i="5"/>
  <c r="B133" i="5"/>
  <c r="H132" i="5"/>
  <c r="G132" i="5"/>
  <c r="F132" i="5"/>
  <c r="E132" i="5"/>
  <c r="D132" i="5"/>
  <c r="C132" i="5"/>
  <c r="B132" i="5"/>
  <c r="H131" i="5"/>
  <c r="G131" i="5"/>
  <c r="F131" i="5"/>
  <c r="E131" i="5"/>
  <c r="D131" i="5"/>
  <c r="C131" i="5"/>
  <c r="B131" i="5"/>
  <c r="H130" i="5"/>
  <c r="G130" i="5"/>
  <c r="F130" i="5"/>
  <c r="E130" i="5"/>
  <c r="D130" i="5"/>
  <c r="C130" i="5"/>
  <c r="B130" i="5"/>
  <c r="H129" i="5"/>
  <c r="G129" i="5"/>
  <c r="F129" i="5"/>
  <c r="E129" i="5"/>
  <c r="D129" i="5"/>
  <c r="C129" i="5"/>
  <c r="B129" i="5"/>
  <c r="H128" i="5"/>
  <c r="G128" i="5"/>
  <c r="F128" i="5"/>
  <c r="E128" i="5"/>
  <c r="D128" i="5"/>
  <c r="C128" i="5"/>
  <c r="B128" i="5"/>
  <c r="F126" i="5"/>
  <c r="E126" i="5"/>
  <c r="D126" i="5"/>
  <c r="C126" i="5"/>
  <c r="B126" i="5"/>
  <c r="F125" i="5"/>
  <c r="E125" i="5"/>
  <c r="D125" i="5"/>
  <c r="C125" i="5"/>
  <c r="B125" i="5"/>
  <c r="F124" i="5"/>
  <c r="E124" i="5"/>
  <c r="D124" i="5"/>
  <c r="C124" i="5"/>
  <c r="B124" i="5"/>
  <c r="F123" i="5"/>
  <c r="E123" i="5"/>
  <c r="D123" i="5"/>
  <c r="C123" i="5"/>
  <c r="B123" i="5"/>
  <c r="F122" i="5"/>
  <c r="E122" i="5"/>
  <c r="D122" i="5"/>
  <c r="C122" i="5"/>
  <c r="B122" i="5"/>
  <c r="F121" i="5"/>
  <c r="E121" i="5"/>
  <c r="D121" i="5"/>
  <c r="C121" i="5"/>
  <c r="B121" i="5"/>
  <c r="F120" i="5"/>
  <c r="E120" i="5"/>
  <c r="D120" i="5"/>
  <c r="C120" i="5"/>
  <c r="B120" i="5"/>
  <c r="F119" i="5"/>
  <c r="E119" i="5"/>
  <c r="D119" i="5"/>
  <c r="C119" i="5"/>
  <c r="B119" i="5"/>
  <c r="F118" i="5"/>
  <c r="E118" i="5"/>
  <c r="D118" i="5"/>
  <c r="C118" i="5"/>
  <c r="B118" i="5"/>
  <c r="F117" i="5"/>
  <c r="E117" i="5"/>
  <c r="D117" i="5"/>
  <c r="C117" i="5"/>
  <c r="B117" i="5"/>
  <c r="F116" i="5"/>
  <c r="E116" i="5"/>
  <c r="D116" i="5"/>
  <c r="C116" i="5"/>
  <c r="B116" i="5"/>
  <c r="F115" i="5"/>
  <c r="E115" i="5"/>
  <c r="D115" i="5"/>
  <c r="C115" i="5"/>
  <c r="B115" i="5"/>
  <c r="F114" i="5"/>
  <c r="E114" i="5"/>
  <c r="D114" i="5"/>
  <c r="C114" i="5"/>
  <c r="B114" i="5"/>
  <c r="F113" i="5"/>
  <c r="E113" i="5"/>
  <c r="D113" i="5"/>
  <c r="C113" i="5"/>
  <c r="B113" i="5"/>
  <c r="F112" i="5"/>
  <c r="E112" i="5"/>
  <c r="D112" i="5"/>
  <c r="C112" i="5"/>
  <c r="B112" i="5"/>
  <c r="F111" i="5"/>
  <c r="E111" i="5"/>
  <c r="D111" i="5"/>
  <c r="C111" i="5"/>
  <c r="B111" i="5"/>
  <c r="F110" i="5"/>
  <c r="E110" i="5"/>
  <c r="D110" i="5"/>
  <c r="C110" i="5"/>
  <c r="B110" i="5"/>
  <c r="F109" i="5"/>
  <c r="E109" i="5"/>
  <c r="D109" i="5"/>
  <c r="C109" i="5"/>
  <c r="B109" i="5"/>
  <c r="F108" i="5"/>
  <c r="E108" i="5"/>
  <c r="D108" i="5"/>
  <c r="C108" i="5"/>
  <c r="B108" i="5"/>
  <c r="F107" i="5"/>
  <c r="E107" i="5"/>
  <c r="D107" i="5"/>
  <c r="C107" i="5"/>
  <c r="B107" i="5"/>
  <c r="F105" i="5"/>
  <c r="E105" i="5"/>
  <c r="D105" i="5"/>
  <c r="C105" i="5"/>
  <c r="B105" i="5"/>
  <c r="F104" i="5"/>
  <c r="E104" i="5"/>
  <c r="D104" i="5"/>
  <c r="C104" i="5"/>
  <c r="B104" i="5"/>
  <c r="F103" i="5"/>
  <c r="E103" i="5"/>
  <c r="D103" i="5"/>
  <c r="C103" i="5"/>
  <c r="B103" i="5"/>
  <c r="F102" i="5"/>
  <c r="E102" i="5"/>
  <c r="D102" i="5"/>
  <c r="C102" i="5"/>
  <c r="B102" i="5"/>
  <c r="F101" i="5"/>
  <c r="E101" i="5"/>
  <c r="D101" i="5"/>
  <c r="C101" i="5"/>
  <c r="B101" i="5"/>
  <c r="F100" i="5"/>
  <c r="E100" i="5"/>
  <c r="D100" i="5"/>
  <c r="C100" i="5"/>
  <c r="B100" i="5"/>
  <c r="F99" i="5"/>
  <c r="E99" i="5"/>
  <c r="D99" i="5"/>
  <c r="C99" i="5"/>
  <c r="B99" i="5"/>
  <c r="F98" i="5"/>
  <c r="E98" i="5"/>
  <c r="D98" i="5"/>
  <c r="C98" i="5"/>
  <c r="B98" i="5"/>
  <c r="F97" i="5"/>
  <c r="E97" i="5"/>
  <c r="D97" i="5"/>
  <c r="C97" i="5"/>
  <c r="B97" i="5"/>
  <c r="F96" i="5"/>
  <c r="E96" i="5"/>
  <c r="D96" i="5"/>
  <c r="C96" i="5"/>
  <c r="B96" i="5"/>
  <c r="F95" i="5"/>
  <c r="E95" i="5"/>
  <c r="D95" i="5"/>
  <c r="C95" i="5"/>
  <c r="B95" i="5"/>
  <c r="F94" i="5"/>
  <c r="E94" i="5"/>
  <c r="D94" i="5"/>
  <c r="C94" i="5"/>
  <c r="B94" i="5"/>
  <c r="F93" i="5"/>
  <c r="E93" i="5"/>
  <c r="D93" i="5"/>
  <c r="C93" i="5"/>
  <c r="B93" i="5"/>
  <c r="F92" i="5"/>
  <c r="E92" i="5"/>
  <c r="D92" i="5"/>
  <c r="C92" i="5"/>
  <c r="B92" i="5"/>
  <c r="F91" i="5"/>
  <c r="E91" i="5"/>
  <c r="D91" i="5"/>
  <c r="C91" i="5"/>
  <c r="B91" i="5"/>
  <c r="F90" i="5"/>
  <c r="E90" i="5"/>
  <c r="D90" i="5"/>
  <c r="C90" i="5"/>
  <c r="B90" i="5"/>
  <c r="F89" i="5"/>
  <c r="E89" i="5"/>
  <c r="D89" i="5"/>
  <c r="C89" i="5"/>
  <c r="B89" i="5"/>
  <c r="F88" i="5"/>
  <c r="E88" i="5"/>
  <c r="D88" i="5"/>
  <c r="C88" i="5"/>
  <c r="B88" i="5"/>
  <c r="F87" i="5"/>
  <c r="E87" i="5"/>
  <c r="D87" i="5"/>
  <c r="C87" i="5"/>
  <c r="B87" i="5"/>
  <c r="F86" i="5"/>
  <c r="E86" i="5"/>
  <c r="D86" i="5"/>
  <c r="C86" i="5"/>
  <c r="B86" i="5"/>
  <c r="F84" i="5"/>
  <c r="E84" i="5"/>
  <c r="D84" i="5"/>
  <c r="C84" i="5"/>
  <c r="B84" i="5"/>
  <c r="F83" i="5"/>
  <c r="E83" i="5"/>
  <c r="D83" i="5"/>
  <c r="C83" i="5"/>
  <c r="B83" i="5"/>
  <c r="F82" i="5"/>
  <c r="E82" i="5"/>
  <c r="D82" i="5"/>
  <c r="C82" i="5"/>
  <c r="B82" i="5"/>
  <c r="F81" i="5"/>
  <c r="E81" i="5"/>
  <c r="D81" i="5"/>
  <c r="C81" i="5"/>
  <c r="B81" i="5"/>
  <c r="F80" i="5"/>
  <c r="E80" i="5"/>
  <c r="D80" i="5"/>
  <c r="C80" i="5"/>
  <c r="B80" i="5"/>
  <c r="F79" i="5"/>
  <c r="E79" i="5"/>
  <c r="D79" i="5"/>
  <c r="C79" i="5"/>
  <c r="B79" i="5"/>
  <c r="F78" i="5"/>
  <c r="E78" i="5"/>
  <c r="D78" i="5"/>
  <c r="C78" i="5"/>
  <c r="B78" i="5"/>
  <c r="F77" i="5"/>
  <c r="E77" i="5"/>
  <c r="D77" i="5"/>
  <c r="C77" i="5"/>
  <c r="B77" i="5"/>
  <c r="F76" i="5"/>
  <c r="E76" i="5"/>
  <c r="D76" i="5"/>
  <c r="C76" i="5"/>
  <c r="B76" i="5"/>
  <c r="F75" i="5"/>
  <c r="E75" i="5"/>
  <c r="D75" i="5"/>
  <c r="C75" i="5"/>
  <c r="B75" i="5"/>
  <c r="F74" i="5"/>
  <c r="E74" i="5"/>
  <c r="D74" i="5"/>
  <c r="C74" i="5"/>
  <c r="B74" i="5"/>
  <c r="F73" i="5"/>
  <c r="E73" i="5"/>
  <c r="D73" i="5"/>
  <c r="C73" i="5"/>
  <c r="B73" i="5"/>
  <c r="F72" i="5"/>
  <c r="E72" i="5"/>
  <c r="D72" i="5"/>
  <c r="C72" i="5"/>
  <c r="B72" i="5"/>
  <c r="F71" i="5"/>
  <c r="E71" i="5"/>
  <c r="D71" i="5"/>
  <c r="C71" i="5"/>
  <c r="B71" i="5"/>
  <c r="F70" i="5"/>
  <c r="E70" i="5"/>
  <c r="D70" i="5"/>
  <c r="C70" i="5"/>
  <c r="B70" i="5"/>
  <c r="F69" i="5"/>
  <c r="E69" i="5"/>
  <c r="D69" i="5"/>
  <c r="C69" i="5"/>
  <c r="B69" i="5"/>
  <c r="F68" i="5"/>
  <c r="E68" i="5"/>
  <c r="D68" i="5"/>
  <c r="C68" i="5"/>
  <c r="B68" i="5"/>
  <c r="F67" i="5"/>
  <c r="E67" i="5"/>
  <c r="D67" i="5"/>
  <c r="C67" i="5"/>
  <c r="B67" i="5"/>
  <c r="F66" i="5"/>
  <c r="E66" i="5"/>
  <c r="D66" i="5"/>
  <c r="C66" i="5"/>
  <c r="B66" i="5"/>
  <c r="F65" i="5"/>
  <c r="E65" i="5"/>
  <c r="D65" i="5"/>
  <c r="C65" i="5"/>
  <c r="B65" i="5"/>
  <c r="K63" i="5"/>
  <c r="J63" i="5"/>
  <c r="I63" i="5"/>
  <c r="F63" i="5"/>
  <c r="E63" i="5"/>
  <c r="D63" i="5"/>
  <c r="C63" i="5"/>
  <c r="B63" i="5"/>
  <c r="K62" i="5"/>
  <c r="J62" i="5"/>
  <c r="I62" i="5"/>
  <c r="F62" i="5"/>
  <c r="E62" i="5"/>
  <c r="D62" i="5"/>
  <c r="C62" i="5"/>
  <c r="B62" i="5"/>
  <c r="K61" i="5"/>
  <c r="J61" i="5"/>
  <c r="I61" i="5"/>
  <c r="F61" i="5"/>
  <c r="E61" i="5"/>
  <c r="D61" i="5"/>
  <c r="C61" i="5"/>
  <c r="B61" i="5"/>
  <c r="K60" i="5"/>
  <c r="J60" i="5"/>
  <c r="I60" i="5"/>
  <c r="F60" i="5"/>
  <c r="E60" i="5"/>
  <c r="D60" i="5"/>
  <c r="C60" i="5"/>
  <c r="B60" i="5"/>
  <c r="K59" i="5"/>
  <c r="J59" i="5"/>
  <c r="I59" i="5"/>
  <c r="F59" i="5"/>
  <c r="E59" i="5"/>
  <c r="D59" i="5"/>
  <c r="C59" i="5"/>
  <c r="B59" i="5"/>
  <c r="K58" i="5"/>
  <c r="J58" i="5"/>
  <c r="I58" i="5"/>
  <c r="F58" i="5"/>
  <c r="E58" i="5"/>
  <c r="D58" i="5"/>
  <c r="C58" i="5"/>
  <c r="B58" i="5"/>
  <c r="K57" i="5"/>
  <c r="J57" i="5"/>
  <c r="I57" i="5"/>
  <c r="F57" i="5"/>
  <c r="E57" i="5"/>
  <c r="D57" i="5"/>
  <c r="C57" i="5"/>
  <c r="B57" i="5"/>
  <c r="J56" i="5"/>
  <c r="I56" i="5"/>
  <c r="F56" i="5"/>
  <c r="E56" i="5"/>
  <c r="D56" i="5"/>
  <c r="C56" i="5"/>
  <c r="B56" i="5"/>
  <c r="J55" i="5"/>
  <c r="I55" i="5"/>
  <c r="F55" i="5"/>
  <c r="E55" i="5"/>
  <c r="D55" i="5"/>
  <c r="C55" i="5"/>
  <c r="B55" i="5"/>
  <c r="J54" i="5"/>
  <c r="I54" i="5"/>
  <c r="F54" i="5"/>
  <c r="E54" i="5"/>
  <c r="D54" i="5"/>
  <c r="C54" i="5"/>
  <c r="B54" i="5"/>
  <c r="J53" i="5"/>
  <c r="I53" i="5"/>
  <c r="F53" i="5"/>
  <c r="E53" i="5"/>
  <c r="D53" i="5"/>
  <c r="C53" i="5"/>
  <c r="B53" i="5"/>
  <c r="I52" i="5"/>
  <c r="F52" i="5"/>
  <c r="E52" i="5"/>
  <c r="D52" i="5"/>
  <c r="C52" i="5"/>
  <c r="B52" i="5"/>
  <c r="I51" i="5"/>
  <c r="F51" i="5"/>
  <c r="E51" i="5"/>
  <c r="D51" i="5"/>
  <c r="C51" i="5"/>
  <c r="B51" i="5"/>
  <c r="I50" i="5"/>
  <c r="F50" i="5"/>
  <c r="E50" i="5"/>
  <c r="D50" i="5"/>
  <c r="C50" i="5"/>
  <c r="B50" i="5"/>
  <c r="I49" i="5"/>
  <c r="F49" i="5"/>
  <c r="E49" i="5"/>
  <c r="D49" i="5"/>
  <c r="C49" i="5"/>
  <c r="B49" i="5"/>
  <c r="I48" i="5"/>
  <c r="F48" i="5"/>
  <c r="E48" i="5"/>
  <c r="D48" i="5"/>
  <c r="C48" i="5"/>
  <c r="B48" i="5"/>
  <c r="F47" i="5"/>
  <c r="E47" i="5"/>
  <c r="D47" i="5"/>
  <c r="C47" i="5"/>
  <c r="B47" i="5"/>
  <c r="F46" i="5"/>
  <c r="E46" i="5"/>
  <c r="D46" i="5"/>
  <c r="C46" i="5"/>
  <c r="B46" i="5"/>
  <c r="F45" i="5"/>
  <c r="E45" i="5"/>
  <c r="D45" i="5"/>
  <c r="C45" i="5"/>
  <c r="B45" i="5"/>
  <c r="F44" i="5"/>
  <c r="E44" i="5"/>
  <c r="D44" i="5"/>
  <c r="C44" i="5"/>
  <c r="B44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G317" i="4"/>
  <c r="E317" i="4"/>
  <c r="C317" i="4"/>
  <c r="G316" i="4"/>
  <c r="E316" i="4"/>
  <c r="C316" i="4"/>
  <c r="G315" i="4"/>
  <c r="E315" i="4"/>
  <c r="C315" i="4"/>
  <c r="G314" i="4"/>
  <c r="E314" i="4"/>
  <c r="C314" i="4"/>
  <c r="G313" i="4"/>
  <c r="E313" i="4"/>
  <c r="C313" i="4"/>
  <c r="G312" i="4"/>
  <c r="E312" i="4"/>
  <c r="C312" i="4"/>
  <c r="G311" i="4"/>
  <c r="E311" i="4"/>
  <c r="C311" i="4"/>
  <c r="G310" i="4"/>
  <c r="E310" i="4"/>
  <c r="C310" i="4"/>
  <c r="G309" i="4"/>
  <c r="E309" i="4"/>
  <c r="C309" i="4"/>
  <c r="G308" i="4"/>
  <c r="E308" i="4"/>
  <c r="C308" i="4"/>
  <c r="G307" i="4"/>
  <c r="E307" i="4"/>
  <c r="C307" i="4"/>
  <c r="G306" i="4"/>
  <c r="E306" i="4"/>
  <c r="C306" i="4"/>
  <c r="G305" i="4"/>
  <c r="E305" i="4"/>
  <c r="C305" i="4"/>
  <c r="G304" i="4"/>
  <c r="E304" i="4"/>
  <c r="C304" i="4"/>
  <c r="G303" i="4"/>
  <c r="E303" i="4"/>
  <c r="C303" i="4"/>
  <c r="G302" i="4"/>
  <c r="E302" i="4"/>
  <c r="C302" i="4"/>
  <c r="G301" i="4"/>
  <c r="E301" i="4"/>
  <c r="C301" i="4"/>
  <c r="G300" i="4"/>
  <c r="E300" i="4"/>
  <c r="C300" i="4"/>
  <c r="G299" i="4"/>
  <c r="E299" i="4"/>
  <c r="C299" i="4"/>
  <c r="G298" i="4"/>
  <c r="E298" i="4"/>
  <c r="C298" i="4"/>
  <c r="G296" i="4"/>
  <c r="E296" i="4"/>
  <c r="C296" i="4"/>
  <c r="G295" i="4"/>
  <c r="E295" i="4"/>
  <c r="C295" i="4"/>
  <c r="G294" i="4"/>
  <c r="E294" i="4"/>
  <c r="C294" i="4"/>
  <c r="G293" i="4"/>
  <c r="E293" i="4"/>
  <c r="C293" i="4"/>
  <c r="G292" i="4"/>
  <c r="E292" i="4"/>
  <c r="C292" i="4"/>
  <c r="G291" i="4"/>
  <c r="E291" i="4"/>
  <c r="C291" i="4"/>
  <c r="G290" i="4"/>
  <c r="E290" i="4"/>
  <c r="C290" i="4"/>
  <c r="G289" i="4"/>
  <c r="E289" i="4"/>
  <c r="C289" i="4"/>
  <c r="G288" i="4"/>
  <c r="E288" i="4"/>
  <c r="C288" i="4"/>
  <c r="G287" i="4"/>
  <c r="E287" i="4"/>
  <c r="C287" i="4"/>
  <c r="G286" i="4"/>
  <c r="E286" i="4"/>
  <c r="C286" i="4"/>
  <c r="G285" i="4"/>
  <c r="E285" i="4"/>
  <c r="C285" i="4"/>
  <c r="G284" i="4"/>
  <c r="E284" i="4"/>
  <c r="C284" i="4"/>
  <c r="G283" i="4"/>
  <c r="E283" i="4"/>
  <c r="C283" i="4"/>
  <c r="G282" i="4"/>
  <c r="E282" i="4"/>
  <c r="C282" i="4"/>
  <c r="G281" i="4"/>
  <c r="E281" i="4"/>
  <c r="C281" i="4"/>
  <c r="G280" i="4"/>
  <c r="E280" i="4"/>
  <c r="C280" i="4"/>
  <c r="G279" i="4"/>
  <c r="E279" i="4"/>
  <c r="C279" i="4"/>
  <c r="G278" i="4"/>
  <c r="E278" i="4"/>
  <c r="C278" i="4"/>
  <c r="G277" i="4"/>
  <c r="E277" i="4"/>
  <c r="C277" i="4"/>
  <c r="G275" i="4"/>
  <c r="E275" i="4"/>
  <c r="C275" i="4"/>
  <c r="G274" i="4"/>
  <c r="E274" i="4"/>
  <c r="C274" i="4"/>
  <c r="G273" i="4"/>
  <c r="E273" i="4"/>
  <c r="C273" i="4"/>
  <c r="G272" i="4"/>
  <c r="E272" i="4"/>
  <c r="C272" i="4"/>
  <c r="G271" i="4"/>
  <c r="E271" i="4"/>
  <c r="C271" i="4"/>
  <c r="G270" i="4"/>
  <c r="E270" i="4"/>
  <c r="C270" i="4"/>
  <c r="G269" i="4"/>
  <c r="E269" i="4"/>
  <c r="C269" i="4"/>
  <c r="G268" i="4"/>
  <c r="E268" i="4"/>
  <c r="C268" i="4"/>
  <c r="G267" i="4"/>
  <c r="E267" i="4"/>
  <c r="C267" i="4"/>
  <c r="G266" i="4"/>
  <c r="E266" i="4"/>
  <c r="C266" i="4"/>
  <c r="G265" i="4"/>
  <c r="E265" i="4"/>
  <c r="C265" i="4"/>
  <c r="G264" i="4"/>
  <c r="E264" i="4"/>
  <c r="C264" i="4"/>
  <c r="G263" i="4"/>
  <c r="E263" i="4"/>
  <c r="C263" i="4"/>
  <c r="G262" i="4"/>
  <c r="E262" i="4"/>
  <c r="C262" i="4"/>
  <c r="G261" i="4"/>
  <c r="E261" i="4"/>
  <c r="C261" i="4"/>
  <c r="G260" i="4"/>
  <c r="E260" i="4"/>
  <c r="C260" i="4"/>
  <c r="G259" i="4"/>
  <c r="E259" i="4"/>
  <c r="C259" i="4"/>
  <c r="G258" i="4"/>
  <c r="E258" i="4"/>
  <c r="C258" i="4"/>
  <c r="G257" i="4"/>
  <c r="E257" i="4"/>
  <c r="C257" i="4"/>
  <c r="G256" i="4"/>
  <c r="E256" i="4"/>
  <c r="C256" i="4"/>
  <c r="G254" i="4"/>
  <c r="E254" i="4"/>
  <c r="C254" i="4"/>
  <c r="G253" i="4"/>
  <c r="E253" i="4"/>
  <c r="C253" i="4"/>
  <c r="G252" i="4"/>
  <c r="E252" i="4"/>
  <c r="C252" i="4"/>
  <c r="G251" i="4"/>
  <c r="E251" i="4"/>
  <c r="C251" i="4"/>
  <c r="G250" i="4"/>
  <c r="E250" i="4"/>
  <c r="C250" i="4"/>
  <c r="G249" i="4"/>
  <c r="E249" i="4"/>
  <c r="C249" i="4"/>
  <c r="G248" i="4"/>
  <c r="E248" i="4"/>
  <c r="C248" i="4"/>
  <c r="G247" i="4"/>
  <c r="E247" i="4"/>
  <c r="C247" i="4"/>
  <c r="G246" i="4"/>
  <c r="E246" i="4"/>
  <c r="C246" i="4"/>
  <c r="G245" i="4"/>
  <c r="E245" i="4"/>
  <c r="C245" i="4"/>
  <c r="G244" i="4"/>
  <c r="E244" i="4"/>
  <c r="C244" i="4"/>
  <c r="G243" i="4"/>
  <c r="E243" i="4"/>
  <c r="C243" i="4"/>
  <c r="G242" i="4"/>
  <c r="E242" i="4"/>
  <c r="C242" i="4"/>
  <c r="G241" i="4"/>
  <c r="E241" i="4"/>
  <c r="C241" i="4"/>
  <c r="G240" i="4"/>
  <c r="E240" i="4"/>
  <c r="C240" i="4"/>
  <c r="G239" i="4"/>
  <c r="E239" i="4"/>
  <c r="C239" i="4"/>
  <c r="G238" i="4"/>
  <c r="E238" i="4"/>
  <c r="C238" i="4"/>
  <c r="G237" i="4"/>
  <c r="E237" i="4"/>
  <c r="C237" i="4"/>
  <c r="G236" i="4"/>
  <c r="E236" i="4"/>
  <c r="C236" i="4"/>
  <c r="G235" i="4"/>
  <c r="E235" i="4"/>
  <c r="C235" i="4"/>
  <c r="G233" i="4"/>
  <c r="E233" i="4"/>
  <c r="C233" i="4"/>
  <c r="G232" i="4"/>
  <c r="E232" i="4"/>
  <c r="C232" i="4"/>
  <c r="G231" i="4"/>
  <c r="E231" i="4"/>
  <c r="C231" i="4"/>
  <c r="G230" i="4"/>
  <c r="E230" i="4"/>
  <c r="C230" i="4"/>
  <c r="G229" i="4"/>
  <c r="E229" i="4"/>
  <c r="C229" i="4"/>
  <c r="G228" i="4"/>
  <c r="E228" i="4"/>
  <c r="C228" i="4"/>
  <c r="G227" i="4"/>
  <c r="E227" i="4"/>
  <c r="C227" i="4"/>
  <c r="G226" i="4"/>
  <c r="E226" i="4"/>
  <c r="C226" i="4"/>
  <c r="G225" i="4"/>
  <c r="E225" i="4"/>
  <c r="C225" i="4"/>
  <c r="G224" i="4"/>
  <c r="E224" i="4"/>
  <c r="C224" i="4"/>
  <c r="G223" i="4"/>
  <c r="E223" i="4"/>
  <c r="C223" i="4"/>
  <c r="G222" i="4"/>
  <c r="E222" i="4"/>
  <c r="C222" i="4"/>
  <c r="G221" i="4"/>
  <c r="E221" i="4"/>
  <c r="C221" i="4"/>
  <c r="G220" i="4"/>
  <c r="E220" i="4"/>
  <c r="C220" i="4"/>
  <c r="G219" i="4"/>
  <c r="E219" i="4"/>
  <c r="C219" i="4"/>
  <c r="G218" i="4"/>
  <c r="E218" i="4"/>
  <c r="C218" i="4"/>
  <c r="G217" i="4"/>
  <c r="E217" i="4"/>
  <c r="C217" i="4"/>
  <c r="G216" i="4"/>
  <c r="E216" i="4"/>
  <c r="C216" i="4"/>
  <c r="G215" i="4"/>
  <c r="E215" i="4"/>
  <c r="C215" i="4"/>
  <c r="G214" i="4"/>
  <c r="E214" i="4"/>
  <c r="C214" i="4"/>
  <c r="G212" i="4"/>
  <c r="E212" i="4"/>
  <c r="C212" i="4"/>
  <c r="G211" i="4"/>
  <c r="E211" i="4"/>
  <c r="C211" i="4"/>
  <c r="G210" i="4"/>
  <c r="E210" i="4"/>
  <c r="C210" i="4"/>
  <c r="G209" i="4"/>
  <c r="E209" i="4"/>
  <c r="C209" i="4"/>
  <c r="G208" i="4"/>
  <c r="E208" i="4"/>
  <c r="C208" i="4"/>
  <c r="G207" i="4"/>
  <c r="E207" i="4"/>
  <c r="C207" i="4"/>
  <c r="G206" i="4"/>
  <c r="E206" i="4"/>
  <c r="C206" i="4"/>
  <c r="G205" i="4"/>
  <c r="E205" i="4"/>
  <c r="C205" i="4"/>
  <c r="G204" i="4"/>
  <c r="E204" i="4"/>
  <c r="C204" i="4"/>
  <c r="G203" i="4"/>
  <c r="E203" i="4"/>
  <c r="C203" i="4"/>
  <c r="G202" i="4"/>
  <c r="E202" i="4"/>
  <c r="C202" i="4"/>
  <c r="G201" i="4"/>
  <c r="E201" i="4"/>
  <c r="C201" i="4"/>
  <c r="G200" i="4"/>
  <c r="E200" i="4"/>
  <c r="C200" i="4"/>
  <c r="G199" i="4"/>
  <c r="E199" i="4"/>
  <c r="C199" i="4"/>
  <c r="G198" i="4"/>
  <c r="E198" i="4"/>
  <c r="C198" i="4"/>
  <c r="G197" i="4"/>
  <c r="E197" i="4"/>
  <c r="C197" i="4"/>
  <c r="G196" i="4"/>
  <c r="E196" i="4"/>
  <c r="C196" i="4"/>
  <c r="G195" i="4"/>
  <c r="E195" i="4"/>
  <c r="C195" i="4"/>
  <c r="G194" i="4"/>
  <c r="E194" i="4"/>
  <c r="C194" i="4"/>
  <c r="G193" i="4"/>
  <c r="E193" i="4"/>
  <c r="C193" i="4"/>
  <c r="G191" i="4"/>
  <c r="E191" i="4"/>
  <c r="C191" i="4"/>
  <c r="G190" i="4"/>
  <c r="E190" i="4"/>
  <c r="C190" i="4"/>
  <c r="G189" i="4"/>
  <c r="E189" i="4"/>
  <c r="C189" i="4"/>
  <c r="G188" i="4"/>
  <c r="E188" i="4"/>
  <c r="C188" i="4"/>
  <c r="G187" i="4"/>
  <c r="E187" i="4"/>
  <c r="C187" i="4"/>
  <c r="G186" i="4"/>
  <c r="E186" i="4"/>
  <c r="C186" i="4"/>
  <c r="G185" i="4"/>
  <c r="E185" i="4"/>
  <c r="C185" i="4"/>
  <c r="G184" i="4"/>
  <c r="E184" i="4"/>
  <c r="C184" i="4"/>
  <c r="G183" i="4"/>
  <c r="E183" i="4"/>
  <c r="C183" i="4"/>
  <c r="G182" i="4"/>
  <c r="E182" i="4"/>
  <c r="C182" i="4"/>
  <c r="G181" i="4"/>
  <c r="E181" i="4"/>
  <c r="C181" i="4"/>
  <c r="G180" i="4"/>
  <c r="E180" i="4"/>
  <c r="C180" i="4"/>
  <c r="G179" i="4"/>
  <c r="E179" i="4"/>
  <c r="C179" i="4"/>
  <c r="G178" i="4"/>
  <c r="E178" i="4"/>
  <c r="C178" i="4"/>
  <c r="G177" i="4"/>
  <c r="E177" i="4"/>
  <c r="C177" i="4"/>
  <c r="G176" i="4"/>
  <c r="E176" i="4"/>
  <c r="C176" i="4"/>
  <c r="G175" i="4"/>
  <c r="E175" i="4"/>
  <c r="C175" i="4"/>
  <c r="G174" i="4"/>
  <c r="E174" i="4"/>
  <c r="C174" i="4"/>
  <c r="G173" i="4"/>
  <c r="E173" i="4"/>
  <c r="C173" i="4"/>
  <c r="G172" i="4"/>
  <c r="E172" i="4"/>
  <c r="C172" i="4"/>
  <c r="G170" i="4"/>
  <c r="E170" i="4"/>
  <c r="C170" i="4"/>
  <c r="G169" i="4"/>
  <c r="E169" i="4"/>
  <c r="C169" i="4"/>
  <c r="G168" i="4"/>
  <c r="E168" i="4"/>
  <c r="C168" i="4"/>
  <c r="G167" i="4"/>
  <c r="E167" i="4"/>
  <c r="C167" i="4"/>
  <c r="G166" i="4"/>
  <c r="E166" i="4"/>
  <c r="C166" i="4"/>
  <c r="G165" i="4"/>
  <c r="E165" i="4"/>
  <c r="C165" i="4"/>
  <c r="G164" i="4"/>
  <c r="E164" i="4"/>
  <c r="C164" i="4"/>
  <c r="G163" i="4"/>
  <c r="E163" i="4"/>
  <c r="C163" i="4"/>
  <c r="G162" i="4"/>
  <c r="E162" i="4"/>
  <c r="C162" i="4"/>
  <c r="G161" i="4"/>
  <c r="E161" i="4"/>
  <c r="C161" i="4"/>
  <c r="G160" i="4"/>
  <c r="E160" i="4"/>
  <c r="C160" i="4"/>
  <c r="G159" i="4"/>
  <c r="E159" i="4"/>
  <c r="C159" i="4"/>
  <c r="G158" i="4"/>
  <c r="E158" i="4"/>
  <c r="C158" i="4"/>
  <c r="G157" i="4"/>
  <c r="E157" i="4"/>
  <c r="C157" i="4"/>
  <c r="G156" i="4"/>
  <c r="E156" i="4"/>
  <c r="C156" i="4"/>
  <c r="G155" i="4"/>
  <c r="E155" i="4"/>
  <c r="C155" i="4"/>
  <c r="G154" i="4"/>
  <c r="E154" i="4"/>
  <c r="C154" i="4"/>
  <c r="G153" i="4"/>
  <c r="E153" i="4"/>
  <c r="C153" i="4"/>
  <c r="G152" i="4"/>
  <c r="E152" i="4"/>
  <c r="C152" i="4"/>
  <c r="G151" i="4"/>
  <c r="E151" i="4"/>
  <c r="C151" i="4"/>
  <c r="G149" i="4"/>
  <c r="E149" i="4"/>
  <c r="C149" i="4"/>
  <c r="G148" i="4"/>
  <c r="E148" i="4"/>
  <c r="C148" i="4"/>
  <c r="G147" i="4"/>
  <c r="E147" i="4"/>
  <c r="C147" i="4"/>
  <c r="G146" i="4"/>
  <c r="E146" i="4"/>
  <c r="C146" i="4"/>
  <c r="G145" i="4"/>
  <c r="E145" i="4"/>
  <c r="C145" i="4"/>
  <c r="G144" i="4"/>
  <c r="E144" i="4"/>
  <c r="C144" i="4"/>
  <c r="G143" i="4"/>
  <c r="E143" i="4"/>
  <c r="C143" i="4"/>
  <c r="G142" i="4"/>
  <c r="E142" i="4"/>
  <c r="C142" i="4"/>
  <c r="G141" i="4"/>
  <c r="E141" i="4"/>
  <c r="C141" i="4"/>
  <c r="G140" i="4"/>
  <c r="E140" i="4"/>
  <c r="C140" i="4"/>
  <c r="G139" i="4"/>
  <c r="E139" i="4"/>
  <c r="C139" i="4"/>
  <c r="G138" i="4"/>
  <c r="E138" i="4"/>
  <c r="C138" i="4"/>
  <c r="G137" i="4"/>
  <c r="E137" i="4"/>
  <c r="C137" i="4"/>
  <c r="G136" i="4"/>
  <c r="E136" i="4"/>
  <c r="C136" i="4"/>
  <c r="G135" i="4"/>
  <c r="E135" i="4"/>
  <c r="C135" i="4"/>
  <c r="G134" i="4"/>
  <c r="E134" i="4"/>
  <c r="C134" i="4"/>
  <c r="G133" i="4"/>
  <c r="E133" i="4"/>
  <c r="C133" i="4"/>
  <c r="G132" i="4"/>
  <c r="E132" i="4"/>
  <c r="C132" i="4"/>
  <c r="G131" i="4"/>
  <c r="E131" i="4"/>
  <c r="C131" i="4"/>
  <c r="G130" i="4"/>
  <c r="E130" i="4"/>
  <c r="C130" i="4"/>
  <c r="G128" i="4"/>
  <c r="E128" i="4"/>
  <c r="C128" i="4"/>
  <c r="G127" i="4"/>
  <c r="E127" i="4"/>
  <c r="C127" i="4"/>
  <c r="G126" i="4"/>
  <c r="E126" i="4"/>
  <c r="C126" i="4"/>
  <c r="G125" i="4"/>
  <c r="E125" i="4"/>
  <c r="C125" i="4"/>
  <c r="G124" i="4"/>
  <c r="E124" i="4"/>
  <c r="C124" i="4"/>
  <c r="G123" i="4"/>
  <c r="E123" i="4"/>
  <c r="C123" i="4"/>
  <c r="G122" i="4"/>
  <c r="E122" i="4"/>
  <c r="C122" i="4"/>
  <c r="G121" i="4"/>
  <c r="E121" i="4"/>
  <c r="C121" i="4"/>
  <c r="G120" i="4"/>
  <c r="E120" i="4"/>
  <c r="C120" i="4"/>
  <c r="G119" i="4"/>
  <c r="E119" i="4"/>
  <c r="C119" i="4"/>
  <c r="G118" i="4"/>
  <c r="E118" i="4"/>
  <c r="C118" i="4"/>
  <c r="G117" i="4"/>
  <c r="E117" i="4"/>
  <c r="C117" i="4"/>
  <c r="G116" i="4"/>
  <c r="E116" i="4"/>
  <c r="C116" i="4"/>
  <c r="G115" i="4"/>
  <c r="E115" i="4"/>
  <c r="C115" i="4"/>
  <c r="G114" i="4"/>
  <c r="E114" i="4"/>
  <c r="C114" i="4"/>
  <c r="G113" i="4"/>
  <c r="E113" i="4"/>
  <c r="C113" i="4"/>
  <c r="G112" i="4"/>
  <c r="E112" i="4"/>
  <c r="C112" i="4"/>
  <c r="G111" i="4"/>
  <c r="E111" i="4"/>
  <c r="C111" i="4"/>
  <c r="G110" i="4"/>
  <c r="E110" i="4"/>
  <c r="C110" i="4"/>
  <c r="G109" i="4"/>
  <c r="E109" i="4"/>
  <c r="C109" i="4"/>
  <c r="G107" i="4"/>
  <c r="E107" i="4"/>
  <c r="C107" i="4"/>
  <c r="G106" i="4"/>
  <c r="E106" i="4"/>
  <c r="C106" i="4"/>
  <c r="G105" i="4"/>
  <c r="E105" i="4"/>
  <c r="C105" i="4"/>
  <c r="G104" i="4"/>
  <c r="E104" i="4"/>
  <c r="C104" i="4"/>
  <c r="G103" i="4"/>
  <c r="E103" i="4"/>
  <c r="C103" i="4"/>
  <c r="G102" i="4"/>
  <c r="E102" i="4"/>
  <c r="C102" i="4"/>
  <c r="G101" i="4"/>
  <c r="E101" i="4"/>
  <c r="C101" i="4"/>
  <c r="G100" i="4"/>
  <c r="E100" i="4"/>
  <c r="C100" i="4"/>
  <c r="G99" i="4"/>
  <c r="E99" i="4"/>
  <c r="C99" i="4"/>
  <c r="G98" i="4"/>
  <c r="E98" i="4"/>
  <c r="C98" i="4"/>
  <c r="G97" i="4"/>
  <c r="E97" i="4"/>
  <c r="C97" i="4"/>
  <c r="G96" i="4"/>
  <c r="E96" i="4"/>
  <c r="C96" i="4"/>
  <c r="G95" i="4"/>
  <c r="E95" i="4"/>
  <c r="C95" i="4"/>
  <c r="G94" i="4"/>
  <c r="E94" i="4"/>
  <c r="C94" i="4"/>
  <c r="G93" i="4"/>
  <c r="E93" i="4"/>
  <c r="C93" i="4"/>
  <c r="G92" i="4"/>
  <c r="E92" i="4"/>
  <c r="C92" i="4"/>
  <c r="G91" i="4"/>
  <c r="E91" i="4"/>
  <c r="C91" i="4"/>
  <c r="G90" i="4"/>
  <c r="E90" i="4"/>
  <c r="C90" i="4"/>
  <c r="G89" i="4"/>
  <c r="E89" i="4"/>
  <c r="C89" i="4"/>
  <c r="G88" i="4"/>
  <c r="E88" i="4"/>
  <c r="C88" i="4"/>
  <c r="G86" i="4"/>
  <c r="E86" i="4"/>
  <c r="C86" i="4"/>
  <c r="G85" i="4"/>
  <c r="E85" i="4"/>
  <c r="C85" i="4"/>
  <c r="G84" i="4"/>
  <c r="E84" i="4"/>
  <c r="C84" i="4"/>
  <c r="G83" i="4"/>
  <c r="E83" i="4"/>
  <c r="C83" i="4"/>
  <c r="G82" i="4"/>
  <c r="E82" i="4"/>
  <c r="C82" i="4"/>
  <c r="G81" i="4"/>
  <c r="E81" i="4"/>
  <c r="C81" i="4"/>
  <c r="G80" i="4"/>
  <c r="E80" i="4"/>
  <c r="C80" i="4"/>
  <c r="G79" i="4"/>
  <c r="E79" i="4"/>
  <c r="C79" i="4"/>
  <c r="G78" i="4"/>
  <c r="E78" i="4"/>
  <c r="C78" i="4"/>
  <c r="G77" i="4"/>
  <c r="E77" i="4"/>
  <c r="C77" i="4"/>
  <c r="G76" i="4"/>
  <c r="E76" i="4"/>
  <c r="C76" i="4"/>
  <c r="G75" i="4"/>
  <c r="E75" i="4"/>
  <c r="C75" i="4"/>
  <c r="G74" i="4"/>
  <c r="E74" i="4"/>
  <c r="C74" i="4"/>
  <c r="G73" i="4"/>
  <c r="E73" i="4"/>
  <c r="C73" i="4"/>
  <c r="G72" i="4"/>
  <c r="E72" i="4"/>
  <c r="C72" i="4"/>
  <c r="G71" i="4"/>
  <c r="E71" i="4"/>
  <c r="C71" i="4"/>
  <c r="G70" i="4"/>
  <c r="E70" i="4"/>
  <c r="C70" i="4"/>
  <c r="G69" i="4"/>
  <c r="E69" i="4"/>
  <c r="C69" i="4"/>
  <c r="G68" i="4"/>
  <c r="E68" i="4"/>
  <c r="C68" i="4"/>
  <c r="G67" i="4"/>
  <c r="E67" i="4"/>
  <c r="C67" i="4"/>
  <c r="G65" i="4"/>
  <c r="E65" i="4"/>
  <c r="C65" i="4"/>
  <c r="G64" i="4"/>
  <c r="E64" i="4"/>
  <c r="C64" i="4"/>
  <c r="G63" i="4"/>
  <c r="E63" i="4"/>
  <c r="C63" i="4"/>
  <c r="G62" i="4"/>
  <c r="E62" i="4"/>
  <c r="C62" i="4"/>
  <c r="G61" i="4"/>
  <c r="E61" i="4"/>
  <c r="C61" i="4"/>
  <c r="G60" i="4"/>
  <c r="E60" i="4"/>
  <c r="C60" i="4"/>
  <c r="G59" i="4"/>
  <c r="E59" i="4"/>
  <c r="C59" i="4"/>
  <c r="G58" i="4"/>
  <c r="E58" i="4"/>
  <c r="C58" i="4"/>
  <c r="G57" i="4"/>
  <c r="E57" i="4"/>
  <c r="C57" i="4"/>
  <c r="G56" i="4"/>
  <c r="E56" i="4"/>
  <c r="C56" i="4"/>
  <c r="G55" i="4"/>
  <c r="E55" i="4"/>
  <c r="C55" i="4"/>
  <c r="G54" i="4"/>
  <c r="E54" i="4"/>
  <c r="C54" i="4"/>
  <c r="G53" i="4"/>
  <c r="E53" i="4"/>
  <c r="C53" i="4"/>
  <c r="G52" i="4"/>
  <c r="E52" i="4"/>
  <c r="C52" i="4"/>
  <c r="G51" i="4"/>
  <c r="E51" i="4"/>
  <c r="C51" i="4"/>
  <c r="G50" i="4"/>
  <c r="E50" i="4"/>
  <c r="C50" i="4"/>
  <c r="G49" i="4"/>
  <c r="E49" i="4"/>
  <c r="C49" i="4"/>
  <c r="G48" i="4"/>
  <c r="E48" i="4"/>
  <c r="C48" i="4"/>
  <c r="G47" i="4"/>
  <c r="E47" i="4"/>
  <c r="C47" i="4"/>
  <c r="G46" i="4"/>
  <c r="E46" i="4"/>
  <c r="C46" i="4"/>
  <c r="G44" i="4"/>
  <c r="E44" i="4"/>
  <c r="C44" i="4"/>
  <c r="G43" i="4"/>
  <c r="E43" i="4"/>
  <c r="C43" i="4"/>
  <c r="G42" i="4"/>
  <c r="E42" i="4"/>
  <c r="C42" i="4"/>
  <c r="G41" i="4"/>
  <c r="E41" i="4"/>
  <c r="C41" i="4"/>
  <c r="G40" i="4"/>
  <c r="E40" i="4"/>
  <c r="C40" i="4"/>
  <c r="G39" i="4"/>
  <c r="E39" i="4"/>
  <c r="C39" i="4"/>
  <c r="G38" i="4"/>
  <c r="E38" i="4"/>
  <c r="C38" i="4"/>
  <c r="G37" i="4"/>
  <c r="E37" i="4"/>
  <c r="C37" i="4"/>
  <c r="G36" i="4"/>
  <c r="E36" i="4"/>
  <c r="C36" i="4"/>
  <c r="G35" i="4"/>
  <c r="E35" i="4"/>
  <c r="C35" i="4"/>
  <c r="G34" i="4"/>
  <c r="E34" i="4"/>
  <c r="C34" i="4"/>
  <c r="G33" i="4"/>
  <c r="E33" i="4"/>
  <c r="C33" i="4"/>
  <c r="G32" i="4"/>
  <c r="E32" i="4"/>
  <c r="C32" i="4"/>
  <c r="G31" i="4"/>
  <c r="E31" i="4"/>
  <c r="C31" i="4"/>
  <c r="G30" i="4"/>
  <c r="E30" i="4"/>
  <c r="C30" i="4"/>
  <c r="G29" i="4"/>
  <c r="E29" i="4"/>
  <c r="C29" i="4"/>
  <c r="G28" i="4"/>
  <c r="E28" i="4"/>
  <c r="C28" i="4"/>
  <c r="G27" i="4"/>
  <c r="E27" i="4"/>
  <c r="C27" i="4"/>
  <c r="G26" i="4"/>
  <c r="E26" i="4"/>
  <c r="C26" i="4"/>
  <c r="G25" i="4"/>
  <c r="E25" i="4"/>
  <c r="C25" i="4"/>
  <c r="G23" i="4"/>
  <c r="E23" i="4"/>
  <c r="C23" i="4"/>
  <c r="G22" i="4"/>
  <c r="E22" i="4"/>
  <c r="C22" i="4"/>
  <c r="G21" i="4"/>
  <c r="E21" i="4"/>
  <c r="C21" i="4"/>
  <c r="G20" i="4"/>
  <c r="E20" i="4"/>
  <c r="C20" i="4"/>
  <c r="G19" i="4"/>
  <c r="E19" i="4"/>
  <c r="C19" i="4"/>
  <c r="G18" i="4"/>
  <c r="E18" i="4"/>
  <c r="C18" i="4"/>
  <c r="G17" i="4"/>
  <c r="E17" i="4"/>
  <c r="C17" i="4"/>
  <c r="G16" i="4"/>
  <c r="E16" i="4"/>
  <c r="C16" i="4"/>
  <c r="G15" i="4"/>
  <c r="E15" i="4"/>
  <c r="C15" i="4"/>
  <c r="G14" i="4"/>
  <c r="E14" i="4"/>
  <c r="C14" i="4"/>
  <c r="G13" i="4"/>
  <c r="E13" i="4"/>
  <c r="C13" i="4"/>
  <c r="G12" i="4"/>
  <c r="E12" i="4"/>
  <c r="C12" i="4"/>
  <c r="G11" i="4"/>
  <c r="E11" i="4"/>
  <c r="C11" i="4"/>
  <c r="G10" i="4"/>
  <c r="E10" i="4"/>
  <c r="C10" i="4"/>
  <c r="G9" i="4"/>
  <c r="E9" i="4"/>
  <c r="C9" i="4"/>
  <c r="G8" i="4"/>
  <c r="E8" i="4"/>
  <c r="C8" i="4"/>
  <c r="G7" i="4"/>
  <c r="E7" i="4"/>
  <c r="C7" i="4"/>
  <c r="G6" i="4"/>
  <c r="E6" i="4"/>
  <c r="C6" i="4"/>
  <c r="G5" i="4"/>
  <c r="E5" i="4"/>
  <c r="C5" i="4"/>
  <c r="G4" i="4"/>
  <c r="E4" i="4"/>
  <c r="C4" i="4"/>
  <c r="H2" i="4"/>
  <c r="F2" i="4"/>
  <c r="D2" i="4"/>
  <c r="AH89" i="3"/>
  <c r="AF89" i="3"/>
  <c r="AD89" i="3"/>
  <c r="AB89" i="3"/>
  <c r="X89" i="3"/>
  <c r="O89" i="3"/>
  <c r="N89" i="3"/>
  <c r="M89" i="3"/>
  <c r="L89" i="3"/>
  <c r="I89" i="3"/>
  <c r="F89" i="3"/>
  <c r="E89" i="3"/>
  <c r="D89" i="3"/>
  <c r="AH88" i="3"/>
  <c r="AF88" i="3"/>
  <c r="AD88" i="3"/>
  <c r="AB88" i="3"/>
  <c r="X88" i="3"/>
  <c r="O88" i="3"/>
  <c r="N88" i="3"/>
  <c r="M88" i="3"/>
  <c r="L88" i="3"/>
  <c r="I88" i="3"/>
  <c r="F88" i="3"/>
  <c r="E88" i="3"/>
  <c r="D88" i="3"/>
  <c r="AH87" i="3"/>
  <c r="AF87" i="3"/>
  <c r="AD87" i="3"/>
  <c r="AB87" i="3"/>
  <c r="X87" i="3"/>
  <c r="O87" i="3"/>
  <c r="N87" i="3"/>
  <c r="M87" i="3"/>
  <c r="L87" i="3"/>
  <c r="I87" i="3"/>
  <c r="F87" i="3"/>
  <c r="E87" i="3"/>
  <c r="D87" i="3"/>
  <c r="AH86" i="3"/>
  <c r="AF86" i="3"/>
  <c r="AD86" i="3"/>
  <c r="AB86" i="3"/>
  <c r="X86" i="3"/>
  <c r="O86" i="3"/>
  <c r="N86" i="3"/>
  <c r="M86" i="3"/>
  <c r="L86" i="3"/>
  <c r="I86" i="3"/>
  <c r="F86" i="3"/>
  <c r="E86" i="3"/>
  <c r="D86" i="3"/>
  <c r="AH85" i="3"/>
  <c r="AF85" i="3"/>
  <c r="AD85" i="3"/>
  <c r="AB85" i="3"/>
  <c r="X85" i="3"/>
  <c r="O85" i="3"/>
  <c r="N85" i="3"/>
  <c r="M85" i="3"/>
  <c r="L85" i="3"/>
  <c r="I85" i="3"/>
  <c r="F85" i="3"/>
  <c r="E85" i="3"/>
  <c r="D85" i="3"/>
  <c r="AH84" i="3"/>
  <c r="AF84" i="3"/>
  <c r="AD84" i="3"/>
  <c r="AB84" i="3"/>
  <c r="X84" i="3"/>
  <c r="O84" i="3"/>
  <c r="N84" i="3"/>
  <c r="M84" i="3"/>
  <c r="L84" i="3"/>
  <c r="I84" i="3"/>
  <c r="F84" i="3"/>
  <c r="E84" i="3"/>
  <c r="D84" i="3"/>
  <c r="AH83" i="3"/>
  <c r="AF83" i="3"/>
  <c r="AD83" i="3"/>
  <c r="AB83" i="3"/>
  <c r="X83" i="3"/>
  <c r="O83" i="3"/>
  <c r="N83" i="3"/>
  <c r="M83" i="3"/>
  <c r="L83" i="3"/>
  <c r="I83" i="3"/>
  <c r="F83" i="3"/>
  <c r="E83" i="3"/>
  <c r="D83" i="3"/>
  <c r="AH82" i="3"/>
  <c r="AF82" i="3"/>
  <c r="AD82" i="3"/>
  <c r="AB82" i="3"/>
  <c r="X82" i="3"/>
  <c r="O82" i="3"/>
  <c r="N82" i="3"/>
  <c r="L82" i="3"/>
  <c r="I82" i="3"/>
  <c r="F82" i="3"/>
  <c r="E82" i="3"/>
  <c r="D82" i="3"/>
  <c r="AH81" i="3"/>
  <c r="AF81" i="3"/>
  <c r="AD81" i="3"/>
  <c r="AB81" i="3"/>
  <c r="X81" i="3"/>
  <c r="O81" i="3"/>
  <c r="N81" i="3"/>
  <c r="L81" i="3"/>
  <c r="I81" i="3"/>
  <c r="F81" i="3"/>
  <c r="E81" i="3"/>
  <c r="D81" i="3"/>
  <c r="AH80" i="3"/>
  <c r="AF80" i="3"/>
  <c r="AD80" i="3"/>
  <c r="AB80" i="3"/>
  <c r="X80" i="3"/>
  <c r="O80" i="3"/>
  <c r="N80" i="3"/>
  <c r="L80" i="3"/>
  <c r="I80" i="3"/>
  <c r="F80" i="3"/>
  <c r="E80" i="3"/>
  <c r="D80" i="3"/>
  <c r="AH79" i="3"/>
  <c r="AF79" i="3"/>
  <c r="AD79" i="3"/>
  <c r="AB79" i="3"/>
  <c r="X79" i="3"/>
  <c r="O79" i="3"/>
  <c r="N79" i="3"/>
  <c r="L79" i="3"/>
  <c r="I79" i="3"/>
  <c r="F79" i="3"/>
  <c r="E79" i="3"/>
  <c r="D79" i="3"/>
  <c r="AH78" i="3"/>
  <c r="AF78" i="3"/>
  <c r="AD78" i="3"/>
  <c r="AB78" i="3"/>
  <c r="X78" i="3"/>
  <c r="O78" i="3"/>
  <c r="N78" i="3"/>
  <c r="L78" i="3"/>
  <c r="I78" i="3"/>
  <c r="F78" i="3"/>
  <c r="E78" i="3"/>
  <c r="D78" i="3"/>
  <c r="AH77" i="3"/>
  <c r="AF77" i="3"/>
  <c r="AD77" i="3"/>
  <c r="AB77" i="3"/>
  <c r="X77" i="3"/>
  <c r="O77" i="3"/>
  <c r="N77" i="3"/>
  <c r="L77" i="3"/>
  <c r="I77" i="3"/>
  <c r="F77" i="3"/>
  <c r="E77" i="3"/>
  <c r="D77" i="3"/>
  <c r="AH76" i="3"/>
  <c r="AF76" i="3"/>
  <c r="AD76" i="3"/>
  <c r="AB76" i="3"/>
  <c r="X76" i="3"/>
  <c r="O76" i="3"/>
  <c r="N76" i="3"/>
  <c r="L76" i="3"/>
  <c r="I76" i="3"/>
  <c r="F76" i="3"/>
  <c r="E76" i="3"/>
  <c r="D76" i="3"/>
  <c r="AH75" i="3"/>
  <c r="AF75" i="3"/>
  <c r="AD75" i="3"/>
  <c r="AB75" i="3"/>
  <c r="X75" i="3"/>
  <c r="O75" i="3"/>
  <c r="N75" i="3"/>
  <c r="L75" i="3"/>
  <c r="I75" i="3"/>
  <c r="F75" i="3"/>
  <c r="E75" i="3"/>
  <c r="D75" i="3"/>
  <c r="AH74" i="3"/>
  <c r="AF74" i="3"/>
  <c r="AD74" i="3"/>
  <c r="AB74" i="3"/>
  <c r="X74" i="3"/>
  <c r="O74" i="3"/>
  <c r="N74" i="3"/>
  <c r="L74" i="3"/>
  <c r="I74" i="3"/>
  <c r="F74" i="3"/>
  <c r="E74" i="3"/>
  <c r="D74" i="3"/>
  <c r="AH73" i="3"/>
  <c r="AF73" i="3"/>
  <c r="AD73" i="3"/>
  <c r="AB73" i="3"/>
  <c r="X73" i="3"/>
  <c r="O73" i="3"/>
  <c r="N73" i="3"/>
  <c r="L73" i="3"/>
  <c r="I73" i="3"/>
  <c r="F73" i="3"/>
  <c r="E73" i="3"/>
  <c r="D73" i="3"/>
  <c r="AH72" i="3"/>
  <c r="AF72" i="3"/>
  <c r="AD72" i="3"/>
  <c r="AB72" i="3"/>
  <c r="X72" i="3"/>
  <c r="O72" i="3"/>
  <c r="N72" i="3"/>
  <c r="L72" i="3"/>
  <c r="I72" i="3"/>
  <c r="F72" i="3"/>
  <c r="E72" i="3"/>
  <c r="D72" i="3"/>
  <c r="AH71" i="3"/>
  <c r="AF71" i="3"/>
  <c r="AD71" i="3"/>
  <c r="AB71" i="3"/>
  <c r="X71" i="3"/>
  <c r="O71" i="3"/>
  <c r="N71" i="3"/>
  <c r="L71" i="3"/>
  <c r="I71" i="3"/>
  <c r="F71" i="3"/>
  <c r="E71" i="3"/>
  <c r="D71" i="3"/>
  <c r="AH70" i="3"/>
  <c r="AF70" i="3"/>
  <c r="AD70" i="3"/>
  <c r="AB70" i="3"/>
  <c r="X70" i="3"/>
  <c r="O70" i="3"/>
  <c r="N70" i="3"/>
  <c r="L70" i="3"/>
  <c r="F70" i="3"/>
  <c r="E70" i="3"/>
  <c r="D70" i="3"/>
  <c r="Z67" i="3"/>
  <c r="X67" i="3"/>
  <c r="T67" i="3"/>
  <c r="R67" i="3"/>
  <c r="P67" i="3"/>
  <c r="O67" i="3"/>
  <c r="M67" i="3"/>
  <c r="L67" i="3"/>
  <c r="H67" i="3"/>
  <c r="F67" i="3"/>
  <c r="E67" i="3"/>
  <c r="D67" i="3"/>
  <c r="Z66" i="3"/>
  <c r="X66" i="3"/>
  <c r="T66" i="3"/>
  <c r="R66" i="3"/>
  <c r="P66" i="3"/>
  <c r="O66" i="3"/>
  <c r="M66" i="3"/>
  <c r="L66" i="3"/>
  <c r="I66" i="3"/>
  <c r="H66" i="3"/>
  <c r="F66" i="3"/>
  <c r="E66" i="3"/>
  <c r="D66" i="3"/>
  <c r="Z65" i="3"/>
  <c r="X65" i="3"/>
  <c r="T65" i="3"/>
  <c r="R65" i="3"/>
  <c r="P65" i="3"/>
  <c r="O65" i="3"/>
  <c r="M65" i="3"/>
  <c r="L65" i="3"/>
  <c r="I65" i="3"/>
  <c r="H65" i="3"/>
  <c r="F65" i="3"/>
  <c r="E65" i="3"/>
  <c r="D65" i="3"/>
  <c r="Z64" i="3"/>
  <c r="X64" i="3"/>
  <c r="T64" i="3"/>
  <c r="R64" i="3"/>
  <c r="P64" i="3"/>
  <c r="O64" i="3"/>
  <c r="M64" i="3"/>
  <c r="L64" i="3"/>
  <c r="I64" i="3"/>
  <c r="H64" i="3"/>
  <c r="F64" i="3"/>
  <c r="E64" i="3"/>
  <c r="D64" i="3"/>
  <c r="Z63" i="3"/>
  <c r="X63" i="3"/>
  <c r="T63" i="3"/>
  <c r="R63" i="3"/>
  <c r="P63" i="3"/>
  <c r="O63" i="3"/>
  <c r="M63" i="3"/>
  <c r="L63" i="3"/>
  <c r="I63" i="3"/>
  <c r="H63" i="3"/>
  <c r="F63" i="3"/>
  <c r="E63" i="3"/>
  <c r="D63" i="3"/>
  <c r="Z62" i="3"/>
  <c r="X62" i="3"/>
  <c r="T62" i="3"/>
  <c r="R62" i="3"/>
  <c r="P62" i="3"/>
  <c r="O62" i="3"/>
  <c r="M62" i="3"/>
  <c r="L62" i="3"/>
  <c r="I62" i="3"/>
  <c r="H62" i="3"/>
  <c r="F62" i="3"/>
  <c r="E62" i="3"/>
  <c r="D62" i="3"/>
  <c r="Z61" i="3"/>
  <c r="X61" i="3"/>
  <c r="T61" i="3"/>
  <c r="R61" i="3"/>
  <c r="P61" i="3"/>
  <c r="O61" i="3"/>
  <c r="M61" i="3"/>
  <c r="L61" i="3"/>
  <c r="I61" i="3"/>
  <c r="H61" i="3"/>
  <c r="F61" i="3"/>
  <c r="E61" i="3"/>
  <c r="D61" i="3"/>
  <c r="Z60" i="3"/>
  <c r="X60" i="3"/>
  <c r="T60" i="3"/>
  <c r="R60" i="3"/>
  <c r="P60" i="3"/>
  <c r="O60" i="3"/>
  <c r="L60" i="3"/>
  <c r="I60" i="3"/>
  <c r="H60" i="3"/>
  <c r="F60" i="3"/>
  <c r="E60" i="3"/>
  <c r="D60" i="3"/>
  <c r="Z59" i="3"/>
  <c r="X59" i="3"/>
  <c r="T59" i="3"/>
  <c r="R59" i="3"/>
  <c r="P59" i="3"/>
  <c r="O59" i="3"/>
  <c r="L59" i="3"/>
  <c r="I59" i="3"/>
  <c r="H59" i="3"/>
  <c r="F59" i="3"/>
  <c r="E59" i="3"/>
  <c r="D59" i="3"/>
  <c r="C59" i="3"/>
  <c r="Z58" i="3"/>
  <c r="X58" i="3"/>
  <c r="T58" i="3"/>
  <c r="R58" i="3"/>
  <c r="P58" i="3"/>
  <c r="O58" i="3"/>
  <c r="L58" i="3"/>
  <c r="I58" i="3"/>
  <c r="H58" i="3"/>
  <c r="F58" i="3"/>
  <c r="E58" i="3"/>
  <c r="D58" i="3"/>
  <c r="C58" i="3"/>
  <c r="Z57" i="3"/>
  <c r="X57" i="3"/>
  <c r="T57" i="3"/>
  <c r="R57" i="3"/>
  <c r="P57" i="3"/>
  <c r="O57" i="3"/>
  <c r="L57" i="3"/>
  <c r="I57" i="3"/>
  <c r="H57" i="3"/>
  <c r="F57" i="3"/>
  <c r="E57" i="3"/>
  <c r="D57" i="3"/>
  <c r="C57" i="3"/>
  <c r="Z56" i="3"/>
  <c r="X56" i="3"/>
  <c r="T56" i="3"/>
  <c r="R56" i="3"/>
  <c r="P56" i="3"/>
  <c r="O56" i="3"/>
  <c r="L56" i="3"/>
  <c r="I56" i="3"/>
  <c r="H56" i="3"/>
  <c r="F56" i="3"/>
  <c r="E56" i="3"/>
  <c r="D56" i="3"/>
  <c r="C56" i="3"/>
  <c r="Z55" i="3"/>
  <c r="X55" i="3"/>
  <c r="T55" i="3"/>
  <c r="R55" i="3"/>
  <c r="P55" i="3"/>
  <c r="O55" i="3"/>
  <c r="L55" i="3"/>
  <c r="I55" i="3"/>
  <c r="H55" i="3"/>
  <c r="F55" i="3"/>
  <c r="E55" i="3"/>
  <c r="D55" i="3"/>
  <c r="C55" i="3"/>
  <c r="Z54" i="3"/>
  <c r="X54" i="3"/>
  <c r="T54" i="3"/>
  <c r="R54" i="3"/>
  <c r="P54" i="3"/>
  <c r="O54" i="3"/>
  <c r="L54" i="3"/>
  <c r="I54" i="3"/>
  <c r="H54" i="3"/>
  <c r="F54" i="3"/>
  <c r="E54" i="3"/>
  <c r="D54" i="3"/>
  <c r="C54" i="3"/>
  <c r="Z53" i="3"/>
  <c r="X53" i="3"/>
  <c r="T53" i="3"/>
  <c r="R53" i="3"/>
  <c r="P53" i="3"/>
  <c r="O53" i="3"/>
  <c r="L53" i="3"/>
  <c r="I53" i="3"/>
  <c r="H53" i="3"/>
  <c r="F53" i="3"/>
  <c r="E53" i="3"/>
  <c r="D53" i="3"/>
  <c r="C53" i="3"/>
  <c r="Z52" i="3"/>
  <c r="X52" i="3"/>
  <c r="T52" i="3"/>
  <c r="R52" i="3"/>
  <c r="P52" i="3"/>
  <c r="O52" i="3"/>
  <c r="L52" i="3"/>
  <c r="I52" i="3"/>
  <c r="H52" i="3"/>
  <c r="F52" i="3"/>
  <c r="E52" i="3"/>
  <c r="D52" i="3"/>
  <c r="C52" i="3"/>
  <c r="Z51" i="3"/>
  <c r="X51" i="3"/>
  <c r="T51" i="3"/>
  <c r="R51" i="3"/>
  <c r="P51" i="3"/>
  <c r="O51" i="3"/>
  <c r="L51" i="3"/>
  <c r="I51" i="3"/>
  <c r="H51" i="3"/>
  <c r="F51" i="3"/>
  <c r="E51" i="3"/>
  <c r="D51" i="3"/>
  <c r="C51" i="3"/>
  <c r="Z50" i="3"/>
  <c r="X50" i="3"/>
  <c r="T50" i="3"/>
  <c r="R50" i="3"/>
  <c r="P50" i="3"/>
  <c r="O50" i="3"/>
  <c r="L50" i="3"/>
  <c r="I50" i="3"/>
  <c r="H50" i="3"/>
  <c r="F50" i="3"/>
  <c r="E50" i="3"/>
  <c r="D50" i="3"/>
  <c r="C50" i="3"/>
  <c r="Z49" i="3"/>
  <c r="X49" i="3"/>
  <c r="T49" i="3"/>
  <c r="R49" i="3"/>
  <c r="P49" i="3"/>
  <c r="O49" i="3"/>
  <c r="L49" i="3"/>
  <c r="I49" i="3"/>
  <c r="H49" i="3"/>
  <c r="F49" i="3"/>
  <c r="E49" i="3"/>
  <c r="D49" i="3"/>
  <c r="C49" i="3"/>
  <c r="Z48" i="3"/>
  <c r="X48" i="3"/>
  <c r="T48" i="3"/>
  <c r="R48" i="3"/>
  <c r="P48" i="3"/>
  <c r="O48" i="3"/>
  <c r="L48" i="3"/>
  <c r="I48" i="3"/>
  <c r="H48" i="3"/>
  <c r="F48" i="3"/>
  <c r="E48" i="3"/>
  <c r="D48" i="3"/>
  <c r="Z45" i="3"/>
  <c r="X45" i="3"/>
  <c r="T45" i="3"/>
  <c r="R45" i="3"/>
  <c r="P45" i="3"/>
  <c r="O45" i="3"/>
  <c r="M45" i="3"/>
  <c r="L45" i="3"/>
  <c r="H45" i="3"/>
  <c r="F45" i="3"/>
  <c r="E45" i="3"/>
  <c r="D45" i="3"/>
  <c r="Z44" i="3"/>
  <c r="X44" i="3"/>
  <c r="T44" i="3"/>
  <c r="R44" i="3"/>
  <c r="P44" i="3"/>
  <c r="O44" i="3"/>
  <c r="M44" i="3"/>
  <c r="L44" i="3"/>
  <c r="I44" i="3"/>
  <c r="H44" i="3"/>
  <c r="F44" i="3"/>
  <c r="E44" i="3"/>
  <c r="D44" i="3"/>
  <c r="Z43" i="3"/>
  <c r="X43" i="3"/>
  <c r="T43" i="3"/>
  <c r="R43" i="3"/>
  <c r="P43" i="3"/>
  <c r="O43" i="3"/>
  <c r="M43" i="3"/>
  <c r="L43" i="3"/>
  <c r="I43" i="3"/>
  <c r="H43" i="3"/>
  <c r="F43" i="3"/>
  <c r="E43" i="3"/>
  <c r="D43" i="3"/>
  <c r="Z42" i="3"/>
  <c r="X42" i="3"/>
  <c r="T42" i="3"/>
  <c r="R42" i="3"/>
  <c r="P42" i="3"/>
  <c r="O42" i="3"/>
  <c r="M42" i="3"/>
  <c r="L42" i="3"/>
  <c r="I42" i="3"/>
  <c r="H42" i="3"/>
  <c r="F42" i="3"/>
  <c r="E42" i="3"/>
  <c r="D42" i="3"/>
  <c r="Z41" i="3"/>
  <c r="X41" i="3"/>
  <c r="T41" i="3"/>
  <c r="R41" i="3"/>
  <c r="P41" i="3"/>
  <c r="O41" i="3"/>
  <c r="M41" i="3"/>
  <c r="L41" i="3"/>
  <c r="I41" i="3"/>
  <c r="H41" i="3"/>
  <c r="F41" i="3"/>
  <c r="E41" i="3"/>
  <c r="D41" i="3"/>
  <c r="Z40" i="3"/>
  <c r="X40" i="3"/>
  <c r="T40" i="3"/>
  <c r="R40" i="3"/>
  <c r="P40" i="3"/>
  <c r="O40" i="3"/>
  <c r="M40" i="3"/>
  <c r="L40" i="3"/>
  <c r="I40" i="3"/>
  <c r="H40" i="3"/>
  <c r="F40" i="3"/>
  <c r="E40" i="3"/>
  <c r="D40" i="3"/>
  <c r="Z39" i="3"/>
  <c r="X39" i="3"/>
  <c r="T39" i="3"/>
  <c r="R39" i="3"/>
  <c r="P39" i="3"/>
  <c r="O39" i="3"/>
  <c r="M39" i="3"/>
  <c r="L39" i="3"/>
  <c r="I39" i="3"/>
  <c r="H39" i="3"/>
  <c r="F39" i="3"/>
  <c r="E39" i="3"/>
  <c r="D39" i="3"/>
  <c r="Z38" i="3"/>
  <c r="X38" i="3"/>
  <c r="T38" i="3"/>
  <c r="R38" i="3"/>
  <c r="P38" i="3"/>
  <c r="O38" i="3"/>
  <c r="L38" i="3"/>
  <c r="I38" i="3"/>
  <c r="H38" i="3"/>
  <c r="F38" i="3"/>
  <c r="E38" i="3"/>
  <c r="D38" i="3"/>
  <c r="Z37" i="3"/>
  <c r="X37" i="3"/>
  <c r="T37" i="3"/>
  <c r="R37" i="3"/>
  <c r="P37" i="3"/>
  <c r="O37" i="3"/>
  <c r="L37" i="3"/>
  <c r="I37" i="3"/>
  <c r="H37" i="3"/>
  <c r="F37" i="3"/>
  <c r="E37" i="3"/>
  <c r="D37" i="3"/>
  <c r="C37" i="3"/>
  <c r="Z36" i="3"/>
  <c r="X36" i="3"/>
  <c r="T36" i="3"/>
  <c r="R36" i="3"/>
  <c r="P36" i="3"/>
  <c r="O36" i="3"/>
  <c r="L36" i="3"/>
  <c r="I36" i="3"/>
  <c r="H36" i="3"/>
  <c r="F36" i="3"/>
  <c r="E36" i="3"/>
  <c r="D36" i="3"/>
  <c r="C36" i="3"/>
  <c r="Z35" i="3"/>
  <c r="X35" i="3"/>
  <c r="T35" i="3"/>
  <c r="R35" i="3"/>
  <c r="P35" i="3"/>
  <c r="O35" i="3"/>
  <c r="L35" i="3"/>
  <c r="I35" i="3"/>
  <c r="H35" i="3"/>
  <c r="F35" i="3"/>
  <c r="E35" i="3"/>
  <c r="D35" i="3"/>
  <c r="C35" i="3"/>
  <c r="Z34" i="3"/>
  <c r="X34" i="3"/>
  <c r="T34" i="3"/>
  <c r="R34" i="3"/>
  <c r="P34" i="3"/>
  <c r="O34" i="3"/>
  <c r="L34" i="3"/>
  <c r="I34" i="3"/>
  <c r="H34" i="3"/>
  <c r="F34" i="3"/>
  <c r="E34" i="3"/>
  <c r="D34" i="3"/>
  <c r="C34" i="3"/>
  <c r="Z33" i="3"/>
  <c r="X33" i="3"/>
  <c r="T33" i="3"/>
  <c r="R33" i="3"/>
  <c r="P33" i="3"/>
  <c r="O33" i="3"/>
  <c r="L33" i="3"/>
  <c r="I33" i="3"/>
  <c r="H33" i="3"/>
  <c r="F33" i="3"/>
  <c r="E33" i="3"/>
  <c r="D33" i="3"/>
  <c r="C33" i="3"/>
  <c r="Z32" i="3"/>
  <c r="X32" i="3"/>
  <c r="T32" i="3"/>
  <c r="R32" i="3"/>
  <c r="P32" i="3"/>
  <c r="O32" i="3"/>
  <c r="L32" i="3"/>
  <c r="I32" i="3"/>
  <c r="H32" i="3"/>
  <c r="F32" i="3"/>
  <c r="E32" i="3"/>
  <c r="D32" i="3"/>
  <c r="C32" i="3"/>
  <c r="Z31" i="3"/>
  <c r="X31" i="3"/>
  <c r="T31" i="3"/>
  <c r="R31" i="3"/>
  <c r="P31" i="3"/>
  <c r="O31" i="3"/>
  <c r="L31" i="3"/>
  <c r="I31" i="3"/>
  <c r="H31" i="3"/>
  <c r="F31" i="3"/>
  <c r="E31" i="3"/>
  <c r="D31" i="3"/>
  <c r="C31" i="3"/>
  <c r="Z30" i="3"/>
  <c r="X30" i="3"/>
  <c r="T30" i="3"/>
  <c r="R30" i="3"/>
  <c r="P30" i="3"/>
  <c r="O30" i="3"/>
  <c r="L30" i="3"/>
  <c r="I30" i="3"/>
  <c r="H30" i="3"/>
  <c r="F30" i="3"/>
  <c r="E30" i="3"/>
  <c r="D30" i="3"/>
  <c r="C30" i="3"/>
  <c r="Z29" i="3"/>
  <c r="X29" i="3"/>
  <c r="T29" i="3"/>
  <c r="R29" i="3"/>
  <c r="P29" i="3"/>
  <c r="O29" i="3"/>
  <c r="L29" i="3"/>
  <c r="I29" i="3"/>
  <c r="H29" i="3"/>
  <c r="F29" i="3"/>
  <c r="E29" i="3"/>
  <c r="D29" i="3"/>
  <c r="C29" i="3"/>
  <c r="Z28" i="3"/>
  <c r="X28" i="3"/>
  <c r="T28" i="3"/>
  <c r="R28" i="3"/>
  <c r="P28" i="3"/>
  <c r="O28" i="3"/>
  <c r="L28" i="3"/>
  <c r="I28" i="3"/>
  <c r="H28" i="3"/>
  <c r="F28" i="3"/>
  <c r="E28" i="3"/>
  <c r="D28" i="3"/>
  <c r="C28" i="3"/>
  <c r="Z27" i="3"/>
  <c r="X27" i="3"/>
  <c r="T27" i="3"/>
  <c r="R27" i="3"/>
  <c r="P27" i="3"/>
  <c r="O27" i="3"/>
  <c r="L27" i="3"/>
  <c r="I27" i="3"/>
  <c r="H27" i="3"/>
  <c r="F27" i="3"/>
  <c r="E27" i="3"/>
  <c r="D27" i="3"/>
  <c r="C27" i="3"/>
  <c r="Z26" i="3"/>
  <c r="X26" i="3"/>
  <c r="T26" i="3"/>
  <c r="R26" i="3"/>
  <c r="P26" i="3"/>
  <c r="O26" i="3"/>
  <c r="L26" i="3"/>
  <c r="I26" i="3"/>
  <c r="H26" i="3"/>
  <c r="F26" i="3"/>
  <c r="E26" i="3"/>
  <c r="D26" i="3"/>
  <c r="V23" i="3"/>
  <c r="T23" i="3"/>
  <c r="R23" i="3"/>
  <c r="P23" i="3"/>
  <c r="O23" i="3"/>
  <c r="M23" i="3"/>
  <c r="L23" i="3"/>
  <c r="K23" i="3"/>
  <c r="H23" i="3"/>
  <c r="F23" i="3"/>
  <c r="E23" i="3"/>
  <c r="D23" i="3"/>
  <c r="V22" i="3"/>
  <c r="T22" i="3"/>
  <c r="R22" i="3"/>
  <c r="P22" i="3"/>
  <c r="O22" i="3"/>
  <c r="M22" i="3"/>
  <c r="L22" i="3"/>
  <c r="K22" i="3"/>
  <c r="I22" i="3"/>
  <c r="H22" i="3"/>
  <c r="F22" i="3"/>
  <c r="E22" i="3"/>
  <c r="D22" i="3"/>
  <c r="V21" i="3"/>
  <c r="T21" i="3"/>
  <c r="R21" i="3"/>
  <c r="P21" i="3"/>
  <c r="O21" i="3"/>
  <c r="M21" i="3"/>
  <c r="L21" i="3"/>
  <c r="K21" i="3"/>
  <c r="I21" i="3"/>
  <c r="H21" i="3"/>
  <c r="F21" i="3"/>
  <c r="E21" i="3"/>
  <c r="D21" i="3"/>
  <c r="V20" i="3"/>
  <c r="T20" i="3"/>
  <c r="R20" i="3"/>
  <c r="P20" i="3"/>
  <c r="O20" i="3"/>
  <c r="M20" i="3"/>
  <c r="L20" i="3"/>
  <c r="K20" i="3"/>
  <c r="I20" i="3"/>
  <c r="H20" i="3"/>
  <c r="F20" i="3"/>
  <c r="E20" i="3"/>
  <c r="D20" i="3"/>
  <c r="V19" i="3"/>
  <c r="T19" i="3"/>
  <c r="R19" i="3"/>
  <c r="P19" i="3"/>
  <c r="O19" i="3"/>
  <c r="M19" i="3"/>
  <c r="L19" i="3"/>
  <c r="K19" i="3"/>
  <c r="I19" i="3"/>
  <c r="H19" i="3"/>
  <c r="F19" i="3"/>
  <c r="E19" i="3"/>
  <c r="D19" i="3"/>
  <c r="V18" i="3"/>
  <c r="T18" i="3"/>
  <c r="R18" i="3"/>
  <c r="P18" i="3"/>
  <c r="O18" i="3"/>
  <c r="M18" i="3"/>
  <c r="L18" i="3"/>
  <c r="K18" i="3"/>
  <c r="I18" i="3"/>
  <c r="H18" i="3"/>
  <c r="F18" i="3"/>
  <c r="E18" i="3"/>
  <c r="D18" i="3"/>
  <c r="V17" i="3"/>
  <c r="T17" i="3"/>
  <c r="R17" i="3"/>
  <c r="P17" i="3"/>
  <c r="O17" i="3"/>
  <c r="M17" i="3"/>
  <c r="L17" i="3"/>
  <c r="K17" i="3"/>
  <c r="I17" i="3"/>
  <c r="H17" i="3"/>
  <c r="F17" i="3"/>
  <c r="E17" i="3"/>
  <c r="D17" i="3"/>
  <c r="V16" i="3"/>
  <c r="T16" i="3"/>
  <c r="R16" i="3"/>
  <c r="P16" i="3"/>
  <c r="O16" i="3"/>
  <c r="L16" i="3"/>
  <c r="K16" i="3"/>
  <c r="I16" i="3"/>
  <c r="H16" i="3"/>
  <c r="F16" i="3"/>
  <c r="E16" i="3"/>
  <c r="D16" i="3"/>
  <c r="V15" i="3"/>
  <c r="T15" i="3"/>
  <c r="R15" i="3"/>
  <c r="P15" i="3"/>
  <c r="O15" i="3"/>
  <c r="L15" i="3"/>
  <c r="K15" i="3"/>
  <c r="I15" i="3"/>
  <c r="H15" i="3"/>
  <c r="F15" i="3"/>
  <c r="E15" i="3"/>
  <c r="D15" i="3"/>
  <c r="C15" i="3"/>
  <c r="V14" i="3"/>
  <c r="T14" i="3"/>
  <c r="R14" i="3"/>
  <c r="P14" i="3"/>
  <c r="O14" i="3"/>
  <c r="L14" i="3"/>
  <c r="K14" i="3"/>
  <c r="I14" i="3"/>
  <c r="H14" i="3"/>
  <c r="F14" i="3"/>
  <c r="E14" i="3"/>
  <c r="D14" i="3"/>
  <c r="C14" i="3"/>
  <c r="V13" i="3"/>
  <c r="T13" i="3"/>
  <c r="R13" i="3"/>
  <c r="P13" i="3"/>
  <c r="O13" i="3"/>
  <c r="L13" i="3"/>
  <c r="K13" i="3"/>
  <c r="I13" i="3"/>
  <c r="H13" i="3"/>
  <c r="F13" i="3"/>
  <c r="E13" i="3"/>
  <c r="D13" i="3"/>
  <c r="C13" i="3"/>
  <c r="V12" i="3"/>
  <c r="T12" i="3"/>
  <c r="R12" i="3"/>
  <c r="P12" i="3"/>
  <c r="O12" i="3"/>
  <c r="L12" i="3"/>
  <c r="K12" i="3"/>
  <c r="I12" i="3"/>
  <c r="H12" i="3"/>
  <c r="F12" i="3"/>
  <c r="E12" i="3"/>
  <c r="D12" i="3"/>
  <c r="C12" i="3"/>
  <c r="V11" i="3"/>
  <c r="T11" i="3"/>
  <c r="R11" i="3"/>
  <c r="P11" i="3"/>
  <c r="O11" i="3"/>
  <c r="L11" i="3"/>
  <c r="K11" i="3"/>
  <c r="I11" i="3"/>
  <c r="H11" i="3"/>
  <c r="F11" i="3"/>
  <c r="E11" i="3"/>
  <c r="D11" i="3"/>
  <c r="C11" i="3"/>
  <c r="V10" i="3"/>
  <c r="T10" i="3"/>
  <c r="R10" i="3"/>
  <c r="P10" i="3"/>
  <c r="O10" i="3"/>
  <c r="L10" i="3"/>
  <c r="K10" i="3"/>
  <c r="I10" i="3"/>
  <c r="H10" i="3"/>
  <c r="F10" i="3"/>
  <c r="E10" i="3"/>
  <c r="D10" i="3"/>
  <c r="C10" i="3"/>
  <c r="V9" i="3"/>
  <c r="T9" i="3"/>
  <c r="R9" i="3"/>
  <c r="P9" i="3"/>
  <c r="O9" i="3"/>
  <c r="L9" i="3"/>
  <c r="K9" i="3"/>
  <c r="I9" i="3"/>
  <c r="H9" i="3"/>
  <c r="F9" i="3"/>
  <c r="E9" i="3"/>
  <c r="D9" i="3"/>
  <c r="C9" i="3"/>
  <c r="V8" i="3"/>
  <c r="T8" i="3"/>
  <c r="R8" i="3"/>
  <c r="P8" i="3"/>
  <c r="O8" i="3"/>
  <c r="L8" i="3"/>
  <c r="K8" i="3"/>
  <c r="I8" i="3"/>
  <c r="H8" i="3"/>
  <c r="F8" i="3"/>
  <c r="E8" i="3"/>
  <c r="D8" i="3"/>
  <c r="C8" i="3"/>
  <c r="V7" i="3"/>
  <c r="T7" i="3"/>
  <c r="R7" i="3"/>
  <c r="P7" i="3"/>
  <c r="O7" i="3"/>
  <c r="L7" i="3"/>
  <c r="K7" i="3"/>
  <c r="I7" i="3"/>
  <c r="H7" i="3"/>
  <c r="F7" i="3"/>
  <c r="E7" i="3"/>
  <c r="D7" i="3"/>
  <c r="C7" i="3"/>
  <c r="V6" i="3"/>
  <c r="T6" i="3"/>
  <c r="R6" i="3"/>
  <c r="P6" i="3"/>
  <c r="O6" i="3"/>
  <c r="L6" i="3"/>
  <c r="K6" i="3"/>
  <c r="I6" i="3"/>
  <c r="H6" i="3"/>
  <c r="F6" i="3"/>
  <c r="E6" i="3"/>
  <c r="D6" i="3"/>
  <c r="C6" i="3"/>
  <c r="V5" i="3"/>
  <c r="T5" i="3"/>
  <c r="R5" i="3"/>
  <c r="P5" i="3"/>
  <c r="O5" i="3"/>
  <c r="L5" i="3"/>
  <c r="K5" i="3"/>
  <c r="I5" i="3"/>
  <c r="H5" i="3"/>
  <c r="F5" i="3"/>
  <c r="E5" i="3"/>
  <c r="D5" i="3"/>
  <c r="C5" i="3"/>
  <c r="V4" i="3"/>
  <c r="T4" i="3"/>
  <c r="R4" i="3"/>
  <c r="P4" i="3"/>
  <c r="O4" i="3"/>
  <c r="L4" i="3"/>
  <c r="K4" i="3"/>
  <c r="I4" i="3"/>
  <c r="H4" i="3"/>
  <c r="F4" i="3"/>
  <c r="E4" i="3"/>
  <c r="D4" i="3"/>
  <c r="AH2" i="3"/>
  <c r="AF2" i="3"/>
  <c r="AD2" i="3"/>
  <c r="AB2" i="3"/>
  <c r="Z2" i="3"/>
  <c r="X2" i="3"/>
  <c r="V2" i="3"/>
  <c r="T2" i="3"/>
  <c r="R2" i="3"/>
  <c r="P2" i="3"/>
  <c r="T125" i="2"/>
  <c r="S125" i="2"/>
  <c r="R125" i="2"/>
  <c r="Q125" i="2"/>
  <c r="P125" i="2"/>
  <c r="N125" i="2"/>
  <c r="J125" i="2"/>
  <c r="E125" i="2"/>
  <c r="T124" i="2"/>
  <c r="S124" i="2"/>
  <c r="R124" i="2"/>
  <c r="Q124" i="2"/>
  <c r="P124" i="2"/>
  <c r="N124" i="2"/>
  <c r="J124" i="2"/>
  <c r="E124" i="2"/>
  <c r="T123" i="2"/>
  <c r="S123" i="2"/>
  <c r="R123" i="2"/>
  <c r="Q123" i="2"/>
  <c r="P123" i="2"/>
  <c r="N123" i="2"/>
  <c r="J123" i="2"/>
  <c r="E123" i="2"/>
  <c r="T122" i="2"/>
  <c r="S122" i="2"/>
  <c r="R122" i="2"/>
  <c r="Q122" i="2"/>
  <c r="P122" i="2"/>
  <c r="N122" i="2"/>
  <c r="J122" i="2"/>
  <c r="E122" i="2"/>
  <c r="T121" i="2"/>
  <c r="S121" i="2"/>
  <c r="R121" i="2"/>
  <c r="Q121" i="2"/>
  <c r="P121" i="2"/>
  <c r="N121" i="2"/>
  <c r="J121" i="2"/>
  <c r="E121" i="2"/>
  <c r="T120" i="2"/>
  <c r="S120" i="2"/>
  <c r="R120" i="2"/>
  <c r="Q120" i="2"/>
  <c r="P120" i="2"/>
  <c r="N120" i="2"/>
  <c r="J120" i="2"/>
  <c r="E120" i="2"/>
  <c r="C120" i="2"/>
  <c r="T117" i="2"/>
  <c r="S117" i="2"/>
  <c r="R117" i="2"/>
  <c r="Q117" i="2"/>
  <c r="P117" i="2"/>
  <c r="N117" i="2"/>
  <c r="J117" i="2"/>
  <c r="E117" i="2"/>
  <c r="T116" i="2"/>
  <c r="S116" i="2"/>
  <c r="R116" i="2"/>
  <c r="Q116" i="2"/>
  <c r="P116" i="2"/>
  <c r="N116" i="2"/>
  <c r="J116" i="2"/>
  <c r="E116" i="2"/>
  <c r="T115" i="2"/>
  <c r="S115" i="2"/>
  <c r="R115" i="2"/>
  <c r="Q115" i="2"/>
  <c r="P115" i="2"/>
  <c r="N115" i="2"/>
  <c r="J115" i="2"/>
  <c r="E115" i="2"/>
  <c r="T114" i="2"/>
  <c r="S114" i="2"/>
  <c r="R114" i="2"/>
  <c r="Q114" i="2"/>
  <c r="P114" i="2"/>
  <c r="N114" i="2"/>
  <c r="J114" i="2"/>
  <c r="E114" i="2"/>
  <c r="T113" i="2"/>
  <c r="S113" i="2"/>
  <c r="R113" i="2"/>
  <c r="Q113" i="2"/>
  <c r="P113" i="2"/>
  <c r="N113" i="2"/>
  <c r="J113" i="2"/>
  <c r="E113" i="2"/>
  <c r="T112" i="2"/>
  <c r="S112" i="2"/>
  <c r="R112" i="2"/>
  <c r="Q112" i="2"/>
  <c r="P112" i="2"/>
  <c r="N112" i="2"/>
  <c r="J112" i="2"/>
  <c r="E112" i="2"/>
  <c r="C112" i="2"/>
  <c r="T109" i="2"/>
  <c r="S109" i="2"/>
  <c r="R109" i="2"/>
  <c r="Q109" i="2"/>
  <c r="P109" i="2"/>
  <c r="N109" i="2"/>
  <c r="J109" i="2"/>
  <c r="E109" i="2"/>
  <c r="T108" i="2"/>
  <c r="S108" i="2"/>
  <c r="R108" i="2"/>
  <c r="Q108" i="2"/>
  <c r="P108" i="2"/>
  <c r="N108" i="2"/>
  <c r="J108" i="2"/>
  <c r="E108" i="2"/>
  <c r="T107" i="2"/>
  <c r="S107" i="2"/>
  <c r="R107" i="2"/>
  <c r="Q107" i="2"/>
  <c r="P107" i="2"/>
  <c r="N107" i="2"/>
  <c r="J107" i="2"/>
  <c r="E107" i="2"/>
  <c r="T106" i="2"/>
  <c r="S106" i="2"/>
  <c r="R106" i="2"/>
  <c r="Q106" i="2"/>
  <c r="P106" i="2"/>
  <c r="N106" i="2"/>
  <c r="J106" i="2"/>
  <c r="E106" i="2"/>
  <c r="T105" i="2"/>
  <c r="S105" i="2"/>
  <c r="R105" i="2"/>
  <c r="Q105" i="2"/>
  <c r="P105" i="2"/>
  <c r="N105" i="2"/>
  <c r="J105" i="2"/>
  <c r="E105" i="2"/>
  <c r="T104" i="2"/>
  <c r="S104" i="2"/>
  <c r="R104" i="2"/>
  <c r="Q104" i="2"/>
  <c r="P104" i="2"/>
  <c r="N104" i="2"/>
  <c r="J104" i="2"/>
  <c r="E104" i="2"/>
  <c r="BF101" i="2"/>
  <c r="BE101" i="2"/>
  <c r="BD101" i="2"/>
  <c r="BC101" i="2"/>
  <c r="BB101" i="2"/>
  <c r="BA101" i="2"/>
  <c r="AZ101" i="2"/>
  <c r="AY101" i="2"/>
  <c r="AV101" i="2"/>
  <c r="AS101" i="2" s="1"/>
  <c r="AU101" i="2" s="1"/>
  <c r="AT101" i="2"/>
  <c r="T101" i="2"/>
  <c r="S101" i="2"/>
  <c r="R101" i="2"/>
  <c r="Q101" i="2"/>
  <c r="P101" i="2"/>
  <c r="N101" i="2"/>
  <c r="J101" i="2"/>
  <c r="H101" i="2"/>
  <c r="G101" i="2"/>
  <c r="F101" i="2"/>
  <c r="E101" i="2"/>
  <c r="BF100" i="2"/>
  <c r="BE100" i="2"/>
  <c r="BD100" i="2"/>
  <c r="BC100" i="2"/>
  <c r="BB100" i="2"/>
  <c r="BA100" i="2"/>
  <c r="AZ100" i="2"/>
  <c r="AY100" i="2"/>
  <c r="AV100" i="2"/>
  <c r="AS100" i="2" s="1"/>
  <c r="AU100" i="2" s="1"/>
  <c r="AT100" i="2"/>
  <c r="T100" i="2"/>
  <c r="S100" i="2"/>
  <c r="R100" i="2"/>
  <c r="Q100" i="2"/>
  <c r="P100" i="2"/>
  <c r="N100" i="2"/>
  <c r="J100" i="2"/>
  <c r="H100" i="2"/>
  <c r="G100" i="2"/>
  <c r="F100" i="2"/>
  <c r="E100" i="2"/>
  <c r="BF99" i="2"/>
  <c r="BE99" i="2"/>
  <c r="BD99" i="2"/>
  <c r="BC99" i="2"/>
  <c r="BB99" i="2"/>
  <c r="BA99" i="2"/>
  <c r="AZ99" i="2"/>
  <c r="AY99" i="2"/>
  <c r="AV99" i="2"/>
  <c r="AS99" i="2" s="1"/>
  <c r="AU99" i="2" s="1"/>
  <c r="AT99" i="2"/>
  <c r="T99" i="2"/>
  <c r="S99" i="2"/>
  <c r="R99" i="2"/>
  <c r="Q99" i="2"/>
  <c r="P99" i="2"/>
  <c r="N99" i="2"/>
  <c r="J99" i="2"/>
  <c r="H99" i="2"/>
  <c r="G99" i="2"/>
  <c r="F99" i="2"/>
  <c r="E99" i="2"/>
  <c r="BF98" i="2"/>
  <c r="BE98" i="2"/>
  <c r="BD98" i="2"/>
  <c r="BC98" i="2"/>
  <c r="BB98" i="2"/>
  <c r="BA98" i="2"/>
  <c r="AZ98" i="2"/>
  <c r="AY98" i="2"/>
  <c r="AV98" i="2"/>
  <c r="AS98" i="2" s="1"/>
  <c r="AU98" i="2" s="1"/>
  <c r="AT98" i="2"/>
  <c r="T98" i="2"/>
  <c r="S98" i="2"/>
  <c r="R98" i="2"/>
  <c r="Q98" i="2"/>
  <c r="P98" i="2"/>
  <c r="N98" i="2"/>
  <c r="J98" i="2"/>
  <c r="H98" i="2"/>
  <c r="G98" i="2"/>
  <c r="F98" i="2"/>
  <c r="E98" i="2"/>
  <c r="BF97" i="2"/>
  <c r="BE97" i="2"/>
  <c r="BD97" i="2"/>
  <c r="BC97" i="2"/>
  <c r="BB97" i="2"/>
  <c r="BA97" i="2"/>
  <c r="AZ97" i="2"/>
  <c r="AY97" i="2"/>
  <c r="AV97" i="2"/>
  <c r="AS97" i="2" s="1"/>
  <c r="AU97" i="2" s="1"/>
  <c r="AT97" i="2"/>
  <c r="T97" i="2"/>
  <c r="S97" i="2"/>
  <c r="R97" i="2"/>
  <c r="Q97" i="2"/>
  <c r="P97" i="2"/>
  <c r="N97" i="2"/>
  <c r="J97" i="2"/>
  <c r="H97" i="2"/>
  <c r="G97" i="2"/>
  <c r="F97" i="2"/>
  <c r="E97" i="2"/>
  <c r="BF96" i="2"/>
  <c r="BE96" i="2"/>
  <c r="BD96" i="2"/>
  <c r="BC96" i="2"/>
  <c r="BB96" i="2"/>
  <c r="BA96" i="2"/>
  <c r="AZ96" i="2"/>
  <c r="AY96" i="2"/>
  <c r="AV96" i="2"/>
  <c r="AS96" i="2" s="1"/>
  <c r="AU96" i="2" s="1"/>
  <c r="AT96" i="2"/>
  <c r="T96" i="2"/>
  <c r="S96" i="2"/>
  <c r="R96" i="2"/>
  <c r="Q96" i="2"/>
  <c r="P96" i="2"/>
  <c r="N96" i="2"/>
  <c r="J96" i="2"/>
  <c r="H96" i="2"/>
  <c r="G96" i="2"/>
  <c r="F96" i="2"/>
  <c r="E96" i="2"/>
  <c r="C96" i="2"/>
  <c r="BF93" i="2"/>
  <c r="BE93" i="2"/>
  <c r="BD93" i="2"/>
  <c r="BC93" i="2"/>
  <c r="BB93" i="2"/>
  <c r="BA93" i="2"/>
  <c r="AZ93" i="2"/>
  <c r="AY93" i="2"/>
  <c r="AV93" i="2"/>
  <c r="AS93" i="2" s="1"/>
  <c r="AU93" i="2" s="1"/>
  <c r="AT93" i="2"/>
  <c r="T93" i="2"/>
  <c r="S93" i="2"/>
  <c r="R93" i="2"/>
  <c r="Q93" i="2"/>
  <c r="P93" i="2"/>
  <c r="N93" i="2"/>
  <c r="J93" i="2"/>
  <c r="H93" i="2"/>
  <c r="G93" i="2"/>
  <c r="F93" i="2"/>
  <c r="E93" i="2"/>
  <c r="BF92" i="2"/>
  <c r="BE92" i="2"/>
  <c r="BD92" i="2"/>
  <c r="BC92" i="2"/>
  <c r="BB92" i="2"/>
  <c r="BA92" i="2"/>
  <c r="AZ92" i="2"/>
  <c r="AY92" i="2"/>
  <c r="AV92" i="2"/>
  <c r="AS92" i="2" s="1"/>
  <c r="AU92" i="2" s="1"/>
  <c r="AT92" i="2"/>
  <c r="T92" i="2"/>
  <c r="S92" i="2"/>
  <c r="R92" i="2"/>
  <c r="Q92" i="2"/>
  <c r="P92" i="2"/>
  <c r="N92" i="2"/>
  <c r="J92" i="2"/>
  <c r="H92" i="2"/>
  <c r="G92" i="2"/>
  <c r="F92" i="2"/>
  <c r="E92" i="2"/>
  <c r="BF91" i="2"/>
  <c r="BE91" i="2"/>
  <c r="BD91" i="2"/>
  <c r="BC91" i="2"/>
  <c r="BB91" i="2"/>
  <c r="BA91" i="2"/>
  <c r="AZ91" i="2"/>
  <c r="AY91" i="2"/>
  <c r="AV91" i="2"/>
  <c r="AS91" i="2" s="1"/>
  <c r="AU91" i="2" s="1"/>
  <c r="AT91" i="2"/>
  <c r="T91" i="2"/>
  <c r="S91" i="2"/>
  <c r="R91" i="2"/>
  <c r="Q91" i="2"/>
  <c r="P91" i="2"/>
  <c r="N91" i="2"/>
  <c r="J91" i="2"/>
  <c r="H91" i="2"/>
  <c r="G91" i="2"/>
  <c r="F91" i="2"/>
  <c r="E91" i="2"/>
  <c r="BF90" i="2"/>
  <c r="BE90" i="2"/>
  <c r="BD90" i="2"/>
  <c r="BC90" i="2"/>
  <c r="BB90" i="2"/>
  <c r="BA90" i="2"/>
  <c r="AZ90" i="2"/>
  <c r="AY90" i="2"/>
  <c r="AV90" i="2"/>
  <c r="AS90" i="2" s="1"/>
  <c r="AU90" i="2" s="1"/>
  <c r="AT90" i="2"/>
  <c r="T90" i="2"/>
  <c r="S90" i="2"/>
  <c r="R90" i="2"/>
  <c r="Q90" i="2"/>
  <c r="P90" i="2"/>
  <c r="N90" i="2"/>
  <c r="J90" i="2"/>
  <c r="H90" i="2"/>
  <c r="G90" i="2"/>
  <c r="F90" i="2"/>
  <c r="E90" i="2"/>
  <c r="BF89" i="2"/>
  <c r="BE89" i="2"/>
  <c r="BD89" i="2"/>
  <c r="BC89" i="2"/>
  <c r="BB89" i="2"/>
  <c r="BA89" i="2"/>
  <c r="AZ89" i="2"/>
  <c r="AY89" i="2"/>
  <c r="AV89" i="2"/>
  <c r="AS89" i="2" s="1"/>
  <c r="AU89" i="2" s="1"/>
  <c r="AT89" i="2"/>
  <c r="T89" i="2"/>
  <c r="S89" i="2"/>
  <c r="R89" i="2"/>
  <c r="Q89" i="2"/>
  <c r="P89" i="2"/>
  <c r="N89" i="2"/>
  <c r="J89" i="2"/>
  <c r="H89" i="2"/>
  <c r="G89" i="2"/>
  <c r="F89" i="2"/>
  <c r="E89" i="2"/>
  <c r="BF88" i="2"/>
  <c r="BE88" i="2"/>
  <c r="BD88" i="2"/>
  <c r="BC88" i="2"/>
  <c r="BB88" i="2"/>
  <c r="BA88" i="2"/>
  <c r="AZ88" i="2"/>
  <c r="AY88" i="2"/>
  <c r="AV88" i="2"/>
  <c r="AS88" i="2" s="1"/>
  <c r="AU88" i="2" s="1"/>
  <c r="AT88" i="2"/>
  <c r="T88" i="2"/>
  <c r="S88" i="2"/>
  <c r="R88" i="2"/>
  <c r="Q88" i="2"/>
  <c r="P88" i="2"/>
  <c r="N88" i="2"/>
  <c r="J88" i="2"/>
  <c r="H88" i="2"/>
  <c r="G88" i="2"/>
  <c r="F88" i="2"/>
  <c r="E88" i="2"/>
  <c r="C88" i="2"/>
  <c r="BF85" i="2"/>
  <c r="BE85" i="2"/>
  <c r="BD85" i="2"/>
  <c r="BC85" i="2"/>
  <c r="BB85" i="2"/>
  <c r="BA85" i="2"/>
  <c r="AZ85" i="2"/>
  <c r="AY85" i="2"/>
  <c r="AV85" i="2"/>
  <c r="AS85" i="2" s="1"/>
  <c r="AU85" i="2" s="1"/>
  <c r="AT85" i="2"/>
  <c r="T85" i="2"/>
  <c r="S85" i="2"/>
  <c r="R85" i="2"/>
  <c r="Q85" i="2"/>
  <c r="P85" i="2"/>
  <c r="N85" i="2"/>
  <c r="J85" i="2"/>
  <c r="H85" i="2"/>
  <c r="G85" i="2"/>
  <c r="F85" i="2"/>
  <c r="E85" i="2"/>
  <c r="BF84" i="2"/>
  <c r="BE84" i="2"/>
  <c r="BD84" i="2"/>
  <c r="BC84" i="2"/>
  <c r="BB84" i="2"/>
  <c r="BA84" i="2"/>
  <c r="AZ84" i="2"/>
  <c r="AY84" i="2"/>
  <c r="AV84" i="2"/>
  <c r="AS84" i="2" s="1"/>
  <c r="AU84" i="2" s="1"/>
  <c r="AT84" i="2"/>
  <c r="T84" i="2"/>
  <c r="S84" i="2"/>
  <c r="R84" i="2"/>
  <c r="Q84" i="2"/>
  <c r="P84" i="2"/>
  <c r="N84" i="2"/>
  <c r="J84" i="2"/>
  <c r="H84" i="2"/>
  <c r="G84" i="2"/>
  <c r="F84" i="2"/>
  <c r="E84" i="2"/>
  <c r="BF83" i="2"/>
  <c r="BE83" i="2"/>
  <c r="BD83" i="2"/>
  <c r="BC83" i="2"/>
  <c r="BB83" i="2"/>
  <c r="BA83" i="2"/>
  <c r="AZ83" i="2"/>
  <c r="AY83" i="2"/>
  <c r="AV83" i="2"/>
  <c r="AS83" i="2" s="1"/>
  <c r="AU83" i="2" s="1"/>
  <c r="AT83" i="2"/>
  <c r="T83" i="2"/>
  <c r="S83" i="2"/>
  <c r="R83" i="2"/>
  <c r="Q83" i="2"/>
  <c r="P83" i="2"/>
  <c r="N83" i="2"/>
  <c r="J83" i="2"/>
  <c r="H83" i="2"/>
  <c r="G83" i="2"/>
  <c r="F83" i="2"/>
  <c r="E83" i="2"/>
  <c r="BF82" i="2"/>
  <c r="BE82" i="2"/>
  <c r="BD82" i="2"/>
  <c r="BC82" i="2"/>
  <c r="BB82" i="2"/>
  <c r="BA82" i="2"/>
  <c r="AZ82" i="2"/>
  <c r="AY82" i="2"/>
  <c r="AV82" i="2"/>
  <c r="AS82" i="2" s="1"/>
  <c r="AU82" i="2" s="1"/>
  <c r="AT82" i="2"/>
  <c r="T82" i="2"/>
  <c r="S82" i="2"/>
  <c r="R82" i="2"/>
  <c r="Q82" i="2"/>
  <c r="P82" i="2"/>
  <c r="N82" i="2"/>
  <c r="J82" i="2"/>
  <c r="H82" i="2"/>
  <c r="G82" i="2"/>
  <c r="F82" i="2"/>
  <c r="E82" i="2"/>
  <c r="BF81" i="2"/>
  <c r="BE81" i="2"/>
  <c r="BD81" i="2"/>
  <c r="BC81" i="2"/>
  <c r="BB81" i="2"/>
  <c r="BA81" i="2"/>
  <c r="AZ81" i="2"/>
  <c r="AY81" i="2"/>
  <c r="AV81" i="2"/>
  <c r="AS81" i="2" s="1"/>
  <c r="AU81" i="2" s="1"/>
  <c r="AT81" i="2"/>
  <c r="T81" i="2"/>
  <c r="S81" i="2"/>
  <c r="R81" i="2"/>
  <c r="Q81" i="2"/>
  <c r="P81" i="2"/>
  <c r="N81" i="2"/>
  <c r="J81" i="2"/>
  <c r="H81" i="2"/>
  <c r="G81" i="2"/>
  <c r="F81" i="2"/>
  <c r="E81" i="2"/>
  <c r="BF80" i="2"/>
  <c r="BE80" i="2"/>
  <c r="BD80" i="2"/>
  <c r="BC80" i="2"/>
  <c r="BB80" i="2"/>
  <c r="BA80" i="2"/>
  <c r="AZ80" i="2"/>
  <c r="AY80" i="2"/>
  <c r="AV80" i="2"/>
  <c r="AS80" i="2" s="1"/>
  <c r="AU80" i="2" s="1"/>
  <c r="AT80" i="2"/>
  <c r="T80" i="2"/>
  <c r="S80" i="2"/>
  <c r="R80" i="2"/>
  <c r="Q80" i="2"/>
  <c r="P80" i="2"/>
  <c r="N80" i="2"/>
  <c r="J80" i="2"/>
  <c r="H80" i="2"/>
  <c r="G80" i="2"/>
  <c r="F80" i="2"/>
  <c r="E80" i="2"/>
  <c r="BF77" i="2"/>
  <c r="BE77" i="2"/>
  <c r="BD77" i="2"/>
  <c r="BC77" i="2"/>
  <c r="BB77" i="2"/>
  <c r="BA77" i="2"/>
  <c r="AZ77" i="2"/>
  <c r="AY77" i="2"/>
  <c r="AV77" i="2"/>
  <c r="AS77" i="2" s="1"/>
  <c r="AU77" i="2" s="1"/>
  <c r="AT77" i="2"/>
  <c r="T77" i="2"/>
  <c r="S77" i="2"/>
  <c r="R77" i="2"/>
  <c r="Q77" i="2"/>
  <c r="P77" i="2"/>
  <c r="N77" i="2"/>
  <c r="J77" i="2"/>
  <c r="H77" i="2"/>
  <c r="G77" i="2"/>
  <c r="F77" i="2"/>
  <c r="E77" i="2"/>
  <c r="BF76" i="2"/>
  <c r="BE76" i="2"/>
  <c r="BD76" i="2"/>
  <c r="BC76" i="2"/>
  <c r="BB76" i="2"/>
  <c r="BA76" i="2"/>
  <c r="AZ76" i="2"/>
  <c r="AY76" i="2"/>
  <c r="AV76" i="2"/>
  <c r="AS76" i="2" s="1"/>
  <c r="AU76" i="2" s="1"/>
  <c r="AT76" i="2"/>
  <c r="T76" i="2"/>
  <c r="S76" i="2"/>
  <c r="R76" i="2"/>
  <c r="Q76" i="2"/>
  <c r="P76" i="2"/>
  <c r="N76" i="2"/>
  <c r="J76" i="2"/>
  <c r="H76" i="2"/>
  <c r="G76" i="2"/>
  <c r="F76" i="2"/>
  <c r="E76" i="2"/>
  <c r="BF75" i="2"/>
  <c r="BE75" i="2"/>
  <c r="BD75" i="2"/>
  <c r="BC75" i="2"/>
  <c r="BB75" i="2"/>
  <c r="BA75" i="2"/>
  <c r="AZ75" i="2"/>
  <c r="AY75" i="2"/>
  <c r="AV75" i="2"/>
  <c r="AS75" i="2" s="1"/>
  <c r="AU75" i="2" s="1"/>
  <c r="AT75" i="2"/>
  <c r="T75" i="2"/>
  <c r="S75" i="2"/>
  <c r="R75" i="2"/>
  <c r="Q75" i="2"/>
  <c r="P75" i="2"/>
  <c r="N75" i="2"/>
  <c r="J75" i="2"/>
  <c r="H75" i="2"/>
  <c r="G75" i="2"/>
  <c r="F75" i="2"/>
  <c r="E75" i="2"/>
  <c r="BF74" i="2"/>
  <c r="BE74" i="2"/>
  <c r="BD74" i="2"/>
  <c r="BC74" i="2"/>
  <c r="BB74" i="2"/>
  <c r="BA74" i="2"/>
  <c r="AZ74" i="2"/>
  <c r="AY74" i="2"/>
  <c r="AV74" i="2"/>
  <c r="AS74" i="2" s="1"/>
  <c r="AU74" i="2" s="1"/>
  <c r="AT74" i="2"/>
  <c r="T74" i="2"/>
  <c r="S74" i="2"/>
  <c r="R74" i="2"/>
  <c r="Q74" i="2"/>
  <c r="P74" i="2"/>
  <c r="N74" i="2"/>
  <c r="J74" i="2"/>
  <c r="H74" i="2"/>
  <c r="G74" i="2"/>
  <c r="F74" i="2"/>
  <c r="E74" i="2"/>
  <c r="BF73" i="2"/>
  <c r="BE73" i="2"/>
  <c r="BD73" i="2"/>
  <c r="BC73" i="2"/>
  <c r="BB73" i="2"/>
  <c r="BA73" i="2"/>
  <c r="AZ73" i="2"/>
  <c r="AY73" i="2"/>
  <c r="AV73" i="2"/>
  <c r="AS73" i="2" s="1"/>
  <c r="AU73" i="2" s="1"/>
  <c r="AT73" i="2"/>
  <c r="T73" i="2"/>
  <c r="S73" i="2"/>
  <c r="R73" i="2"/>
  <c r="Q73" i="2"/>
  <c r="P73" i="2"/>
  <c r="N73" i="2"/>
  <c r="J73" i="2"/>
  <c r="H73" i="2"/>
  <c r="G73" i="2"/>
  <c r="F73" i="2"/>
  <c r="E73" i="2"/>
  <c r="BF72" i="2"/>
  <c r="BE72" i="2"/>
  <c r="BD72" i="2"/>
  <c r="BC72" i="2"/>
  <c r="BB72" i="2"/>
  <c r="BA72" i="2"/>
  <c r="AZ72" i="2"/>
  <c r="AY72" i="2"/>
  <c r="AV72" i="2"/>
  <c r="AS72" i="2" s="1"/>
  <c r="AU72" i="2" s="1"/>
  <c r="AT72" i="2"/>
  <c r="T72" i="2"/>
  <c r="S72" i="2"/>
  <c r="R72" i="2"/>
  <c r="Q72" i="2"/>
  <c r="P72" i="2"/>
  <c r="N72" i="2"/>
  <c r="J72" i="2"/>
  <c r="H72" i="2"/>
  <c r="G72" i="2"/>
  <c r="F72" i="2"/>
  <c r="E72" i="2"/>
  <c r="C72" i="2"/>
  <c r="BF69" i="2"/>
  <c r="BE69" i="2"/>
  <c r="BD69" i="2"/>
  <c r="BC69" i="2"/>
  <c r="BB69" i="2"/>
  <c r="BA69" i="2"/>
  <c r="AZ69" i="2"/>
  <c r="AY69" i="2"/>
  <c r="AV69" i="2"/>
  <c r="AS69" i="2" s="1"/>
  <c r="AU69" i="2" s="1"/>
  <c r="AT69" i="2"/>
  <c r="T69" i="2"/>
  <c r="S69" i="2"/>
  <c r="R69" i="2"/>
  <c r="Q69" i="2"/>
  <c r="P69" i="2"/>
  <c r="N69" i="2"/>
  <c r="J69" i="2"/>
  <c r="H69" i="2"/>
  <c r="G69" i="2"/>
  <c r="F69" i="2"/>
  <c r="E69" i="2"/>
  <c r="BF68" i="2"/>
  <c r="BE68" i="2"/>
  <c r="BD68" i="2"/>
  <c r="BC68" i="2"/>
  <c r="BB68" i="2"/>
  <c r="BA68" i="2"/>
  <c r="AZ68" i="2"/>
  <c r="AY68" i="2"/>
  <c r="AV68" i="2"/>
  <c r="AS68" i="2" s="1"/>
  <c r="AU68" i="2" s="1"/>
  <c r="AT68" i="2"/>
  <c r="T68" i="2"/>
  <c r="S68" i="2"/>
  <c r="R68" i="2"/>
  <c r="Q68" i="2"/>
  <c r="P68" i="2"/>
  <c r="N68" i="2"/>
  <c r="J68" i="2"/>
  <c r="H68" i="2"/>
  <c r="G68" i="2"/>
  <c r="F68" i="2"/>
  <c r="E68" i="2"/>
  <c r="BF67" i="2"/>
  <c r="BE67" i="2"/>
  <c r="BD67" i="2"/>
  <c r="BC67" i="2"/>
  <c r="BB67" i="2"/>
  <c r="BA67" i="2"/>
  <c r="AZ67" i="2"/>
  <c r="AY67" i="2"/>
  <c r="AV67" i="2"/>
  <c r="AS67" i="2" s="1"/>
  <c r="AU67" i="2" s="1"/>
  <c r="AT67" i="2"/>
  <c r="T67" i="2"/>
  <c r="S67" i="2"/>
  <c r="R67" i="2"/>
  <c r="Q67" i="2"/>
  <c r="P67" i="2"/>
  <c r="N67" i="2"/>
  <c r="J67" i="2"/>
  <c r="H67" i="2"/>
  <c r="G67" i="2"/>
  <c r="F67" i="2"/>
  <c r="E67" i="2"/>
  <c r="BF66" i="2"/>
  <c r="BE66" i="2"/>
  <c r="BD66" i="2"/>
  <c r="BC66" i="2"/>
  <c r="BB66" i="2"/>
  <c r="BA66" i="2"/>
  <c r="AZ66" i="2"/>
  <c r="AY66" i="2"/>
  <c r="AV66" i="2"/>
  <c r="AS66" i="2" s="1"/>
  <c r="AU66" i="2" s="1"/>
  <c r="AT66" i="2"/>
  <c r="T66" i="2"/>
  <c r="S66" i="2"/>
  <c r="R66" i="2"/>
  <c r="Q66" i="2"/>
  <c r="P66" i="2"/>
  <c r="N66" i="2"/>
  <c r="J66" i="2"/>
  <c r="H66" i="2"/>
  <c r="G66" i="2"/>
  <c r="F66" i="2"/>
  <c r="E66" i="2"/>
  <c r="BF65" i="2"/>
  <c r="BE65" i="2"/>
  <c r="BD65" i="2"/>
  <c r="BC65" i="2"/>
  <c r="BB65" i="2"/>
  <c r="BA65" i="2"/>
  <c r="AZ65" i="2"/>
  <c r="AY65" i="2"/>
  <c r="AV65" i="2"/>
  <c r="AS65" i="2" s="1"/>
  <c r="AU65" i="2" s="1"/>
  <c r="AT65" i="2"/>
  <c r="T65" i="2"/>
  <c r="S65" i="2"/>
  <c r="R65" i="2"/>
  <c r="Q65" i="2"/>
  <c r="P65" i="2"/>
  <c r="N65" i="2"/>
  <c r="J65" i="2"/>
  <c r="H65" i="2"/>
  <c r="G65" i="2"/>
  <c r="F65" i="2"/>
  <c r="E65" i="2"/>
  <c r="BF64" i="2"/>
  <c r="BE64" i="2"/>
  <c r="BD64" i="2"/>
  <c r="BC64" i="2"/>
  <c r="BB64" i="2"/>
  <c r="BA64" i="2"/>
  <c r="AZ64" i="2"/>
  <c r="AY64" i="2"/>
  <c r="AV64" i="2"/>
  <c r="AS64" i="2" s="1"/>
  <c r="AU64" i="2" s="1"/>
  <c r="AT64" i="2"/>
  <c r="T64" i="2"/>
  <c r="S64" i="2"/>
  <c r="R64" i="2"/>
  <c r="Q64" i="2"/>
  <c r="P64" i="2"/>
  <c r="N64" i="2"/>
  <c r="J64" i="2"/>
  <c r="H64" i="2"/>
  <c r="G64" i="2"/>
  <c r="F64" i="2"/>
  <c r="E64" i="2"/>
  <c r="C64" i="2"/>
  <c r="BF61" i="2"/>
  <c r="BE61" i="2"/>
  <c r="BD61" i="2"/>
  <c r="BC61" i="2"/>
  <c r="BB61" i="2"/>
  <c r="BA61" i="2"/>
  <c r="AZ61" i="2"/>
  <c r="AY61" i="2"/>
  <c r="AV61" i="2"/>
  <c r="AS61" i="2" s="1"/>
  <c r="AU61" i="2" s="1"/>
  <c r="AT61" i="2"/>
  <c r="T61" i="2"/>
  <c r="S61" i="2"/>
  <c r="R61" i="2"/>
  <c r="Q61" i="2"/>
  <c r="P61" i="2"/>
  <c r="N61" i="2"/>
  <c r="J61" i="2"/>
  <c r="H61" i="2"/>
  <c r="G61" i="2"/>
  <c r="F61" i="2"/>
  <c r="E61" i="2"/>
  <c r="BF60" i="2"/>
  <c r="BE60" i="2"/>
  <c r="BD60" i="2"/>
  <c r="BC60" i="2"/>
  <c r="BB60" i="2"/>
  <c r="BA60" i="2"/>
  <c r="AZ60" i="2"/>
  <c r="AY60" i="2"/>
  <c r="AV60" i="2"/>
  <c r="AS60" i="2" s="1"/>
  <c r="AU60" i="2" s="1"/>
  <c r="AT60" i="2"/>
  <c r="T60" i="2"/>
  <c r="S60" i="2"/>
  <c r="R60" i="2"/>
  <c r="Q60" i="2"/>
  <c r="P60" i="2"/>
  <c r="N60" i="2"/>
  <c r="J60" i="2"/>
  <c r="H60" i="2"/>
  <c r="G60" i="2"/>
  <c r="F60" i="2"/>
  <c r="E60" i="2"/>
  <c r="BF59" i="2"/>
  <c r="BE59" i="2"/>
  <c r="BD59" i="2"/>
  <c r="BC59" i="2"/>
  <c r="BB59" i="2"/>
  <c r="BA59" i="2"/>
  <c r="AZ59" i="2"/>
  <c r="AY59" i="2"/>
  <c r="AV59" i="2"/>
  <c r="AS59" i="2" s="1"/>
  <c r="AU59" i="2" s="1"/>
  <c r="AT59" i="2"/>
  <c r="T59" i="2"/>
  <c r="S59" i="2"/>
  <c r="R59" i="2"/>
  <c r="Q59" i="2"/>
  <c r="P59" i="2"/>
  <c r="N59" i="2"/>
  <c r="J59" i="2"/>
  <c r="H59" i="2"/>
  <c r="G59" i="2"/>
  <c r="F59" i="2"/>
  <c r="E59" i="2"/>
  <c r="BF58" i="2"/>
  <c r="BE58" i="2"/>
  <c r="BD58" i="2"/>
  <c r="BC58" i="2"/>
  <c r="BB58" i="2"/>
  <c r="BA58" i="2"/>
  <c r="AZ58" i="2"/>
  <c r="AY58" i="2"/>
  <c r="AV58" i="2"/>
  <c r="AS58" i="2" s="1"/>
  <c r="AU58" i="2" s="1"/>
  <c r="AT58" i="2"/>
  <c r="T58" i="2"/>
  <c r="S58" i="2"/>
  <c r="R58" i="2"/>
  <c r="Q58" i="2"/>
  <c r="P58" i="2"/>
  <c r="N58" i="2"/>
  <c r="J58" i="2"/>
  <c r="H58" i="2"/>
  <c r="G58" i="2"/>
  <c r="F58" i="2"/>
  <c r="E58" i="2"/>
  <c r="BF57" i="2"/>
  <c r="BE57" i="2"/>
  <c r="BD57" i="2"/>
  <c r="BC57" i="2"/>
  <c r="BB57" i="2"/>
  <c r="BA57" i="2"/>
  <c r="AZ57" i="2"/>
  <c r="AY57" i="2"/>
  <c r="AV57" i="2"/>
  <c r="AS57" i="2" s="1"/>
  <c r="AU57" i="2" s="1"/>
  <c r="AT57" i="2"/>
  <c r="T57" i="2"/>
  <c r="S57" i="2"/>
  <c r="R57" i="2"/>
  <c r="Q57" i="2"/>
  <c r="P57" i="2"/>
  <c r="N57" i="2"/>
  <c r="J57" i="2"/>
  <c r="H57" i="2"/>
  <c r="G57" i="2"/>
  <c r="F57" i="2"/>
  <c r="E57" i="2"/>
  <c r="BF56" i="2"/>
  <c r="BE56" i="2"/>
  <c r="BD56" i="2"/>
  <c r="BC56" i="2"/>
  <c r="BB56" i="2"/>
  <c r="BA56" i="2"/>
  <c r="AZ56" i="2"/>
  <c r="AY56" i="2"/>
  <c r="AV56" i="2"/>
  <c r="AS56" i="2" s="1"/>
  <c r="AU56" i="2" s="1"/>
  <c r="AT56" i="2"/>
  <c r="T56" i="2"/>
  <c r="S56" i="2"/>
  <c r="R56" i="2"/>
  <c r="Q56" i="2"/>
  <c r="P56" i="2"/>
  <c r="N56" i="2"/>
  <c r="J56" i="2"/>
  <c r="H56" i="2"/>
  <c r="G56" i="2"/>
  <c r="F56" i="2"/>
  <c r="E56" i="2"/>
  <c r="BF53" i="2"/>
  <c r="BE53" i="2"/>
  <c r="BD53" i="2"/>
  <c r="BC53" i="2"/>
  <c r="BB53" i="2"/>
  <c r="BA53" i="2"/>
  <c r="AZ53" i="2"/>
  <c r="AY53" i="2"/>
  <c r="AV53" i="2"/>
  <c r="AS53" i="2" s="1"/>
  <c r="AU53" i="2" s="1"/>
  <c r="AT53" i="2"/>
  <c r="T53" i="2"/>
  <c r="S53" i="2"/>
  <c r="R53" i="2"/>
  <c r="Q53" i="2"/>
  <c r="P53" i="2"/>
  <c r="N53" i="2"/>
  <c r="J53" i="2"/>
  <c r="H53" i="2"/>
  <c r="G53" i="2"/>
  <c r="F53" i="2"/>
  <c r="E53" i="2"/>
  <c r="BF52" i="2"/>
  <c r="BE52" i="2"/>
  <c r="BD52" i="2"/>
  <c r="BC52" i="2"/>
  <c r="BB52" i="2"/>
  <c r="BA52" i="2"/>
  <c r="AZ52" i="2"/>
  <c r="AY52" i="2"/>
  <c r="AV52" i="2"/>
  <c r="AS52" i="2" s="1"/>
  <c r="AU52" i="2" s="1"/>
  <c r="AT52" i="2"/>
  <c r="T52" i="2"/>
  <c r="S52" i="2"/>
  <c r="R52" i="2"/>
  <c r="Q52" i="2"/>
  <c r="P52" i="2"/>
  <c r="N52" i="2"/>
  <c r="J52" i="2"/>
  <c r="H52" i="2"/>
  <c r="G52" i="2"/>
  <c r="F52" i="2"/>
  <c r="E52" i="2"/>
  <c r="BF51" i="2"/>
  <c r="BE51" i="2"/>
  <c r="BD51" i="2"/>
  <c r="BC51" i="2"/>
  <c r="BB51" i="2"/>
  <c r="BA51" i="2"/>
  <c r="AZ51" i="2"/>
  <c r="AY51" i="2"/>
  <c r="AV51" i="2"/>
  <c r="AS51" i="2" s="1"/>
  <c r="AU51" i="2" s="1"/>
  <c r="AT51" i="2"/>
  <c r="T51" i="2"/>
  <c r="S51" i="2"/>
  <c r="R51" i="2"/>
  <c r="Q51" i="2"/>
  <c r="P51" i="2"/>
  <c r="N51" i="2"/>
  <c r="J51" i="2"/>
  <c r="H51" i="2"/>
  <c r="G51" i="2"/>
  <c r="F51" i="2"/>
  <c r="E51" i="2"/>
  <c r="BF50" i="2"/>
  <c r="BE50" i="2"/>
  <c r="BD50" i="2"/>
  <c r="BC50" i="2"/>
  <c r="BB50" i="2"/>
  <c r="BA50" i="2"/>
  <c r="AZ50" i="2"/>
  <c r="AY50" i="2"/>
  <c r="AV50" i="2"/>
  <c r="AS50" i="2" s="1"/>
  <c r="AU50" i="2" s="1"/>
  <c r="AT50" i="2"/>
  <c r="T50" i="2"/>
  <c r="S50" i="2"/>
  <c r="R50" i="2"/>
  <c r="Q50" i="2"/>
  <c r="P50" i="2"/>
  <c r="N50" i="2"/>
  <c r="J50" i="2"/>
  <c r="H50" i="2"/>
  <c r="G50" i="2"/>
  <c r="F50" i="2"/>
  <c r="E50" i="2"/>
  <c r="BF49" i="2"/>
  <c r="BE49" i="2"/>
  <c r="BD49" i="2"/>
  <c r="BC49" i="2"/>
  <c r="BB49" i="2"/>
  <c r="BA49" i="2"/>
  <c r="AZ49" i="2"/>
  <c r="AY49" i="2"/>
  <c r="AV49" i="2"/>
  <c r="AS49" i="2" s="1"/>
  <c r="AU49" i="2" s="1"/>
  <c r="AT49" i="2"/>
  <c r="T49" i="2"/>
  <c r="S49" i="2"/>
  <c r="R49" i="2"/>
  <c r="Q49" i="2"/>
  <c r="P49" i="2"/>
  <c r="N49" i="2"/>
  <c r="J49" i="2"/>
  <c r="H49" i="2"/>
  <c r="G49" i="2"/>
  <c r="F49" i="2"/>
  <c r="E49" i="2"/>
  <c r="BF48" i="2"/>
  <c r="BE48" i="2"/>
  <c r="BD48" i="2"/>
  <c r="BC48" i="2"/>
  <c r="BB48" i="2"/>
  <c r="BA48" i="2"/>
  <c r="AZ48" i="2"/>
  <c r="AY48" i="2"/>
  <c r="AV48" i="2"/>
  <c r="AS48" i="2" s="1"/>
  <c r="AU48" i="2" s="1"/>
  <c r="AT48" i="2"/>
  <c r="T48" i="2"/>
  <c r="S48" i="2"/>
  <c r="R48" i="2"/>
  <c r="Q48" i="2"/>
  <c r="P48" i="2"/>
  <c r="N48" i="2"/>
  <c r="J48" i="2"/>
  <c r="H48" i="2"/>
  <c r="G48" i="2"/>
  <c r="F48" i="2"/>
  <c r="E48" i="2"/>
  <c r="C48" i="2"/>
  <c r="BF45" i="2"/>
  <c r="BE45" i="2"/>
  <c r="BD45" i="2"/>
  <c r="BC45" i="2"/>
  <c r="BB45" i="2"/>
  <c r="BA45" i="2"/>
  <c r="AZ45" i="2"/>
  <c r="AY45" i="2"/>
  <c r="AV45" i="2"/>
  <c r="AS45" i="2" s="1"/>
  <c r="AU45" i="2" s="1"/>
  <c r="AT45" i="2"/>
  <c r="T45" i="2"/>
  <c r="S45" i="2"/>
  <c r="R45" i="2"/>
  <c r="Q45" i="2"/>
  <c r="P45" i="2"/>
  <c r="N45" i="2"/>
  <c r="J45" i="2"/>
  <c r="H45" i="2"/>
  <c r="G45" i="2"/>
  <c r="F45" i="2"/>
  <c r="E45" i="2"/>
  <c r="BF44" i="2"/>
  <c r="BE44" i="2"/>
  <c r="BD44" i="2"/>
  <c r="BC44" i="2"/>
  <c r="BB44" i="2"/>
  <c r="BA44" i="2"/>
  <c r="AZ44" i="2"/>
  <c r="AY44" i="2"/>
  <c r="AV44" i="2"/>
  <c r="AS44" i="2" s="1"/>
  <c r="AU44" i="2" s="1"/>
  <c r="AT44" i="2"/>
  <c r="T44" i="2"/>
  <c r="S44" i="2"/>
  <c r="R44" i="2"/>
  <c r="Q44" i="2"/>
  <c r="P44" i="2"/>
  <c r="N44" i="2"/>
  <c r="J44" i="2"/>
  <c r="H44" i="2"/>
  <c r="G44" i="2"/>
  <c r="F44" i="2"/>
  <c r="E44" i="2"/>
  <c r="BF43" i="2"/>
  <c r="BE43" i="2"/>
  <c r="BD43" i="2"/>
  <c r="BC43" i="2"/>
  <c r="BB43" i="2"/>
  <c r="BA43" i="2"/>
  <c r="AZ43" i="2"/>
  <c r="AY43" i="2"/>
  <c r="AV43" i="2"/>
  <c r="AS43" i="2" s="1"/>
  <c r="AU43" i="2" s="1"/>
  <c r="AT43" i="2"/>
  <c r="T43" i="2"/>
  <c r="S43" i="2"/>
  <c r="R43" i="2"/>
  <c r="Q43" i="2"/>
  <c r="P43" i="2"/>
  <c r="N43" i="2"/>
  <c r="J43" i="2"/>
  <c r="H43" i="2"/>
  <c r="G43" i="2"/>
  <c r="F43" i="2"/>
  <c r="E43" i="2"/>
  <c r="BF42" i="2"/>
  <c r="BE42" i="2"/>
  <c r="BD42" i="2"/>
  <c r="BC42" i="2"/>
  <c r="BB42" i="2"/>
  <c r="BA42" i="2"/>
  <c r="AZ42" i="2"/>
  <c r="AY42" i="2"/>
  <c r="AV42" i="2"/>
  <c r="AS42" i="2" s="1"/>
  <c r="AU42" i="2" s="1"/>
  <c r="AT42" i="2"/>
  <c r="T42" i="2"/>
  <c r="S42" i="2"/>
  <c r="R42" i="2"/>
  <c r="Q42" i="2"/>
  <c r="P42" i="2"/>
  <c r="N42" i="2"/>
  <c r="J42" i="2"/>
  <c r="H42" i="2"/>
  <c r="G42" i="2"/>
  <c r="F42" i="2"/>
  <c r="E42" i="2"/>
  <c r="BF41" i="2"/>
  <c r="BE41" i="2"/>
  <c r="BD41" i="2"/>
  <c r="BC41" i="2"/>
  <c r="BB41" i="2"/>
  <c r="BA41" i="2"/>
  <c r="AZ41" i="2"/>
  <c r="AY41" i="2"/>
  <c r="AV41" i="2"/>
  <c r="AS41" i="2" s="1"/>
  <c r="AU41" i="2" s="1"/>
  <c r="AT41" i="2"/>
  <c r="T41" i="2"/>
  <c r="S41" i="2"/>
  <c r="R41" i="2"/>
  <c r="Q41" i="2"/>
  <c r="P41" i="2"/>
  <c r="N41" i="2"/>
  <c r="J41" i="2"/>
  <c r="H41" i="2"/>
  <c r="G41" i="2"/>
  <c r="F41" i="2"/>
  <c r="E41" i="2"/>
  <c r="BF40" i="2"/>
  <c r="BE40" i="2"/>
  <c r="BD40" i="2"/>
  <c r="BC40" i="2"/>
  <c r="BB40" i="2"/>
  <c r="BA40" i="2"/>
  <c r="AZ40" i="2"/>
  <c r="AY40" i="2"/>
  <c r="AV40" i="2"/>
  <c r="AS40" i="2" s="1"/>
  <c r="AU40" i="2" s="1"/>
  <c r="AT40" i="2"/>
  <c r="T40" i="2"/>
  <c r="S40" i="2"/>
  <c r="R40" i="2"/>
  <c r="Q40" i="2"/>
  <c r="P40" i="2"/>
  <c r="N40" i="2"/>
  <c r="J40" i="2"/>
  <c r="H40" i="2"/>
  <c r="G40" i="2"/>
  <c r="F40" i="2"/>
  <c r="E40" i="2"/>
  <c r="BF37" i="2"/>
  <c r="BE37" i="2"/>
  <c r="BD37" i="2"/>
  <c r="BC37" i="2"/>
  <c r="BB37" i="2"/>
  <c r="BA37" i="2"/>
  <c r="AZ37" i="2"/>
  <c r="AY37" i="2"/>
  <c r="AV37" i="2"/>
  <c r="AS37" i="2" s="1"/>
  <c r="AU37" i="2" s="1"/>
  <c r="AT37" i="2"/>
  <c r="T37" i="2"/>
  <c r="S37" i="2"/>
  <c r="R37" i="2"/>
  <c r="Q37" i="2"/>
  <c r="P37" i="2"/>
  <c r="N37" i="2"/>
  <c r="J37" i="2"/>
  <c r="H37" i="2"/>
  <c r="G37" i="2"/>
  <c r="F37" i="2"/>
  <c r="E37" i="2"/>
  <c r="BF36" i="2"/>
  <c r="BE36" i="2"/>
  <c r="BD36" i="2"/>
  <c r="BC36" i="2"/>
  <c r="BB36" i="2"/>
  <c r="BA36" i="2"/>
  <c r="AZ36" i="2"/>
  <c r="AY36" i="2"/>
  <c r="AV36" i="2"/>
  <c r="AS36" i="2" s="1"/>
  <c r="AU36" i="2" s="1"/>
  <c r="AT36" i="2"/>
  <c r="T36" i="2"/>
  <c r="S36" i="2"/>
  <c r="R36" i="2"/>
  <c r="Q36" i="2"/>
  <c r="P36" i="2"/>
  <c r="N36" i="2"/>
  <c r="J36" i="2"/>
  <c r="H36" i="2"/>
  <c r="G36" i="2"/>
  <c r="F36" i="2"/>
  <c r="E36" i="2"/>
  <c r="BF35" i="2"/>
  <c r="BE35" i="2"/>
  <c r="BD35" i="2"/>
  <c r="BC35" i="2"/>
  <c r="BB35" i="2"/>
  <c r="BA35" i="2"/>
  <c r="AZ35" i="2"/>
  <c r="AY35" i="2"/>
  <c r="AV35" i="2"/>
  <c r="AS35" i="2" s="1"/>
  <c r="AU35" i="2" s="1"/>
  <c r="AT35" i="2"/>
  <c r="T35" i="2"/>
  <c r="S35" i="2"/>
  <c r="R35" i="2"/>
  <c r="Q35" i="2"/>
  <c r="P35" i="2"/>
  <c r="N35" i="2"/>
  <c r="J35" i="2"/>
  <c r="H35" i="2"/>
  <c r="G35" i="2"/>
  <c r="F35" i="2"/>
  <c r="E35" i="2"/>
  <c r="BF34" i="2"/>
  <c r="BE34" i="2"/>
  <c r="BD34" i="2"/>
  <c r="BC34" i="2"/>
  <c r="BB34" i="2"/>
  <c r="BA34" i="2"/>
  <c r="AZ34" i="2"/>
  <c r="AY34" i="2"/>
  <c r="AV34" i="2"/>
  <c r="AS34" i="2" s="1"/>
  <c r="AU34" i="2" s="1"/>
  <c r="AT34" i="2"/>
  <c r="T34" i="2"/>
  <c r="S34" i="2"/>
  <c r="R34" i="2"/>
  <c r="Q34" i="2"/>
  <c r="P34" i="2"/>
  <c r="N34" i="2"/>
  <c r="J34" i="2"/>
  <c r="H34" i="2"/>
  <c r="G34" i="2"/>
  <c r="F34" i="2"/>
  <c r="E34" i="2"/>
  <c r="BF33" i="2"/>
  <c r="BE33" i="2"/>
  <c r="BD33" i="2"/>
  <c r="BC33" i="2"/>
  <c r="BB33" i="2"/>
  <c r="BA33" i="2"/>
  <c r="AZ33" i="2"/>
  <c r="AY33" i="2"/>
  <c r="AV33" i="2"/>
  <c r="AS33" i="2" s="1"/>
  <c r="AU33" i="2" s="1"/>
  <c r="AT33" i="2"/>
  <c r="T33" i="2"/>
  <c r="S33" i="2"/>
  <c r="R33" i="2"/>
  <c r="Q33" i="2"/>
  <c r="P33" i="2"/>
  <c r="N33" i="2"/>
  <c r="J33" i="2"/>
  <c r="H33" i="2"/>
  <c r="G33" i="2"/>
  <c r="F33" i="2"/>
  <c r="E33" i="2"/>
  <c r="BF32" i="2"/>
  <c r="BE32" i="2"/>
  <c r="BD32" i="2"/>
  <c r="BC32" i="2"/>
  <c r="BB32" i="2"/>
  <c r="BA32" i="2"/>
  <c r="AZ32" i="2"/>
  <c r="AY32" i="2"/>
  <c r="AV32" i="2"/>
  <c r="AS32" i="2" s="1"/>
  <c r="AU32" i="2" s="1"/>
  <c r="AT32" i="2"/>
  <c r="T32" i="2"/>
  <c r="S32" i="2"/>
  <c r="R32" i="2"/>
  <c r="Q32" i="2"/>
  <c r="P32" i="2"/>
  <c r="N32" i="2"/>
  <c r="J32" i="2"/>
  <c r="H32" i="2"/>
  <c r="G32" i="2"/>
  <c r="F32" i="2"/>
  <c r="E32" i="2"/>
  <c r="AK29" i="2"/>
  <c r="AJ29" i="2"/>
  <c r="AH29" i="2"/>
  <c r="AG29" i="2"/>
  <c r="AF29" i="2"/>
  <c r="AE29" i="2"/>
  <c r="AD29" i="2"/>
  <c r="AC29" i="2"/>
  <c r="AA29" i="2"/>
  <c r="Z29" i="2"/>
  <c r="Y29" i="2"/>
  <c r="T29" i="2"/>
  <c r="S29" i="2"/>
  <c r="R29" i="2"/>
  <c r="Q29" i="2"/>
  <c r="P29" i="2"/>
  <c r="N29" i="2"/>
  <c r="J29" i="2"/>
  <c r="H29" i="2"/>
  <c r="G29" i="2"/>
  <c r="F29" i="2"/>
  <c r="E29" i="2"/>
  <c r="AK28" i="2"/>
  <c r="AJ28" i="2"/>
  <c r="AH28" i="2"/>
  <c r="AG28" i="2"/>
  <c r="AF28" i="2"/>
  <c r="AE28" i="2"/>
  <c r="AD28" i="2"/>
  <c r="AC28" i="2"/>
  <c r="AA28" i="2"/>
  <c r="Z28" i="2"/>
  <c r="Y28" i="2"/>
  <c r="T28" i="2"/>
  <c r="S28" i="2"/>
  <c r="R28" i="2"/>
  <c r="Q28" i="2"/>
  <c r="P28" i="2"/>
  <c r="N28" i="2"/>
  <c r="J28" i="2"/>
  <c r="H28" i="2"/>
  <c r="G28" i="2"/>
  <c r="F28" i="2"/>
  <c r="E28" i="2"/>
  <c r="AK27" i="2"/>
  <c r="AJ27" i="2"/>
  <c r="AH27" i="2"/>
  <c r="AG27" i="2"/>
  <c r="AF27" i="2"/>
  <c r="AE27" i="2"/>
  <c r="AD27" i="2"/>
  <c r="AC27" i="2"/>
  <c r="AA27" i="2"/>
  <c r="Z27" i="2"/>
  <c r="Y27" i="2"/>
  <c r="T27" i="2"/>
  <c r="S27" i="2"/>
  <c r="R27" i="2"/>
  <c r="Q27" i="2"/>
  <c r="P27" i="2"/>
  <c r="N27" i="2"/>
  <c r="J27" i="2"/>
  <c r="H27" i="2"/>
  <c r="G27" i="2"/>
  <c r="F27" i="2"/>
  <c r="E27" i="2"/>
  <c r="AK26" i="2"/>
  <c r="AJ26" i="2"/>
  <c r="AH26" i="2"/>
  <c r="AG26" i="2"/>
  <c r="AF26" i="2"/>
  <c r="AE26" i="2"/>
  <c r="AD26" i="2"/>
  <c r="AC26" i="2"/>
  <c r="AA26" i="2"/>
  <c r="Z26" i="2"/>
  <c r="Y26" i="2"/>
  <c r="T26" i="2"/>
  <c r="S26" i="2"/>
  <c r="R26" i="2"/>
  <c r="Q26" i="2"/>
  <c r="P26" i="2"/>
  <c r="N26" i="2"/>
  <c r="J26" i="2"/>
  <c r="H26" i="2"/>
  <c r="G26" i="2"/>
  <c r="F26" i="2"/>
  <c r="E26" i="2"/>
  <c r="AK25" i="2"/>
  <c r="AJ25" i="2"/>
  <c r="AH25" i="2"/>
  <c r="AG25" i="2"/>
  <c r="AF25" i="2"/>
  <c r="AE25" i="2"/>
  <c r="AD25" i="2"/>
  <c r="AC25" i="2"/>
  <c r="AA25" i="2"/>
  <c r="Z25" i="2"/>
  <c r="Y25" i="2"/>
  <c r="T25" i="2"/>
  <c r="S25" i="2"/>
  <c r="R25" i="2"/>
  <c r="Q25" i="2"/>
  <c r="P25" i="2"/>
  <c r="N25" i="2"/>
  <c r="J25" i="2"/>
  <c r="H25" i="2"/>
  <c r="G25" i="2"/>
  <c r="F25" i="2"/>
  <c r="E25" i="2"/>
  <c r="AK24" i="2"/>
  <c r="AJ24" i="2"/>
  <c r="AH24" i="2"/>
  <c r="AG24" i="2"/>
  <c r="AF24" i="2"/>
  <c r="AE24" i="2"/>
  <c r="AD24" i="2"/>
  <c r="AC24" i="2"/>
  <c r="AA24" i="2"/>
  <c r="Z24" i="2"/>
  <c r="Y24" i="2"/>
  <c r="T24" i="2"/>
  <c r="S24" i="2"/>
  <c r="R24" i="2"/>
  <c r="Q24" i="2"/>
  <c r="P24" i="2"/>
  <c r="N24" i="2"/>
  <c r="J24" i="2"/>
  <c r="H24" i="2"/>
  <c r="G24" i="2"/>
  <c r="F24" i="2"/>
  <c r="E24" i="2"/>
  <c r="AK23" i="2"/>
  <c r="AJ23" i="2"/>
  <c r="AH23" i="2"/>
  <c r="AG23" i="2"/>
  <c r="AF23" i="2"/>
  <c r="AE23" i="2"/>
  <c r="AD23" i="2"/>
  <c r="AC23" i="2"/>
  <c r="AA23" i="2"/>
  <c r="Z23" i="2"/>
  <c r="Y23" i="2"/>
  <c r="T23" i="2"/>
  <c r="S23" i="2"/>
  <c r="R23" i="2"/>
  <c r="Q23" i="2"/>
  <c r="P23" i="2"/>
  <c r="N23" i="2"/>
  <c r="J23" i="2"/>
  <c r="H23" i="2"/>
  <c r="G23" i="2"/>
  <c r="F23" i="2"/>
  <c r="E23" i="2"/>
  <c r="AK22" i="2"/>
  <c r="AJ22" i="2"/>
  <c r="AH22" i="2"/>
  <c r="AG22" i="2"/>
  <c r="AF22" i="2"/>
  <c r="AE22" i="2"/>
  <c r="AD22" i="2"/>
  <c r="AC22" i="2"/>
  <c r="AA22" i="2"/>
  <c r="Z22" i="2"/>
  <c r="Y22" i="2"/>
  <c r="T22" i="2"/>
  <c r="S22" i="2"/>
  <c r="R22" i="2"/>
  <c r="Q22" i="2"/>
  <c r="P22" i="2"/>
  <c r="N22" i="2"/>
  <c r="J22" i="2"/>
  <c r="H22" i="2"/>
  <c r="G22" i="2"/>
  <c r="F22" i="2"/>
  <c r="E22" i="2"/>
  <c r="B186" i="1"/>
  <c r="B177" i="1"/>
  <c r="B136" i="1"/>
  <c r="B135" i="1"/>
  <c r="B117" i="1"/>
  <c r="B116" i="1"/>
  <c r="B105" i="1"/>
  <c r="B104" i="1"/>
  <c r="B103" i="1"/>
  <c r="B102" i="1"/>
  <c r="B101" i="1"/>
  <c r="B98" i="1"/>
  <c r="B97" i="1"/>
  <c r="B94" i="1"/>
  <c r="B91" i="1"/>
  <c r="B90" i="1"/>
  <c r="B89" i="1"/>
  <c r="B88" i="1"/>
  <c r="B77" i="1"/>
  <c r="B76" i="1"/>
  <c r="B72" i="1"/>
  <c r="B71" i="1"/>
  <c r="B70" i="1"/>
  <c r="E51" i="1"/>
  <c r="D51" i="1"/>
  <c r="C51" i="1"/>
  <c r="B51" i="1"/>
  <c r="B46" i="1"/>
  <c r="B45" i="1"/>
  <c r="B44" i="1"/>
  <c r="B43" i="1"/>
  <c r="B36" i="1"/>
  <c r="B23" i="1"/>
  <c r="B14" i="1"/>
  <c r="L3" i="8" l="1"/>
  <c r="K5" i="8"/>
  <c r="L7" i="8"/>
  <c r="K9" i="8"/>
  <c r="L11" i="8"/>
  <c r="K13" i="8"/>
  <c r="L15" i="8"/>
  <c r="K17" i="8"/>
  <c r="L19" i="8"/>
  <c r="K21" i="8"/>
  <c r="L101" i="2"/>
  <c r="V101" i="2" s="1"/>
  <c r="X101" i="2" s="1"/>
  <c r="L120" i="2"/>
  <c r="U120" i="2" s="1"/>
  <c r="W120" i="2" s="1"/>
  <c r="L124" i="2"/>
  <c r="U124" i="2" s="1"/>
  <c r="W124" i="2" s="1"/>
  <c r="L125" i="2"/>
  <c r="V125" i="2" s="1"/>
  <c r="X125" i="2" s="1"/>
  <c r="L24" i="2"/>
  <c r="AL24" i="2" s="1"/>
  <c r="L4" i="8"/>
  <c r="P6" i="8"/>
  <c r="Q6" i="8"/>
  <c r="L8" i="8"/>
  <c r="P10" i="8"/>
  <c r="Q10" i="8"/>
  <c r="L12" i="8"/>
  <c r="P14" i="8"/>
  <c r="Q14" i="8"/>
  <c r="L16" i="8"/>
  <c r="P18" i="8"/>
  <c r="Q18" i="8"/>
  <c r="L20" i="8"/>
  <c r="P22" i="8"/>
  <c r="Q22" i="8"/>
  <c r="K3" i="8"/>
  <c r="Q3" i="8"/>
  <c r="L5" i="8"/>
  <c r="K7" i="8"/>
  <c r="Q7" i="8"/>
  <c r="L9" i="8"/>
  <c r="K11" i="8"/>
  <c r="Q11" i="8"/>
  <c r="L13" i="8"/>
  <c r="K15" i="8"/>
  <c r="Q15" i="8"/>
  <c r="L17" i="8"/>
  <c r="K19" i="8"/>
  <c r="Q19" i="8"/>
  <c r="L21" i="8"/>
  <c r="P4" i="8"/>
  <c r="Q4" i="8"/>
  <c r="L6" i="8"/>
  <c r="P8" i="8"/>
  <c r="Q8" i="8"/>
  <c r="L10" i="8"/>
  <c r="P12" i="8"/>
  <c r="Q12" i="8"/>
  <c r="L14" i="8"/>
  <c r="P16" i="8"/>
  <c r="Q16" i="8"/>
  <c r="L18" i="8"/>
  <c r="P20" i="8"/>
  <c r="Q20" i="8"/>
  <c r="L22" i="8"/>
  <c r="Q5" i="8"/>
  <c r="Q9" i="8"/>
  <c r="Q13" i="8"/>
  <c r="Q17" i="8"/>
  <c r="Q21" i="8"/>
  <c r="L23" i="2"/>
  <c r="AB23" i="2" s="1"/>
  <c r="L25" i="2"/>
  <c r="AB25" i="2" s="1"/>
  <c r="L27" i="2"/>
  <c r="AB27" i="2" s="1"/>
  <c r="L104" i="2"/>
  <c r="U104" i="2" s="1"/>
  <c r="W104" i="2" s="1"/>
  <c r="L99" i="2"/>
  <c r="V99" i="2" s="1"/>
  <c r="X99" i="2" s="1"/>
  <c r="L53" i="2"/>
  <c r="V53" i="2" s="1"/>
  <c r="X53" i="2" s="1"/>
  <c r="L84" i="2"/>
  <c r="V84" i="2" s="1"/>
  <c r="X84" i="2" s="1"/>
  <c r="L37" i="2"/>
  <c r="V37" i="2" s="1"/>
  <c r="X37" i="2" s="1"/>
  <c r="L42" i="2"/>
  <c r="U42" i="2" s="1"/>
  <c r="W42" i="2" s="1"/>
  <c r="L52" i="2"/>
  <c r="U52" i="2" s="1"/>
  <c r="W52" i="2" s="1"/>
  <c r="L57" i="2"/>
  <c r="U57" i="2" s="1"/>
  <c r="L75" i="2"/>
  <c r="V75" i="2" s="1"/>
  <c r="X75" i="2" s="1"/>
  <c r="L91" i="2"/>
  <c r="V91" i="2" s="1"/>
  <c r="X91" i="2" s="1"/>
  <c r="L117" i="2"/>
  <c r="V117" i="2" s="1"/>
  <c r="X117" i="2" s="1"/>
  <c r="L29" i="2"/>
  <c r="AB29" i="2" s="1"/>
  <c r="L43" i="2"/>
  <c r="U43" i="2" s="1"/>
  <c r="W43" i="2" s="1"/>
  <c r="L48" i="2"/>
  <c r="U48" i="2" s="1"/>
  <c r="W48" i="2" s="1"/>
  <c r="L58" i="2"/>
  <c r="U58" i="2" s="1"/>
  <c r="W58" i="2" s="1"/>
  <c r="L72" i="2"/>
  <c r="V72" i="2" s="1"/>
  <c r="X72" i="2" s="1"/>
  <c r="L89" i="2"/>
  <c r="V89" i="2" s="1"/>
  <c r="X89" i="2" s="1"/>
  <c r="L97" i="2"/>
  <c r="V97" i="2" s="1"/>
  <c r="X97" i="2" s="1"/>
  <c r="L112" i="2"/>
  <c r="U112" i="2" s="1"/>
  <c r="L114" i="2"/>
  <c r="U114" i="2" s="1"/>
  <c r="W114" i="2" s="1"/>
  <c r="L32" i="2"/>
  <c r="V32" i="2" s="1"/>
  <c r="L60" i="2"/>
  <c r="U60" i="2" s="1"/>
  <c r="W60" i="2" s="1"/>
  <c r="L74" i="2"/>
  <c r="U74" i="2" s="1"/>
  <c r="L80" i="2"/>
  <c r="V80" i="2" s="1"/>
  <c r="X80" i="2" s="1"/>
  <c r="L83" i="2"/>
  <c r="V83" i="2" s="1"/>
  <c r="X83" i="2" s="1"/>
  <c r="L107" i="2"/>
  <c r="V107" i="2" s="1"/>
  <c r="X107" i="2" s="1"/>
  <c r="L26" i="2"/>
  <c r="AB26" i="2" s="1"/>
  <c r="L36" i="2"/>
  <c r="V36" i="2" s="1"/>
  <c r="X36" i="2" s="1"/>
  <c r="L61" i="2"/>
  <c r="V61" i="2" s="1"/>
  <c r="X61" i="2" s="1"/>
  <c r="L66" i="2"/>
  <c r="V66" i="2" s="1"/>
  <c r="X66" i="2" s="1"/>
  <c r="L77" i="2"/>
  <c r="V77" i="2" s="1"/>
  <c r="X77" i="2" s="1"/>
  <c r="L93" i="2"/>
  <c r="U93" i="2" s="1"/>
  <c r="L123" i="2"/>
  <c r="V123" i="2" s="1"/>
  <c r="X123" i="2" s="1"/>
  <c r="J4" i="8"/>
  <c r="J6" i="8"/>
  <c r="J8" i="8"/>
  <c r="J10" i="8"/>
  <c r="J12" i="8"/>
  <c r="J14" i="8"/>
  <c r="J16" i="8"/>
  <c r="J18" i="8"/>
  <c r="J20" i="8"/>
  <c r="J22" i="8"/>
  <c r="P3" i="8"/>
  <c r="K4" i="8"/>
  <c r="P5" i="8"/>
  <c r="K6" i="8"/>
  <c r="P7" i="8"/>
  <c r="K8" i="8"/>
  <c r="P9" i="8"/>
  <c r="K10" i="8"/>
  <c r="P11" i="8"/>
  <c r="K12" i="8"/>
  <c r="P13" i="8"/>
  <c r="K14" i="8"/>
  <c r="P15" i="8"/>
  <c r="K16" i="8"/>
  <c r="P17" i="8"/>
  <c r="K18" i="8"/>
  <c r="P19" i="8"/>
  <c r="K20" i="8"/>
  <c r="P21" i="8"/>
  <c r="K22" i="8"/>
  <c r="L34" i="2"/>
  <c r="U34" i="2" s="1"/>
  <c r="W34" i="2" s="1"/>
  <c r="L40" i="2"/>
  <c r="V40" i="2" s="1"/>
  <c r="X40" i="2" s="1"/>
  <c r="L41" i="2"/>
  <c r="U41" i="2" s="1"/>
  <c r="L51" i="2"/>
  <c r="V51" i="2" s="1"/>
  <c r="X51" i="2" s="1"/>
  <c r="L64" i="2"/>
  <c r="V64" i="2" s="1"/>
  <c r="X64" i="2" s="1"/>
  <c r="L68" i="2"/>
  <c r="U68" i="2" s="1"/>
  <c r="W68" i="2" s="1"/>
  <c r="L73" i="2"/>
  <c r="V73" i="2" s="1"/>
  <c r="X73" i="2" s="1"/>
  <c r="L98" i="2"/>
  <c r="V98" i="2" s="1"/>
  <c r="X98" i="2" s="1"/>
  <c r="L105" i="2"/>
  <c r="U105" i="2" s="1"/>
  <c r="L106" i="2"/>
  <c r="U106" i="2" s="1"/>
  <c r="L108" i="2"/>
  <c r="U108" i="2" s="1"/>
  <c r="W108" i="2" s="1"/>
  <c r="L113" i="2"/>
  <c r="V113" i="2" s="1"/>
  <c r="X113" i="2" s="1"/>
  <c r="J3" i="8"/>
  <c r="J5" i="8"/>
  <c r="J7" i="8"/>
  <c r="J9" i="8"/>
  <c r="J11" i="8"/>
  <c r="J13" i="8"/>
  <c r="J15" i="8"/>
  <c r="J17" i="8"/>
  <c r="J19" i="8"/>
  <c r="J21" i="8"/>
  <c r="L56" i="2"/>
  <c r="U56" i="2" s="1"/>
  <c r="L59" i="2"/>
  <c r="U59" i="2" s="1"/>
  <c r="L65" i="2"/>
  <c r="V65" i="2" s="1"/>
  <c r="X65" i="2" s="1"/>
  <c r="L67" i="2"/>
  <c r="V67" i="2" s="1"/>
  <c r="X67" i="2" s="1"/>
  <c r="L69" i="2"/>
  <c r="V69" i="2" s="1"/>
  <c r="X69" i="2" s="1"/>
  <c r="L81" i="2"/>
  <c r="V81" i="2" s="1"/>
  <c r="X81" i="2" s="1"/>
  <c r="L88" i="2"/>
  <c r="V88" i="2" s="1"/>
  <c r="X88" i="2" s="1"/>
  <c r="L90" i="2"/>
  <c r="U90" i="2" s="1"/>
  <c r="L92" i="2"/>
  <c r="V92" i="2" s="1"/>
  <c r="X92" i="2" s="1"/>
  <c r="L100" i="2"/>
  <c r="U100" i="2" s="1"/>
  <c r="L109" i="2"/>
  <c r="V109" i="2" s="1"/>
  <c r="X109" i="2" s="1"/>
  <c r="L115" i="2"/>
  <c r="V115" i="2" s="1"/>
  <c r="X115" i="2" s="1"/>
  <c r="L116" i="2"/>
  <c r="V116" i="2" s="1"/>
  <c r="X116" i="2" s="1"/>
  <c r="L121" i="2"/>
  <c r="U121" i="2" s="1"/>
  <c r="L122" i="2"/>
  <c r="V122" i="2" s="1"/>
  <c r="X122" i="2" s="1"/>
  <c r="L44" i="2"/>
  <c r="V44" i="2" s="1"/>
  <c r="X44" i="2" s="1"/>
  <c r="L28" i="2"/>
  <c r="AB28" i="2" s="1"/>
  <c r="L22" i="2"/>
  <c r="AL22" i="2" s="1"/>
  <c r="L33" i="2"/>
  <c r="U33" i="2" s="1"/>
  <c r="L45" i="2"/>
  <c r="V45" i="2" s="1"/>
  <c r="X45" i="2" s="1"/>
  <c r="L49" i="2"/>
  <c r="V49" i="2" s="1"/>
  <c r="X49" i="2" s="1"/>
  <c r="L76" i="2"/>
  <c r="V76" i="2" s="1"/>
  <c r="X76" i="2" s="1"/>
  <c r="L82" i="2"/>
  <c r="L85" i="2"/>
  <c r="U85" i="2" s="1"/>
  <c r="L96" i="2"/>
  <c r="U96" i="2" s="1"/>
  <c r="L35" i="2"/>
  <c r="V35" i="2" s="1"/>
  <c r="X35" i="2" s="1"/>
  <c r="L50" i="2"/>
  <c r="V50" i="2" s="1"/>
  <c r="X50" i="2" s="1"/>
  <c r="U66" i="2" l="1"/>
  <c r="W66" i="2" s="1"/>
  <c r="AI24" i="2"/>
  <c r="AB24" i="2"/>
  <c r="AI25" i="2"/>
  <c r="AL27" i="2"/>
  <c r="U91" i="2"/>
  <c r="U99" i="2"/>
  <c r="W99" i="2" s="1"/>
  <c r="U98" i="2"/>
  <c r="W98" i="2" s="1"/>
  <c r="U101" i="2"/>
  <c r="W101" i="2" s="1"/>
  <c r="V120" i="2"/>
  <c r="X120" i="2" s="1"/>
  <c r="V124" i="2"/>
  <c r="X124" i="2" s="1"/>
  <c r="AL25" i="2"/>
  <c r="U125" i="2"/>
  <c r="W125" i="2" s="1"/>
  <c r="V114" i="2"/>
  <c r="X114" i="2" s="1"/>
  <c r="V60" i="2"/>
  <c r="X60" i="2" s="1"/>
  <c r="V43" i="2"/>
  <c r="X43" i="2" s="1"/>
  <c r="U88" i="2"/>
  <c r="W88" i="2" s="1"/>
  <c r="U123" i="2"/>
  <c r="W123" i="2" s="1"/>
  <c r="V96" i="2"/>
  <c r="X96" i="2" s="1"/>
  <c r="AI27" i="2"/>
  <c r="V74" i="2"/>
  <c r="X74" i="2" s="1"/>
  <c r="U53" i="2"/>
  <c r="W53" i="2" s="1"/>
  <c r="V121" i="2"/>
  <c r="X121" i="2" s="1"/>
  <c r="AI23" i="2"/>
  <c r="V41" i="2"/>
  <c r="X41" i="2" s="1"/>
  <c r="U73" i="2"/>
  <c r="W73" i="2" s="1"/>
  <c r="AL23" i="2"/>
  <c r="U109" i="2"/>
  <c r="W109" i="2" s="1"/>
  <c r="V104" i="2"/>
  <c r="X104" i="2" s="1"/>
  <c r="V48" i="2"/>
  <c r="X48" i="2" s="1"/>
  <c r="U122" i="2"/>
  <c r="W122" i="2" s="1"/>
  <c r="U65" i="2"/>
  <c r="W65" i="2" s="1"/>
  <c r="V42" i="2"/>
  <c r="X42" i="2" s="1"/>
  <c r="U107" i="2"/>
  <c r="W107" i="2" s="1"/>
  <c r="U67" i="2"/>
  <c r="W67" i="2" s="1"/>
  <c r="V68" i="2"/>
  <c r="X68" i="2" s="1"/>
  <c r="U89" i="2"/>
  <c r="W89" i="2" s="1"/>
  <c r="U84" i="2"/>
  <c r="W84" i="2" s="1"/>
  <c r="V108" i="2"/>
  <c r="X108" i="2" s="1"/>
  <c r="V106" i="2"/>
  <c r="X106" i="2" s="1"/>
  <c r="V33" i="2"/>
  <c r="X33" i="2" s="1"/>
  <c r="U83" i="2"/>
  <c r="W83" i="2" s="1"/>
  <c r="V112" i="2"/>
  <c r="X112" i="2" s="1"/>
  <c r="U81" i="2"/>
  <c r="W81" i="2" s="1"/>
  <c r="V58" i="2"/>
  <c r="X58" i="2" s="1"/>
  <c r="U77" i="2"/>
  <c r="W77" i="2" s="1"/>
  <c r="V27" i="2"/>
  <c r="X27" i="2" s="1"/>
  <c r="V52" i="2"/>
  <c r="X52" i="2" s="1"/>
  <c r="AI26" i="2"/>
  <c r="V56" i="2"/>
  <c r="X56" i="2" s="1"/>
  <c r="U113" i="2"/>
  <c r="W113" i="2" s="1"/>
  <c r="V85" i="2"/>
  <c r="X85" i="2" s="1"/>
  <c r="U115" i="2"/>
  <c r="W115" i="2" s="1"/>
  <c r="V90" i="2"/>
  <c r="X90" i="2" s="1"/>
  <c r="U45" i="2"/>
  <c r="W45" i="2" s="1"/>
  <c r="U51" i="2"/>
  <c r="W51" i="2" s="1"/>
  <c r="AL26" i="2"/>
  <c r="U44" i="2"/>
  <c r="W44" i="2" s="1"/>
  <c r="U117" i="2"/>
  <c r="W117" i="2" s="1"/>
  <c r="U116" i="2"/>
  <c r="W116" i="2" s="1"/>
  <c r="U92" i="2"/>
  <c r="U69" i="2"/>
  <c r="W69" i="2" s="1"/>
  <c r="U50" i="2"/>
  <c r="W50" i="2" s="1"/>
  <c r="U75" i="2"/>
  <c r="W75" i="2" s="1"/>
  <c r="U61" i="2"/>
  <c r="W61" i="2" s="1"/>
  <c r="U22" i="2"/>
  <c r="W22" i="2" s="1"/>
  <c r="U97" i="2"/>
  <c r="W97" i="2" s="1"/>
  <c r="U37" i="2"/>
  <c r="W37" i="2" s="1"/>
  <c r="U76" i="2"/>
  <c r="W76" i="2" s="1"/>
  <c r="AB22" i="2"/>
  <c r="U40" i="2"/>
  <c r="W40" i="2" s="1"/>
  <c r="V59" i="2"/>
  <c r="X59" i="2" s="1"/>
  <c r="U25" i="2"/>
  <c r="W25" i="2" s="1"/>
  <c r="V26" i="2"/>
  <c r="X26" i="2" s="1"/>
  <c r="W93" i="2"/>
  <c r="V105" i="2"/>
  <c r="X105" i="2" s="1"/>
  <c r="U80" i="2"/>
  <c r="W80" i="2" s="1"/>
  <c r="V100" i="2"/>
  <c r="X100" i="2" s="1"/>
  <c r="AI22" i="2"/>
  <c r="V25" i="2"/>
  <c r="X25" i="2" s="1"/>
  <c r="U29" i="2"/>
  <c r="U28" i="2"/>
  <c r="W28" i="2" s="1"/>
  <c r="V24" i="2"/>
  <c r="X24" i="2" s="1"/>
  <c r="V57" i="2"/>
  <c r="X57" i="2" s="1"/>
  <c r="U64" i="2"/>
  <c r="W64" i="2" s="1"/>
  <c r="V34" i="2"/>
  <c r="X34" i="2" s="1"/>
  <c r="U72" i="2"/>
  <c r="W72" i="2" s="1"/>
  <c r="V93" i="2"/>
  <c r="X93" i="2" s="1"/>
  <c r="U35" i="2"/>
  <c r="W35" i="2" s="1"/>
  <c r="U27" i="2"/>
  <c r="W27" i="2" s="1"/>
  <c r="V29" i="2"/>
  <c r="X29" i="2" s="1"/>
  <c r="U24" i="2"/>
  <c r="W24" i="2" s="1"/>
  <c r="V22" i="2"/>
  <c r="X22" i="2" s="1"/>
  <c r="V28" i="2"/>
  <c r="X28" i="2" s="1"/>
  <c r="U36" i="2"/>
  <c r="W36" i="2" s="1"/>
  <c r="AI29" i="2"/>
  <c r="AL29" i="2"/>
  <c r="V23" i="2"/>
  <c r="X23" i="2" s="1"/>
  <c r="U23" i="2"/>
  <c r="W23" i="2" s="1"/>
  <c r="U26" i="2"/>
  <c r="W26" i="2" s="1"/>
  <c r="U32" i="2"/>
  <c r="W32" i="2" s="1"/>
  <c r="X32" i="2"/>
  <c r="AI28" i="2"/>
  <c r="U49" i="2"/>
  <c r="W49" i="2" s="1"/>
  <c r="AL28" i="2"/>
  <c r="U82" i="2"/>
  <c r="W82" i="2" s="1"/>
  <c r="V82" i="2"/>
  <c r="X82" i="2" s="1"/>
  <c r="W74" i="2"/>
  <c r="W41" i="2"/>
  <c r="W91" i="2"/>
  <c r="W59" i="2"/>
  <c r="W121" i="2"/>
  <c r="W100" i="2"/>
  <c r="W90" i="2"/>
  <c r="W112" i="2"/>
  <c r="W106" i="2"/>
  <c r="W85" i="2"/>
  <c r="W33" i="2"/>
  <c r="W105" i="2"/>
  <c r="W56" i="2"/>
  <c r="W96" i="2"/>
  <c r="W57" i="2"/>
  <c r="B42" i="2" l="1"/>
  <c r="B123" i="2"/>
  <c r="B48" i="2"/>
  <c r="B92" i="2"/>
  <c r="B116" i="2"/>
  <c r="B35" i="2"/>
  <c r="C107" i="2" s="1"/>
  <c r="B124" i="2"/>
  <c r="B67" i="2"/>
  <c r="B49" i="2"/>
  <c r="W92" i="2"/>
  <c r="B114" i="2"/>
  <c r="B56" i="2"/>
  <c r="B73" i="2"/>
  <c r="B100" i="2"/>
  <c r="B81" i="2"/>
  <c r="B83" i="2"/>
  <c r="B77" i="2"/>
  <c r="B107" i="2"/>
  <c r="B51" i="2"/>
  <c r="B53" i="2"/>
  <c r="B108" i="2"/>
  <c r="B80" i="2"/>
  <c r="B76" i="2"/>
  <c r="B61" i="2"/>
  <c r="B37" i="2"/>
  <c r="C109" i="2" s="1"/>
  <c r="B122" i="2"/>
  <c r="B97" i="2"/>
  <c r="B125" i="2"/>
  <c r="B84" i="2"/>
  <c r="B69" i="2"/>
  <c r="B90" i="2"/>
  <c r="B109" i="2"/>
  <c r="B96" i="2"/>
  <c r="B99" i="2"/>
  <c r="B105" i="2"/>
  <c r="B33" i="2"/>
  <c r="C105" i="2" s="1"/>
  <c r="B66" i="2"/>
  <c r="B64" i="2"/>
  <c r="B106" i="2"/>
  <c r="B89" i="2"/>
  <c r="B117" i="2"/>
  <c r="B65" i="2"/>
  <c r="B88" i="2"/>
  <c r="B45" i="2"/>
  <c r="W29" i="2"/>
  <c r="B68" i="2"/>
  <c r="B57" i="2"/>
  <c r="B52" i="2"/>
  <c r="B34" i="2"/>
  <c r="C34" i="2" s="1"/>
  <c r="B104" i="2"/>
  <c r="B113" i="2"/>
  <c r="B44" i="2"/>
  <c r="B43" i="2"/>
  <c r="B85" i="2"/>
  <c r="B40" i="2"/>
  <c r="B101" i="2"/>
  <c r="B36" i="2"/>
  <c r="C36" i="2" s="1"/>
  <c r="B115" i="2"/>
  <c r="B120" i="2"/>
  <c r="B58" i="2"/>
  <c r="B59" i="2"/>
  <c r="B75" i="2"/>
  <c r="B98" i="2"/>
  <c r="B91" i="2"/>
  <c r="B41" i="2"/>
  <c r="B74" i="2"/>
  <c r="B72" i="2"/>
  <c r="B32" i="2"/>
  <c r="B93" i="2"/>
  <c r="B112" i="2"/>
  <c r="B60" i="2"/>
  <c r="B121" i="2"/>
  <c r="B50" i="2"/>
  <c r="B82" i="2"/>
  <c r="C33" i="2" l="1"/>
  <c r="C81" i="2" s="1"/>
  <c r="C35" i="2"/>
  <c r="C59" i="2" s="1"/>
  <c r="C106" i="2"/>
  <c r="C37" i="2"/>
  <c r="C61" i="2" s="1"/>
  <c r="C108" i="2"/>
  <c r="C104" i="2"/>
  <c r="C32" i="2"/>
  <c r="C82" i="2"/>
  <c r="C58" i="2"/>
  <c r="C42" i="2"/>
  <c r="C84" i="2"/>
  <c r="C60" i="2"/>
  <c r="C44" i="2"/>
  <c r="C57" i="2" l="1"/>
  <c r="C41" i="2"/>
  <c r="C89" i="2" s="1"/>
  <c r="C85" i="2"/>
  <c r="C43" i="2"/>
  <c r="C91" i="2" s="1"/>
  <c r="C83" i="2"/>
  <c r="C45" i="2"/>
  <c r="C53" i="2" s="1"/>
  <c r="C80" i="2"/>
  <c r="C56" i="2"/>
  <c r="C116" i="2"/>
  <c r="C92" i="2"/>
  <c r="C68" i="2"/>
  <c r="C52" i="2"/>
  <c r="C114" i="2"/>
  <c r="C90" i="2"/>
  <c r="C66" i="2"/>
  <c r="C50" i="2"/>
  <c r="C65" i="2" l="1"/>
  <c r="C49" i="2"/>
  <c r="C121" i="2" s="1"/>
  <c r="C113" i="2"/>
  <c r="C51" i="2"/>
  <c r="C123" i="2" s="1"/>
  <c r="C67" i="2"/>
  <c r="C115" i="2"/>
  <c r="C117" i="2"/>
  <c r="C69" i="2"/>
  <c r="C93" i="2"/>
  <c r="C124" i="2"/>
  <c r="C100" i="2"/>
  <c r="C76" i="2"/>
  <c r="C122" i="2"/>
  <c r="C98" i="2"/>
  <c r="C74" i="2"/>
  <c r="C101" i="2"/>
  <c r="C125" i="2"/>
  <c r="C77" i="2"/>
  <c r="C73" i="2" l="1"/>
  <c r="C97" i="2"/>
  <c r="C99" i="2"/>
  <c r="C75" i="2"/>
</calcChain>
</file>

<file path=xl/sharedStrings.xml><?xml version="1.0" encoding="utf-8"?>
<sst xmlns="http://schemas.openxmlformats.org/spreadsheetml/2006/main" count="1183" uniqueCount="940">
  <si>
    <t>玩家实际不停游戏时间占自然时间比例估算因子</t>
  </si>
  <si>
    <t>正常可使用的建设单位数(VIP）</t>
  </si>
  <si>
    <t>战斗核心基础公式设计</t>
  </si>
  <si>
    <t>军团攻击力</t>
  </si>
  <si>
    <t>军团攻击力=武将统帅力+军团基础攻击力+兵团士气</t>
  </si>
  <si>
    <t>取值范围：30-400</t>
  </si>
  <si>
    <t>军团基础攻击力</t>
  </si>
  <si>
    <t>概述：该攻击力由军团内每个兵的攻击力加成得到，基本思路为兵力越多，基础攻击力越高。</t>
  </si>
  <si>
    <t>军团基础攻击力=(单位兵的攻击力/100*兵力)^军团攻击力调节因子</t>
  </si>
  <si>
    <t>军团攻击力调节因子</t>
  </si>
  <si>
    <t>取值范围：0-150</t>
  </si>
  <si>
    <t>单位兵的攻击力</t>
  </si>
  <si>
    <t>具体可见表格设计</t>
  </si>
  <si>
    <t>武将统帅力</t>
  </si>
  <si>
    <t>概述：类似三国志9中武将的统帅，决定兵团的部分攻击力</t>
  </si>
  <si>
    <t>取值范围：30-150</t>
  </si>
  <si>
    <t>最高统帅力</t>
  </si>
  <si>
    <t>兵团士气</t>
  </si>
  <si>
    <t>概述：基本类似三国志9中的士气概念</t>
  </si>
  <si>
    <t>取值范围：0-100</t>
  </si>
  <si>
    <t>士气MAX</t>
  </si>
  <si>
    <t>士气MIN</t>
  </si>
  <si>
    <t>军团防御力</t>
  </si>
  <si>
    <t>军团防御力=武将统帅力+军团基础防御力+兵团士气</t>
  </si>
  <si>
    <t>军团基础防御力</t>
  </si>
  <si>
    <t>军团基础防御力=(单位兵的防御力/1000*兵力)^军团防御力调节因子</t>
  </si>
  <si>
    <t>单位兵的防御力</t>
  </si>
  <si>
    <t>设计见表格</t>
  </si>
  <si>
    <t>伤害计算</t>
  </si>
  <si>
    <t>军团伤害值=((我方攻击力+我方武将统帅力+士兵士气)*攻击力绝对伤害因子+((我方攻击力+我方武将统帅力+士兵士气)-(敌方的防御力+敌方武将统帅力+敌方士气)+力量方差调节因子)^2/力量方差因子)*(我方兵力+敌方兵力)/兵力数量级因子</t>
  </si>
  <si>
    <t>攻击力绝对伤害因子</t>
  </si>
  <si>
    <t>力量方差因子</t>
  </si>
  <si>
    <t>力量方差调节因子</t>
  </si>
  <si>
    <t>兵力数量级因子</t>
  </si>
  <si>
    <t>城墙伤害计算</t>
  </si>
  <si>
    <r>
      <rPr>
        <sz val="11"/>
        <color indexed="8"/>
        <rFont val="宋体"/>
        <family val="2"/>
        <charset val="134"/>
      </rPr>
      <t>城墙伤害=(我方攻击力+我方武将</t>
    </r>
    <r>
      <rPr>
        <sz val="11"/>
        <color indexed="10"/>
        <rFont val="宋体"/>
        <family val="3"/>
        <charset val="134"/>
      </rPr>
      <t>武力</t>
    </r>
    <r>
      <rPr>
        <sz val="11"/>
        <color indexed="8"/>
        <rFont val="宋体"/>
        <family val="2"/>
        <charset val="134"/>
      </rPr>
      <t>+士兵士气)*攻击力绝对伤害因子*2*(我方兵力)/兵力城墙伤害因子</t>
    </r>
  </si>
  <si>
    <t>兵力城墙伤害因子</t>
  </si>
  <si>
    <t>单位兵对城墙的伤害</t>
  </si>
  <si>
    <t>攻打城墙兵力占初始兵力比例估算</t>
  </si>
  <si>
    <t>攻打回合数估算</t>
  </si>
  <si>
    <t>0级士兵</t>
  </si>
  <si>
    <t>定义：攻击力，防御力为0，速度为125(px/30s)，攻击速度3(次/s)，攻击范围1(格)</t>
  </si>
  <si>
    <t>士兵战力值</t>
  </si>
  <si>
    <t>士兵战力值=(当前士兵造成的伤害-0级士兵造成的伤害) + (0级士兵受到的损害-当前士兵受到的损害)</t>
  </si>
  <si>
    <t>以上作战对手均为0级士兵</t>
  </si>
  <si>
    <t>战法触发概率</t>
  </si>
  <si>
    <t>战法仅在兵团射程范围内触发，每个攻击回合，检查触发概率</t>
  </si>
  <si>
    <t>战法伤害值</t>
  </si>
  <si>
    <t>战法伤害值=武力绝对伤害值+武力相对伤害值</t>
  </si>
  <si>
    <t>武力绝对伤害值</t>
  </si>
  <si>
    <t>武力绝对伤害值=兵法基础伤害值/10*(武将武力+绝对武力方差调节因子)^2/绝对武力方差因子*(我方兵力+敌方兵力)/兵力数量级因子</t>
  </si>
  <si>
    <t>绝对武力方差调节因子</t>
  </si>
  <si>
    <t>绝对武力方差因子</t>
  </si>
  <si>
    <t>武力相对伤害值</t>
  </si>
  <si>
    <t>武力相对伤害值=兵法基础伤害值/10*(我方武将武力-敌方武将武力+相对武力方差调节因子)^2/相对武力方差因子*(我方兵力+敌方兵力)/兵力数量级因子</t>
  </si>
  <si>
    <t>相对武力方差调节因子</t>
  </si>
  <si>
    <t>相对武力方差因子</t>
  </si>
  <si>
    <t>战法一回合的期望伤害值</t>
  </si>
  <si>
    <t>战法一回合的期望伤害值=战法触发概率*战法伤害值*60%</t>
  </si>
  <si>
    <t>这里估计平均每回合接触的军队占总军队的60%</t>
  </si>
  <si>
    <t>战法下一级伤害是前一级的倍数</t>
  </si>
  <si>
    <t>武将携带兵法加成均摊概率估算(平均每场战斗携带两个兵法技能)</t>
  </si>
  <si>
    <t>士兵攻击范围触发战法概率调节因子</t>
  </si>
  <si>
    <t>粮食的消耗</t>
  </si>
  <si>
    <t>建造</t>
  </si>
  <si>
    <t>部队运输</t>
  </si>
  <si>
    <t>训练</t>
  </si>
  <si>
    <t>人口的基本消费</t>
  </si>
  <si>
    <t>木材的消耗</t>
  </si>
  <si>
    <t>科研</t>
  </si>
  <si>
    <t>城防</t>
  </si>
  <si>
    <t>铁矿的消耗</t>
  </si>
  <si>
    <t>黄金的消耗</t>
  </si>
  <si>
    <t>武将俸禄</t>
  </si>
  <si>
    <t>武将招募</t>
  </si>
  <si>
    <t>武将赏赐</t>
  </si>
  <si>
    <t>武将技能</t>
  </si>
  <si>
    <t>黄金的产出占消耗配比</t>
  </si>
  <si>
    <t>部队带兵人口最高值</t>
  </si>
  <si>
    <t>每点武将统帅力可带兵人口值</t>
  </si>
  <si>
    <t>建设时间分配比</t>
  </si>
  <si>
    <t>聚义堂(主基地)</t>
  </si>
  <si>
    <t>屋舍</t>
  </si>
  <si>
    <t>酒馆(招募好汉)</t>
  </si>
  <si>
    <t>英雄殿(管理好汉)</t>
  </si>
  <si>
    <t>刊造雕刻营(科技馆)</t>
  </si>
  <si>
    <t>栅栏</t>
  </si>
  <si>
    <t>驿站</t>
  </si>
  <si>
    <t>仓库</t>
  </si>
  <si>
    <t>市场</t>
  </si>
  <si>
    <t>联盟厅</t>
  </si>
  <si>
    <t>军机处</t>
  </si>
  <si>
    <t>农田</t>
  </si>
  <si>
    <t>伐木场</t>
  </si>
  <si>
    <t>矿场</t>
  </si>
  <si>
    <t>兵营</t>
  </si>
  <si>
    <t>建筑数</t>
  </si>
  <si>
    <t>建筑个数</t>
  </si>
  <si>
    <t>人口的分配</t>
  </si>
  <si>
    <t>屋舍人口数=屋舍军队人口数+屋舍建设人口数</t>
  </si>
  <si>
    <t>建设的人口数=军队人口数</t>
  </si>
  <si>
    <t>屋舍提供的军队人口总额是单个武将带兵的倍数</t>
  </si>
  <si>
    <t>军队人口</t>
  </si>
  <si>
    <t>建设人口</t>
  </si>
  <si>
    <t>武将</t>
  </si>
  <si>
    <t>统帅力点数MAX</t>
  </si>
  <si>
    <t>统帅力点数MIN</t>
  </si>
  <si>
    <t>武力点数MAX</t>
  </si>
  <si>
    <t>武力点数MIN</t>
  </si>
  <si>
    <t>政治点数MAX</t>
  </si>
  <si>
    <t>政治点数MIN</t>
  </si>
  <si>
    <t>政治点数单位加成百分比</t>
  </si>
  <si>
    <t>星级点数差</t>
  </si>
  <si>
    <t>设统帅为100，士气为100</t>
  </si>
  <si>
    <t>统帅士气+150</t>
  </si>
  <si>
    <t>武将武力</t>
  </si>
  <si>
    <t>兵力</t>
  </si>
  <si>
    <t>目标战力值</t>
  </si>
  <si>
    <t>攻击力</t>
  </si>
  <si>
    <t>军团城墙攻击伤害值</t>
  </si>
  <si>
    <t>军团城墙攻击伤害MIN</t>
  </si>
  <si>
    <t>军团城墙攻击伤害MAX</t>
  </si>
  <si>
    <t>防御力</t>
  </si>
  <si>
    <t>攻击间隔</t>
  </si>
  <si>
    <t>每回合攻击次数</t>
  </si>
  <si>
    <t>速度</t>
  </si>
  <si>
    <t>速度获得的加成数</t>
  </si>
  <si>
    <t>范围</t>
  </si>
  <si>
    <t>范围获得的加成数</t>
  </si>
  <si>
    <t>攻击力绝对伤害指数</t>
  </si>
  <si>
    <t>敌方攻击力绝对指数</t>
  </si>
  <si>
    <t>同等级攻击指数</t>
  </si>
  <si>
    <t>同等级防御指数</t>
  </si>
  <si>
    <t>同等兵力伤害值</t>
  </si>
  <si>
    <t>同等兵力受到伤害值</t>
  </si>
  <si>
    <t>同等兵力造成的伤害比率</t>
  </si>
  <si>
    <t>同等兵力受到的伤害比率</t>
  </si>
  <si>
    <t>同等兵力伤害指数</t>
  </si>
  <si>
    <t>攻击力绝对受伤害指数</t>
  </si>
  <si>
    <t>同等兵力受伤害指数</t>
  </si>
  <si>
    <t>同等兵力受伤害值</t>
  </si>
  <si>
    <t>同等兵力受伤害比率</t>
  </si>
  <si>
    <t>5000兵力进攻攻防伤害指数</t>
  </si>
  <si>
    <t>500兵力进攻其他伤害值</t>
  </si>
  <si>
    <t>500兵力进攻伤害比率</t>
  </si>
  <si>
    <t>5000兵力防守攻防伤害指数</t>
  </si>
  <si>
    <t>500兵力防守受伤害值</t>
  </si>
  <si>
    <t>500兵力防守受伤害比率</t>
  </si>
  <si>
    <t>兵法伤害期望值</t>
  </si>
  <si>
    <t>兵法伤害值</t>
  </si>
  <si>
    <t>兵法伤害占比</t>
  </si>
  <si>
    <t>兵法发动估算概率</t>
  </si>
  <si>
    <t>兵法基础触发概率</t>
  </si>
  <si>
    <t>兵法基础伤害</t>
  </si>
  <si>
    <t>MIN兵法伤害值</t>
  </si>
  <si>
    <t>MAX兵法伤害值</t>
  </si>
  <si>
    <t>MIN武力绝对伤害值</t>
  </si>
  <si>
    <t>MAX武力绝对伤害值</t>
  </si>
  <si>
    <t>MIN武力相对伤害值</t>
  </si>
  <si>
    <t>MAX武力相对伤害值</t>
  </si>
  <si>
    <t>MIN武将武力</t>
  </si>
  <si>
    <t>MAX武将武力</t>
  </si>
  <si>
    <t>0级士兵配置</t>
  </si>
  <si>
    <t>短弓兵</t>
  </si>
  <si>
    <t>特点</t>
  </si>
  <si>
    <t>攻防弱，速度适中，攻击范围较大</t>
  </si>
  <si>
    <t>长弓兵</t>
  </si>
  <si>
    <t>攻击防御适中，速度较慢，攻击范围最大</t>
  </si>
  <si>
    <t>连弩兵</t>
  </si>
  <si>
    <t>攻击力高，防御适中，速度较快，范围非常大</t>
  </si>
  <si>
    <t>枪兵</t>
  </si>
  <si>
    <t>攻击较弱，防御弱，速度较慢，攻击范围小</t>
  </si>
  <si>
    <t>长牌兵</t>
  </si>
  <si>
    <t>攻防适中，速度适中，攻击范围适中</t>
  </si>
  <si>
    <t>重牌兵</t>
  </si>
  <si>
    <t>攻防极高，速度较快，攻击范围最小</t>
  </si>
  <si>
    <t>轻骑兵</t>
  </si>
  <si>
    <t>攻防弱，速度最快，攻击范围小</t>
  </si>
  <si>
    <t>重骑兵</t>
  </si>
  <si>
    <t>攻防适中，速度快，攻击范围最小</t>
  </si>
  <si>
    <t>虎豹骑</t>
  </si>
  <si>
    <t>攻高，防御适中，速度快，攻击范围小</t>
  </si>
  <si>
    <t>城防投手</t>
  </si>
  <si>
    <t>城防射手</t>
  </si>
  <si>
    <t>城防炮手</t>
  </si>
  <si>
    <t>产出</t>
  </si>
  <si>
    <t>消耗</t>
  </si>
  <si>
    <t>等级</t>
  </si>
  <si>
    <t>单位产出量(s)</t>
  </si>
  <si>
    <t>每小时产出量</t>
  </si>
  <si>
    <t>每天产出量</t>
  </si>
  <si>
    <t>每天总产量</t>
  </si>
  <si>
    <t>产地数</t>
  </si>
  <si>
    <t>储藏总量(3天)</t>
  </si>
  <si>
    <t>各种加成</t>
  </si>
  <si>
    <t>总资源单位产出量</t>
  </si>
  <si>
    <t>升级需要时间(天)</t>
  </si>
  <si>
    <t>游戏时间(天)</t>
  </si>
  <si>
    <t>当前总产出</t>
  </si>
  <si>
    <t>建造配比</t>
  </si>
  <si>
    <t>部队运输配比</t>
  </si>
  <si>
    <t>训练配比</t>
  </si>
  <si>
    <t>人口消费配比</t>
  </si>
  <si>
    <t>科研配比</t>
  </si>
  <si>
    <t>城防配比</t>
  </si>
  <si>
    <t>俸禄配比</t>
  </si>
  <si>
    <t>招募配比</t>
  </si>
  <si>
    <t>赏赐配比</t>
  </si>
  <si>
    <t>技能习得配比</t>
  </si>
  <si>
    <t>屌丝玩家</t>
  </si>
  <si>
    <t>中产阶级</t>
  </si>
  <si>
    <t>高富帅</t>
  </si>
  <si>
    <t>黄金</t>
  </si>
  <si>
    <t>黄金做成稀缺资源，因此产出只是消耗的65%</t>
  </si>
  <si>
    <t>税率</t>
  </si>
  <si>
    <t>黄金100%产出即消耗量</t>
  </si>
  <si>
    <t>建筑</t>
  </si>
  <si>
    <t>粮食消耗</t>
  </si>
  <si>
    <t>粮食配比</t>
  </si>
  <si>
    <t>木材消耗</t>
  </si>
  <si>
    <t>木材配比</t>
  </si>
  <si>
    <t>铁矿消耗</t>
  </si>
  <si>
    <t>铁矿配比</t>
  </si>
  <si>
    <t>黄金消耗</t>
  </si>
  <si>
    <t>黄金配比</t>
  </si>
  <si>
    <t>建筑需求</t>
  </si>
  <si>
    <t>技术需求</t>
  </si>
  <si>
    <t>钻石消耗</t>
  </si>
  <si>
    <t>人口消耗</t>
  </si>
  <si>
    <t>英雄殿(管理英雄)</t>
  </si>
  <si>
    <t>人口占用</t>
  </si>
  <si>
    <t>建设总时间(h）</t>
  </si>
  <si>
    <t>建设时间(s)</t>
  </si>
  <si>
    <t>每级建设时间(h)</t>
  </si>
  <si>
    <t>每级建设时间(d)</t>
  </si>
  <si>
    <t>可占领的野地数</t>
  </si>
  <si>
    <t>可供建造的空地数</t>
  </si>
  <si>
    <t>军队人口数</t>
  </si>
  <si>
    <t>建设人口数</t>
  </si>
  <si>
    <t>人口总数</t>
  </si>
  <si>
    <t>人口上限(用于其他军团的进驻和自己军队的扩张)</t>
  </si>
  <si>
    <t>刷新人数</t>
  </si>
  <si>
    <t>二星武将权重加成</t>
  </si>
  <si>
    <t>三星武将权重加成</t>
  </si>
  <si>
    <t>四星武将权重加成</t>
  </si>
  <si>
    <t>五星武将权重加成</t>
  </si>
  <si>
    <t>可管理好汉数</t>
  </si>
  <si>
    <t>同时冷却的招募队列数</t>
  </si>
  <si>
    <t>耐久度</t>
  </si>
  <si>
    <t>城墙受损估算</t>
  </si>
  <si>
    <t>招募冷却数</t>
  </si>
  <si>
    <t>盟军可进驻数</t>
  </si>
  <si>
    <t>可派遣队伍数</t>
  </si>
  <si>
    <t>派兵上限(人口)</t>
  </si>
  <si>
    <t>训练(按照一个城计算)</t>
  </si>
  <si>
    <t>兵力估算</t>
  </si>
  <si>
    <t>单位兵训练时间(s/人)</t>
  </si>
  <si>
    <t>总时间(多冷却队列)(h)</t>
  </si>
  <si>
    <t>单位兵人口</t>
  </si>
  <si>
    <t>总兵人口</t>
  </si>
  <si>
    <t>平均总人口(各兵种平均)</t>
  </si>
  <si>
    <t>部队需求人口数</t>
  </si>
  <si>
    <t>兵力标准估算</t>
  </si>
  <si>
    <t>单位兵粮食</t>
  </si>
  <si>
    <t>粮食</t>
  </si>
  <si>
    <t>占粮食训练总消耗百分比</t>
  </si>
  <si>
    <t>单位兵木材</t>
  </si>
  <si>
    <t>木材</t>
  </si>
  <si>
    <t>占木材训练总消耗百分比</t>
  </si>
  <si>
    <t>单位兵铁矿</t>
  </si>
  <si>
    <t>铁矿</t>
  </si>
  <si>
    <t>占铁矿训练总消耗百分比</t>
  </si>
  <si>
    <t>百分比总消耗</t>
  </si>
  <si>
    <t>所有兵种占粮食比</t>
  </si>
  <si>
    <t>所有兵种占木材比</t>
  </si>
  <si>
    <t>所有兵种占铁矿比</t>
  </si>
  <si>
    <t>编号</t>
  </si>
  <si>
    <t>统帅</t>
  </si>
  <si>
    <t>武力</t>
  </si>
  <si>
    <t>政治</t>
  </si>
  <si>
    <t>总点数</t>
  </si>
  <si>
    <t>标准总点数</t>
  </si>
  <si>
    <t>成长力</t>
  </si>
  <si>
    <t>星级</t>
  </si>
  <si>
    <t>俸禄</t>
  </si>
  <si>
    <t>描述</t>
  </si>
  <si>
    <t>刷新概率</t>
  </si>
  <si>
    <t>1星配额概率</t>
  </si>
  <si>
    <t>2星配额概率</t>
  </si>
  <si>
    <t>3星配额概率</t>
  </si>
  <si>
    <t>4星配额概率</t>
  </si>
  <si>
    <t>5星配额概率</t>
  </si>
  <si>
    <t>1星实际概率</t>
  </si>
  <si>
    <t>2星实际概率</t>
  </si>
  <si>
    <t>3星实际概率</t>
  </si>
  <si>
    <t>4星实际概率</t>
  </si>
  <si>
    <t>5星实际概率</t>
  </si>
  <si>
    <t>武将数</t>
  </si>
  <si>
    <t>项燕（?－前223年），楚国下相（今江苏省宿迁宿城区）人。战国末期楚国大将军，是抗秦将领项梁之父，西楚霸王项羽的祖父。</t>
  </si>
  <si>
    <t>赵高（?－前207年），中国战国时期秦国及秦朝政治人物，历仕秦始皇、秦二世和秦王子婴三代君主，沙丘之变和望夷宫之变的主谋，指鹿为马事件的策划者。</t>
  </si>
  <si>
    <t>庞涓</t>
  </si>
  <si>
    <t>战国时魏将，中国古代著名军事家，孙庞斗智故事的主角之一。</t>
  </si>
  <si>
    <t>廉颇</t>
  </si>
  <si>
    <t>孙武</t>
  </si>
  <si>
    <t>刘邦项羽</t>
  </si>
  <si>
    <t>樊哙</t>
  </si>
  <si>
    <t>曹参</t>
  </si>
  <si>
    <t>英布</t>
  </si>
  <si>
    <t>陈平</t>
  </si>
  <si>
    <t>韩信</t>
  </si>
  <si>
    <t>李广</t>
  </si>
  <si>
    <t>霍去病</t>
  </si>
  <si>
    <t>吕虔</t>
  </si>
  <si>
    <t>曹操手下战将，最初被刘晔推荐给曹操，在讨吕布时射死布将薛兰，在征刘备时与李典等人同为先锋，在赤壁时掌管水军后军，屡随曹操征战，多有战功。</t>
  </si>
  <si>
    <t>陈宫</t>
  </si>
  <si>
    <t>刘晔</t>
  </si>
  <si>
    <t>曹洪</t>
  </si>
  <si>
    <t>夏侯惇</t>
  </si>
  <si>
    <t>夏侯惇（？－220年），字元让，沛国谯县（今属安徽省亳州市）人，曹操的从兄弟[1]，汉朝开国功臣之一夏侯婴的后代。</t>
  </si>
  <si>
    <t>曹操</t>
  </si>
  <si>
    <t>王平</t>
  </si>
  <si>
    <t>王平（?－248年），字子均，巴西宕渠人，三国时期曹魏将领，后投降蜀汉成为北伐将领，官至镇北大将军，封安汉侯。</t>
  </si>
  <si>
    <t>马谡</t>
  </si>
  <si>
    <t>马谡[1]（190年－228年），字幼常，荆州襄阳宜城（今湖北宜城）人。是蜀汉将领，也是侍中马良之弟。</t>
  </si>
  <si>
    <t>张飞</t>
  </si>
  <si>
    <t>关羽</t>
  </si>
  <si>
    <t>程秉</t>
  </si>
  <si>
    <t>程秉（？－？），字德枢，汝南南顿人。三国时东吴官员，三国时儒学学者。</t>
  </si>
  <si>
    <t>张昭</t>
  </si>
  <si>
    <t>孙权麾下大臣，“二张”之一。由周瑜举荐，作了孙策的谋士，孙策临终前留下遗言“内事不决问张昭”。</t>
  </si>
  <si>
    <t>孙坚</t>
  </si>
  <si>
    <t>陆逊</t>
  </si>
  <si>
    <t>陆逊（183年－245年3月19日[1]），本名陆议，字伯言，吴郡吴县（今江苏省苏州市）人，是三国时代吴国著名的军事家、政治家，是孙策之女婿，吴王孙权称帝后被任命为丞相。</t>
  </si>
  <si>
    <t>太史慈</t>
  </si>
  <si>
    <t>杨修</t>
  </si>
  <si>
    <t>杨修（175年－219年），字德祖，弘农华阴（今陕西华阴东）人，袁术外甥，太尉杨彪之子，出身高门士族。</t>
  </si>
  <si>
    <t>韩遂</t>
  </si>
  <si>
    <t>韩遂（永和年间－215年），又名韩约，字文约，东汉末年凉州地区的割据军阀之一。</t>
  </si>
  <si>
    <t>吕布</t>
  </si>
  <si>
    <t>隋唐</t>
  </si>
  <si>
    <t>胡公秦叔宝第二十四。本为张须陀部属勇将，张身后归裴仁基部属，又随裴投诚李密，为瓦岗军上将。在李密与宇文明及童山之战中立下大功。</t>
  </si>
  <si>
    <t>水浒</t>
  </si>
  <si>
    <t>蔡庆</t>
  </si>
  <si>
    <t>焦挺</t>
  </si>
  <si>
    <t>扈三娘</t>
  </si>
  <si>
    <t>凌振</t>
  </si>
  <si>
    <t>解珍</t>
  </si>
  <si>
    <t>杨雄</t>
  </si>
  <si>
    <t>关胜</t>
  </si>
  <si>
    <t>武松</t>
  </si>
  <si>
    <t>宋江</t>
  </si>
  <si>
    <t>宋朝</t>
  </si>
  <si>
    <t>向士璧</t>
  </si>
  <si>
    <t>向士璧(?-1261)　南宋将领。字君玉。</t>
  </si>
  <si>
    <t>高怀德</t>
  </si>
  <si>
    <t>字藏用，真定常山（今河北正定）人。北宋初年将领。</t>
  </si>
  <si>
    <t>王贵</t>
  </si>
  <si>
    <t>岳飞部将</t>
  </si>
  <si>
    <t>曹友闻</t>
  </si>
  <si>
    <t>宋初名将曹彬十二世孙，以忠义闻名。与元军大战于大安，与弟曹友万俱战死，卒谥节。</t>
  </si>
  <si>
    <t>石守信</t>
  </si>
  <si>
    <t>北宋初期重要将领，军事家，开国功臣。</t>
  </si>
  <si>
    <t>杨延昭</t>
  </si>
  <si>
    <t>本名延朗，后改为杨延昭，契丹（应为辽国）把他看作是天上的六郎星宿“将星”下凡，故称亦称杨六郎</t>
  </si>
  <si>
    <t>元朝</t>
  </si>
  <si>
    <t>海斯琴</t>
  </si>
  <si>
    <t>蒙古族汪古部人，巴图蒙克哈屯。初嫁蒙古大汗满都鲁。在达延汗即位之初，戎马倥偬，饱经风霜，辅佐他消灭政敌，稳定社会秩序，为达延汗统一蒙古打下基础。</t>
  </si>
  <si>
    <t>李庭</t>
  </si>
  <si>
    <t>金人蒲察氏。从伐宋，围襄阳。</t>
  </si>
  <si>
    <t>土土哈</t>
  </si>
  <si>
    <t>钦察人。1277年率军讨伐叛军，连战连捷，击破数路叛军，受伤也力战不退</t>
  </si>
  <si>
    <t>札八儿</t>
  </si>
  <si>
    <t>长身美髯，方瞳广颡，雄勇善骑射。曾随铁木真同饮班朱尼河浑水。后奉命出使金国，金不为礼而归。从成吉思汗取居庸关，见金人冶铁锢关门，布铁蒺藜百余里，献计率军从极窄之小道奇袭取关，中都震动，迫使金人迁汴。每战披甲舞槊，驰突如飞，好骑橐驼，众不能当。曾奉成吉思汗命请丘处机西行。</t>
  </si>
  <si>
    <t>王保保</t>
  </si>
  <si>
    <t>明将徐达、常遇春进兵山西，保保出雁门乘虚攻北平，明兵直捣太原，保保还救，被明兵夜袭兵营，率十八骑仓卒北走，收集残部屯兵甘肃，成为明朝西北边患。1370年在沈儿峪被明将徐达击败，逃往和林。逾年，大败徐达，斩明军数万。</t>
  </si>
  <si>
    <t>耶律楚材</t>
  </si>
  <si>
    <t>元太宗窝阔台当政后，耶律楚材定君臣礼仪，立课税制度，使蒙古国粗有仪制和法制、国用充足。废屠城旧制，保全攻占诸地人民。</t>
  </si>
  <si>
    <t>明朝</t>
  </si>
  <si>
    <t>麻贵</t>
  </si>
  <si>
    <t>麻贵的军人生涯主要是在中国西部今天宁夏、山西等地度过的。明世宗时他随父亲赴西域进攻瓦剌，首建战功。明穆宗时他被迁往大同，明神宗登基之初他任大同总兵。</t>
  </si>
  <si>
    <t>高迎祥</t>
  </si>
  <si>
    <t>曾以贩马为业，是明朝末年民变首领，自称闯王，后遭明军打败，被捕处死。余部由其外甥，也称闯王的李自成率领</t>
  </si>
  <si>
    <t>孙守法</t>
  </si>
  <si>
    <t>早年在曹文诏部下担任游击，好用铁鞭，曾擒杀流民军点灯子、不沾泥等。官至陕西副总兵</t>
  </si>
  <si>
    <t>张伦</t>
  </si>
  <si>
    <t>张伦担任河北诸卫指挥使，其勇敢过人。马宣自蓟州起兵攻北平，不克而亡。</t>
  </si>
  <si>
    <t xml:space="preserve">于谦 </t>
  </si>
  <si>
    <t>蓝玉</t>
  </si>
  <si>
    <t>朱棣</t>
  </si>
  <si>
    <t>兵种范围属性</t>
  </si>
  <si>
    <t>获得的额外攻击次数</t>
  </si>
  <si>
    <t>解释</t>
  </si>
  <si>
    <t>兵种速度属性(px/30s)</t>
  </si>
  <si>
    <t>获得的额外攻击优势</t>
  </si>
  <si>
    <t>兵法熟练度等级</t>
  </si>
  <si>
    <t>兵法触发概率</t>
  </si>
  <si>
    <t>攻击范围</t>
  </si>
  <si>
    <t>攻击面积</t>
  </si>
  <si>
    <t>兵法战场触发概率估算</t>
  </si>
  <si>
    <t>战法触发概率加成</t>
  </si>
  <si>
    <t>初始给予资源(训练)</t>
  </si>
  <si>
    <t>人口</t>
  </si>
  <si>
    <t>可派出的武将数</t>
  </si>
  <si>
    <t>1星武将基础刷新概率</t>
  </si>
  <si>
    <t>2星武将基础刷新概率</t>
  </si>
  <si>
    <t>3星武将基础刷新概率</t>
  </si>
  <si>
    <t>4星武将基础刷新概率</t>
  </si>
  <si>
    <t>5星武将基础刷新概率</t>
  </si>
  <si>
    <t>1格范围只能打四向的敌对，是个很大的弱项</t>
  </si>
  <si>
    <t>未知</t>
  </si>
  <si>
    <t>有一个武将是堂主</t>
  </si>
  <si>
    <t>中间可以放枪兵或者工兵，本兵种获得防护效果估算为多了30%攻击次数</t>
  </si>
  <si>
    <t>中间可以放枪兵、工兵或者骑兵，防护可能更大</t>
  </si>
  <si>
    <t>后期加成效果成长不会变快</t>
  </si>
  <si>
    <t>武将星级</t>
  </si>
  <si>
    <t>基础点数</t>
  </si>
  <si>
    <t>实际时间占自然时间比</t>
  </si>
  <si>
    <t>实际游戏时间(h）</t>
  </si>
  <si>
    <t>春秋战国</t>
    <phoneticPr fontId="8" type="noConversion"/>
  </si>
  <si>
    <t>乐毅</t>
    <phoneticPr fontId="8" type="noConversion"/>
  </si>
  <si>
    <t>朝代</t>
    <phoneticPr fontId="8" type="noConversion"/>
  </si>
  <si>
    <t>其子赵括纸上谈兵，使赵遭受长平之战的重创。</t>
    <phoneticPr fontId="8" type="noConversion"/>
  </si>
  <si>
    <t>赵括</t>
    <phoneticPr fontId="8" type="noConversion"/>
  </si>
  <si>
    <t>田单</t>
    <phoneticPr fontId="8" type="noConversion"/>
  </si>
  <si>
    <t>生卒年不详，中山灵寿(今河北灵寿西北)人。战国后期杰出的军事家，拜燕上将军，受封昌国君。代表作 助燕伐齐：率燕军半年内连下齐国70余城，为燕国雪耻</t>
    <phoneticPr fontId="8" type="noConversion"/>
  </si>
  <si>
    <t>战国时名将。系田齐宗室的疏远族属。生卒年不详。临淄(今山东淄博东北)人。复国后官居齐国相。代表作 “火牛阵”：可以写进军事教课书的经典战役，谱写以弱胜强的军事神话。 齐国复国：用反间计除乐毅，以仅剩的两城收复齐国的70余城。</t>
    <phoneticPr fontId="8" type="noConversion"/>
  </si>
  <si>
    <t>王翦</t>
    <phoneticPr fontId="8" type="noConversion"/>
  </si>
  <si>
    <t>生卒年不详，频阳东乡(今陕西省富平县东北)人，秦代杰出的军事家，是继白起之后秦国的又一位名将。受封秦国武成侯。</t>
    <phoneticPr fontId="8" type="noConversion"/>
  </si>
  <si>
    <t>赵奢，生卒年不详，号：马服君，汉族“马”姓起源。赵国人，与赵王室同宗，当届贵族。战国后期赵国名将。代表作:阏与大战：重挫强秦，使其多年不敢小视赵国。</t>
    <phoneticPr fontId="8" type="noConversion"/>
  </si>
  <si>
    <t>山东德州陵县人，生于公元前32７年卒于公元前24３年，死时已是８４岁高龄．战国时期赵国杰出的军事将领，拜为赵国国相，受封平信君。率军攻齐：取昔阳(今河北晋州西北)，威震东方 鄗代之战：大败燕军主力，阵斩栗腹。长驱500里，进围燕国都城蓟，逼燕割15城给赵</t>
    <phoneticPr fontId="8" type="noConversion"/>
  </si>
  <si>
    <t>特点描述</t>
    <phoneticPr fontId="8" type="noConversion"/>
  </si>
  <si>
    <t>老而弥坚，攻守兼备</t>
    <phoneticPr fontId="8" type="noConversion"/>
  </si>
  <si>
    <t>执法无私，悉心治军，与下同赏。</t>
    <phoneticPr fontId="8" type="noConversion"/>
  </si>
  <si>
    <t>精通兵法，审时度势。</t>
    <phoneticPr fontId="8" type="noConversion"/>
  </si>
  <si>
    <t>擅长智慧谋略，爱民如子。</t>
    <phoneticPr fontId="8" type="noConversion"/>
  </si>
  <si>
    <t>打仗无一败绩，擅度势，为人谨慎，有政治头脑。</t>
    <phoneticPr fontId="8" type="noConversion"/>
  </si>
  <si>
    <t>李牧</t>
    <phoneticPr fontId="8" type="noConversion"/>
  </si>
  <si>
    <t>战国时期赵国人，战国时期赵国最杰出的军事家、统帅，官至赵国相，大将军衔，受封赵国武安君。代表作 抗击匈奴：长年对抗匈奴，一举歼灭10万匈奴铁骑，保赵国边关10年平安。</t>
    <phoneticPr fontId="8" type="noConversion"/>
  </si>
  <si>
    <t>是战国时期为数不多的攻守兼备的名将，擅长出奇兵以少胜多。</t>
    <phoneticPr fontId="8" type="noConversion"/>
  </si>
  <si>
    <t>孙膑</t>
    <phoneticPr fontId="8" type="noConversion"/>
  </si>
  <si>
    <t>战国时期著名军事家。孙武后裔。 齐国阿(今山东阳谷东北)、鄄(今鄄城北)一带人。代表作 《孙膑兵法》：军事的经典著作</t>
    <phoneticPr fontId="8" type="noConversion"/>
  </si>
  <si>
    <t>高深的军事理论，多智，擅用计谋。</t>
    <phoneticPr fontId="8" type="noConversion"/>
  </si>
  <si>
    <t>白起</t>
    <phoneticPr fontId="8" type="noConversion"/>
  </si>
  <si>
    <t>也叫公孙起，战国时期秦国郿县(今陕西郿县东北)人，中国历史上著名的军事家、统帅。官居秦国尉，受封秦国武安君。伊阙之战：斩杀韩，魏联军24万。鄢郢之战：攻陷楚国国都，迫使楚国迁都。长平之战：坑杀40万赵国士兵，使赵国从此一蹶不振。</t>
    <phoneticPr fontId="8" type="noConversion"/>
  </si>
  <si>
    <t>百战百胜，擅长歼灭战，杀人无数，令六国闻白起之名胆寒。</t>
    <phoneticPr fontId="8" type="noConversion"/>
  </si>
  <si>
    <t>吴起</t>
    <phoneticPr fontId="8" type="noConversion"/>
  </si>
  <si>
    <t>吴起(?—前381年)战国初期著名的****家，卓越的军事家、统帅、军事理论家、军事改革家。《吴起兵法》：著名的军事作品，与《孙子兵法》齐名。在魏国与其他诸侯国打了72仗，其中64仗全胜，其余平手，从无败绩！</t>
    <phoneticPr fontId="8" type="noConversion"/>
  </si>
  <si>
    <t>战无败绩，治国能人，文武双全。</t>
    <phoneticPr fontId="8" type="noConversion"/>
  </si>
  <si>
    <t>字长卿，后人尊称其为孙子、孙武子。他出生于公元前535 年左右的齐国乐安（今山东惠民），具体的生卒年月日不可考。代表作 《孙子兵法》：著名的军事作品。柏举之战：以吴国3万大破楚国20万，创造以少胜多的战争奇迹。</t>
    <phoneticPr fontId="8" type="noConversion"/>
  </si>
  <si>
    <t>超强的军事理论能力，用兵如神，知名度高。</t>
    <phoneticPr fontId="8" type="noConversion"/>
  </si>
  <si>
    <t>项燕</t>
    <phoneticPr fontId="8" type="noConversion"/>
  </si>
  <si>
    <t>荆轲</t>
    <phoneticPr fontId="8" type="noConversion"/>
  </si>
  <si>
    <t>中国古代著名刺客。也称庆卿、荆卿、庆轲。</t>
    <phoneticPr fontId="8" type="noConversion"/>
  </si>
  <si>
    <t>范蠡</t>
    <phoneticPr fontId="8" type="noConversion"/>
  </si>
  <si>
    <t>西施</t>
    <phoneticPr fontId="8" type="noConversion"/>
  </si>
  <si>
    <t>蔺相如</t>
    <phoneticPr fontId="8" type="noConversion"/>
  </si>
  <si>
    <t>吕不韦</t>
    <phoneticPr fontId="8" type="noConversion"/>
  </si>
  <si>
    <t>谋略</t>
    <phoneticPr fontId="8" type="noConversion"/>
  </si>
  <si>
    <t>李斯</t>
    <phoneticPr fontId="8" type="noConversion"/>
  </si>
  <si>
    <t>夏姬</t>
    <phoneticPr fontId="8" type="noConversion"/>
  </si>
  <si>
    <t>性别</t>
    <phoneticPr fontId="8" type="noConversion"/>
  </si>
  <si>
    <t>女</t>
    <phoneticPr fontId="8" type="noConversion"/>
  </si>
  <si>
    <t>女</t>
    <phoneticPr fontId="8" type="noConversion"/>
  </si>
  <si>
    <t>李嫣</t>
    <phoneticPr fontId="8" type="noConversion"/>
  </si>
  <si>
    <t>勾践</t>
    <phoneticPr fontId="8" type="noConversion"/>
  </si>
  <si>
    <t>夫差</t>
    <phoneticPr fontId="8" type="noConversion"/>
  </si>
  <si>
    <t>蒙括</t>
    <phoneticPr fontId="8" type="noConversion"/>
  </si>
  <si>
    <t>管仲</t>
    <phoneticPr fontId="8" type="noConversion"/>
  </si>
  <si>
    <t>项梁</t>
    <phoneticPr fontId="8" type="noConversion"/>
  </si>
  <si>
    <t>项羽</t>
    <phoneticPr fontId="8" type="noConversion"/>
  </si>
  <si>
    <t>赵奢</t>
    <phoneticPr fontId="8" type="noConversion"/>
  </si>
  <si>
    <t>赵高</t>
    <phoneticPr fontId="8" type="noConversion"/>
  </si>
  <si>
    <t>除谋略点数</t>
    <phoneticPr fontId="8" type="noConversion"/>
  </si>
  <si>
    <t>王贲</t>
    <phoneticPr fontId="8" type="noConversion"/>
  </si>
  <si>
    <t>秦代将领王翦之子。生卒年不详，汉族，频阳东乡（今陕西省富平县东北）人，秦代名将，名将王翦之子，与其父是秦灭六国战争中的主要将领。</t>
    <phoneticPr fontId="8" type="noConversion"/>
  </si>
  <si>
    <t>张良</t>
    <phoneticPr fontId="8" type="noConversion"/>
  </si>
  <si>
    <t>最终被吕后胁迫，留了下来。病死在长安。谥号留侯</t>
    <phoneticPr fontId="8" type="noConversion"/>
  </si>
  <si>
    <t>刘邦同乡好友。为人武勇无比。曾多次解救刘邦。但在刘邦病危时听其作乱谣言，竟令陈平周勃前去杀之</t>
    <phoneticPr fontId="8" type="noConversion"/>
  </si>
  <si>
    <t xml:space="preserve">原项羽手下。后投刘邦。虽然行为不检点但并不为刘邦所忌。后为丞相，吕后死后帮着剿灭吕家余孽。自述“我多诡计，是道家所忌” </t>
    <phoneticPr fontId="8" type="noConversion"/>
  </si>
  <si>
    <t>萧何</t>
    <phoneticPr fontId="8" type="noConversion"/>
  </si>
  <si>
    <t>沛县小官。与刘邦交厚跟着他起兵。主管后勤。为所有功臣中功劳第一。后为丞相，主管内政。</t>
    <phoneticPr fontId="8" type="noConversion"/>
  </si>
  <si>
    <t>周勃</t>
    <phoneticPr fontId="8" type="noConversion"/>
  </si>
  <si>
    <t xml:space="preserve">刘邦手下大将。吕氏乱政风波后为文帝朝丞相，但能力远不及陈平。后辞去官职。景帝朝名将周亚夫是其子 </t>
    <phoneticPr fontId="8" type="noConversion"/>
  </si>
  <si>
    <t>与萧何一样都原为沛县小官。丞相。素有“萧规曹随”一说。</t>
    <phoneticPr fontId="8" type="noConversion"/>
  </si>
  <si>
    <t>彭越</t>
    <phoneticPr fontId="8" type="noConversion"/>
  </si>
  <si>
    <t>英布</t>
    <phoneticPr fontId="8" type="noConversion"/>
  </si>
  <si>
    <t>三王之一。为刘邦打下江山立下汗马功劳，但后被刘邦流谴，最终被吕后所杀。</t>
    <phoneticPr fontId="8" type="noConversion"/>
  </si>
  <si>
    <t xml:space="preserve">又称黥布。本为项军手下大将，后投刘邦，为三王之一。最后被刘邦出兵击杀。 </t>
    <phoneticPr fontId="8" type="noConversion"/>
  </si>
  <si>
    <t>郦食其</t>
    <phoneticPr fontId="8" type="noConversion"/>
  </si>
  <si>
    <t>虞姬</t>
    <phoneticPr fontId="8" type="noConversion"/>
  </si>
  <si>
    <t>项伯</t>
    <phoneticPr fontId="8" type="noConversion"/>
  </si>
  <si>
    <t>项庄</t>
    <phoneticPr fontId="8" type="noConversion"/>
  </si>
  <si>
    <t>范增</t>
    <phoneticPr fontId="8" type="noConversion"/>
  </si>
  <si>
    <t>龙且</t>
    <phoneticPr fontId="8" type="noConversion"/>
  </si>
  <si>
    <t>项籍麾下大将，被封为九江王，后来投靠刘邦。</t>
    <phoneticPr fontId="8" type="noConversion"/>
  </si>
  <si>
    <t>钟离昧</t>
    <phoneticPr fontId="8" type="noConversion"/>
  </si>
  <si>
    <t>刘邦</t>
    <phoneticPr fontId="8" type="noConversion"/>
  </si>
  <si>
    <t>季布</t>
    <phoneticPr fontId="8" type="noConversion"/>
  </si>
  <si>
    <t>项籍麾下大将，西楚灭亡后由夏侯婴推荐仕汉。</t>
    <phoneticPr fontId="8" type="noConversion"/>
  </si>
  <si>
    <t>王昭君</t>
    <phoneticPr fontId="8" type="noConversion"/>
  </si>
  <si>
    <t>女</t>
    <phoneticPr fontId="8" type="noConversion"/>
  </si>
  <si>
    <t>女</t>
    <phoneticPr fontId="8" type="noConversion"/>
  </si>
  <si>
    <t>班超</t>
    <phoneticPr fontId="8" type="noConversion"/>
  </si>
  <si>
    <t>卫青</t>
    <phoneticPr fontId="8" type="noConversion"/>
  </si>
  <si>
    <t>字仲卿，汉族，河东平阳（今山西临汾市）人。西汉武帝时的大司马大将军。</t>
    <phoneticPr fontId="8" type="noConversion"/>
  </si>
  <si>
    <t>卫青善于以战养战；用兵敢于深入 ，奇正兼擅；为将号令严明，与士卒同甘苦；威信很高，位极人臣，但从不养士。</t>
    <phoneticPr fontId="8" type="noConversion"/>
  </si>
  <si>
    <t>中国西汉武帝时期的杰出军事家，是名将卫青的外甥，任大司马骠骑将军。</t>
    <phoneticPr fontId="8" type="noConversion"/>
  </si>
  <si>
    <t>中国西汉时期的名将。称之为飞将军</t>
    <phoneticPr fontId="8" type="noConversion"/>
  </si>
  <si>
    <t>汉朝</t>
    <phoneticPr fontId="8" type="noConversion"/>
  </si>
  <si>
    <t>周勃</t>
    <phoneticPr fontId="8" type="noConversion"/>
  </si>
  <si>
    <t>秦末汉初的军事家和政治家、西汉开国功臣，沛县(今江苏沛县)人，汉高祖封为绛侯。</t>
    <phoneticPr fontId="8" type="noConversion"/>
  </si>
  <si>
    <t>座驾：乌骓马，兵器：鬼头刀。</t>
    <phoneticPr fontId="8" type="noConversion"/>
  </si>
  <si>
    <t>周勃为人憨厚刚正，高祖称他可委以大事。可是周勃不习经术，鄙薄儒生。</t>
    <phoneticPr fontId="8" type="noConversion"/>
  </si>
  <si>
    <t>吕雉</t>
    <phoneticPr fontId="8" type="noConversion"/>
  </si>
  <si>
    <t>窦婴</t>
    <phoneticPr fontId="8" type="noConversion"/>
  </si>
  <si>
    <t>窦太后侄。吴、楚七国之乱时，被景帝任为大将军，守荥阳，监齐、赵兵。七国破，封魏其侯。武帝初，任丞相。</t>
    <phoneticPr fontId="8" type="noConversion"/>
  </si>
  <si>
    <t>申屠嘉</t>
    <phoneticPr fontId="8" type="noConversion"/>
  </si>
  <si>
    <t>跟从刘邦攻打项籍，升任为军队首领。跟随（刘邦）攻打黥布的（敌）军，任都尉。</t>
    <phoneticPr fontId="8" type="noConversion"/>
  </si>
  <si>
    <t>刘彻</t>
    <phoneticPr fontId="8" type="noConversion"/>
  </si>
  <si>
    <t>刘恒</t>
    <phoneticPr fontId="8" type="noConversion"/>
  </si>
  <si>
    <t>嬴政</t>
    <phoneticPr fontId="8" type="noConversion"/>
  </si>
  <si>
    <t>霍光</t>
    <phoneticPr fontId="8" type="noConversion"/>
  </si>
  <si>
    <t>中国汉代卓越的探险家，旅行家与外交家，对丝绸之路的开拓有重大的贡献。</t>
    <phoneticPr fontId="8" type="noConversion"/>
  </si>
  <si>
    <t>周亚夫</t>
    <phoneticPr fontId="8" type="noConversion"/>
  </si>
  <si>
    <t xml:space="preserve">西汉时期（公元前206年～公元８年）的著名将军，沛县（今属中国东南部的江苏省）人。他是名将绛侯周勃的次子，在历史上也非常有名。 </t>
    <phoneticPr fontId="8" type="noConversion"/>
  </si>
  <si>
    <t>汉武帝刘彻</t>
    <phoneticPr fontId="8" type="noConversion"/>
  </si>
  <si>
    <t>汉文帝刘恒</t>
    <phoneticPr fontId="8" type="noConversion"/>
  </si>
  <si>
    <t xml:space="preserve">李陵(?—前74年)，陇西成纪(今甘肃静宁南)人，字少卿，西汉名将，李广之孙。 </t>
    <phoneticPr fontId="8" type="noConversion"/>
  </si>
  <si>
    <t>汉武帝死后，他受命为汉昭帝的辅政大臣，执掌汉室最高权力近20年，为汉室的安定和中兴建立了功勋，成为西汉历史发展中的重要政治人物。</t>
    <phoneticPr fontId="8" type="noConversion"/>
  </si>
  <si>
    <t>李广利</t>
  </si>
  <si>
    <t>张骞</t>
  </si>
  <si>
    <t>中国西汉时期将领。汉武帝宠妃李夫人之兄，是昌邑哀王（刘髆）的舅舅。</t>
  </si>
  <si>
    <t>李陵</t>
  </si>
  <si>
    <t>岑彭</t>
    <phoneticPr fontId="8" type="noConversion"/>
  </si>
  <si>
    <t>邓禹</t>
    <phoneticPr fontId="8" type="noConversion"/>
  </si>
  <si>
    <t>东汉中兴名将，“云台二十八将”之首。</t>
    <phoneticPr fontId="8" type="noConversion"/>
  </si>
  <si>
    <t>马武</t>
    <phoneticPr fontId="8" type="noConversion"/>
  </si>
  <si>
    <t>东汉大将，“云台二十八将”之一。初入绿林军，后归刘秀，东汉建立后，任捕虏将军，封杨虚侯。</t>
    <phoneticPr fontId="8" type="noConversion"/>
  </si>
  <si>
    <t>坚镡</t>
    <phoneticPr fontId="8" type="noConversion"/>
  </si>
  <si>
    <t>世祖讨河北，或荐镡者，因得召见。以其吏能，署主簿。又拜偏将军，从平河北，别击破大枪于卢奴。“云台二十八将”之一。</t>
    <phoneticPr fontId="8" type="noConversion"/>
  </si>
  <si>
    <t>傅俊</t>
    <phoneticPr fontId="8" type="noConversion"/>
  </si>
  <si>
    <t>积弩将军昆阳侯，字子卫，颍川襄城人。东汉大将 , “云台二十八将”之一。</t>
    <phoneticPr fontId="8" type="noConversion"/>
  </si>
  <si>
    <t>刘隆</t>
    <phoneticPr fontId="8" type="noConversion"/>
  </si>
  <si>
    <t>东汉初南阳（治今河南南阳）人，安众侯宗室。新莽末年，投奔更始，拜为骑都尉。后归附刘秀，封亢父侯，拜诛虏将军，讨平李宪。“云台二十八将”之一。</t>
    <phoneticPr fontId="8" type="noConversion"/>
  </si>
  <si>
    <t>马成</t>
    <phoneticPr fontId="8" type="noConversion"/>
  </si>
  <si>
    <t>马成(？～56年)字君迁。南阳郡棘阳(今新野县东北)人。东汉开国功臣，东汉大将,“云台二十八将”之一。</t>
    <phoneticPr fontId="8" type="noConversion"/>
  </si>
  <si>
    <t>杜茂</t>
    <phoneticPr fontId="8" type="noConversion"/>
  </si>
  <si>
    <t>杜茂(?—43年),骠骑大将军参蘧侯，字诸公，南阳冠军人。东汉大将，“云台二十八将”之一。</t>
    <phoneticPr fontId="8" type="noConversion"/>
  </si>
  <si>
    <t>王梁</t>
    <phoneticPr fontId="8" type="noConversion"/>
  </si>
  <si>
    <t>王梁字君严，渔阳要阳人也。为郡吏，太守彭宠以梁守狐奴令，与盖延、吴汉俱将兵南及世祖于广阿，拜偏将军。“云台二十八将”之一。</t>
    <phoneticPr fontId="8" type="noConversion"/>
  </si>
  <si>
    <t>景丹</t>
    <phoneticPr fontId="8" type="noConversion"/>
  </si>
  <si>
    <t>朱佑</t>
    <phoneticPr fontId="8" type="noConversion"/>
  </si>
  <si>
    <t>骠骑大将军栎阳侯，字孙卿，冯翊栎阳（今陕西西安市临潼区）人。东汉大将,“云台二十八将”之一。</t>
    <phoneticPr fontId="8" type="noConversion"/>
  </si>
  <si>
    <t>很小就成了孤儿，归外家复阳刘氏，往来舂陵，世祖与伯升皆亲爱之。伯升拜大司徒，以佑为护军。“云台二十八将”之一。</t>
    <phoneticPr fontId="8" type="noConversion"/>
  </si>
  <si>
    <t>耿纯</t>
    <phoneticPr fontId="8" type="noConversion"/>
  </si>
  <si>
    <t>钜鹿宋子(今河北赵县北)人，东汉大将，开国功臣，“云台二十八将”之一。</t>
    <phoneticPr fontId="8" type="noConversion"/>
  </si>
  <si>
    <t>刘植</t>
    <phoneticPr fontId="8" type="noConversion"/>
  </si>
  <si>
    <t>骁骑将军昌成侯，字伯先，巨鹿昌城人。东汉大将,“云台二十八将”之一。</t>
    <phoneticPr fontId="8" type="noConversion"/>
  </si>
  <si>
    <t>邳彤</t>
    <phoneticPr fontId="8" type="noConversion"/>
  </si>
  <si>
    <t>能文善武，东汉名医，光武帝刘秀手下云台二十八将之一。</t>
    <phoneticPr fontId="8" type="noConversion"/>
  </si>
  <si>
    <t>万脩</t>
    <phoneticPr fontId="8" type="noConversion"/>
  </si>
  <si>
    <t>跟任光，李忠是同事，后来一同归顺刘秀。更始年间(公元23--25年)任信都令，迎光武帝，拜偏将军。平河北，因功封槐里侯，为云台二十八将之一。</t>
    <phoneticPr fontId="8" type="noConversion"/>
  </si>
  <si>
    <t>李忠</t>
    <phoneticPr fontId="8" type="noConversion"/>
  </si>
  <si>
    <t>父为高密都尉。忠元始中以父任为郎，署中数十人，而忠独以好礼修整称。王莽时为新博属长，郡中咸敬信之。为云台二十八将之一。</t>
    <phoneticPr fontId="8" type="noConversion"/>
  </si>
  <si>
    <t>任光</t>
    <phoneticPr fontId="8" type="noConversion"/>
  </si>
  <si>
    <t>后汉光武帝时名将，南阳宛人。云台二十八将之一，少忠厚，为乡里所爱。初为乡啬夫、郡县吏。</t>
    <phoneticPr fontId="8" type="noConversion"/>
  </si>
  <si>
    <t>祭遵</t>
    <phoneticPr fontId="8" type="noConversion"/>
  </si>
  <si>
    <t>字弟孙，颍川颍阳(今河南许昌)人。东汉大将，“云台二十八将”之一。</t>
    <phoneticPr fontId="8" type="noConversion"/>
  </si>
  <si>
    <t>王霸</t>
    <phoneticPr fontId="8" type="noConversion"/>
  </si>
  <si>
    <t>东汉名将，“云台二十八将”之一。新莽末，从刘秀起兵，长期戍守北部边疆，后封淮陵侯。</t>
    <phoneticPr fontId="8" type="noConversion"/>
  </si>
  <si>
    <t>铫期</t>
    <phoneticPr fontId="8" type="noConversion"/>
  </si>
  <si>
    <t>身材魁梧，容貌威严。“云台二十八将”之一。</t>
    <phoneticPr fontId="8" type="noConversion"/>
  </si>
  <si>
    <t>耿弇</t>
    <phoneticPr fontId="8" type="noConversion"/>
  </si>
  <si>
    <t>挟风茂陵(今陕西兴平东北)人。东汉中兴名将，“云台二十八将”之一。西汉末，从刘秀起兵，任大将军。刘秀称帝后，任建威大将军，封好畤侯。</t>
    <phoneticPr fontId="8" type="noConversion"/>
  </si>
  <si>
    <t>臧宫</t>
    <phoneticPr fontId="8" type="noConversion"/>
  </si>
  <si>
    <t>东汉中兴名将，“云台二十八将”之一。</t>
  </si>
  <si>
    <t>东汉中兴名将，“云台二十八将”之一。</t>
    <phoneticPr fontId="8" type="noConversion"/>
  </si>
  <si>
    <t>陈俊</t>
    <phoneticPr fontId="8" type="noConversion"/>
  </si>
  <si>
    <t>东汉大将,“云台二十八将”之一。一开始跟随刘嘉，官拜长史。后来跟贾复一起经刘嘉推荐投奔刘秀。作战勇猛，在河北比较闻名。</t>
    <phoneticPr fontId="8" type="noConversion"/>
  </si>
  <si>
    <t>盖延</t>
    <phoneticPr fontId="8" type="noConversion"/>
  </si>
  <si>
    <t>东汉大将,“云台二十八将”之一。一开始是彭宠护军，后来跟吴汉一起投奔刘秀。他是一名虎将，在刘秀征战山东时功劳卓越</t>
    <phoneticPr fontId="8" type="noConversion"/>
  </si>
  <si>
    <t>吴汉</t>
    <phoneticPr fontId="8" type="noConversion"/>
  </si>
  <si>
    <t>东汉中兴名将，“云台二十八将”位居第三。任偏将军、大将军，刘秀称帝后，升任大司马，封舞阳侯。</t>
    <phoneticPr fontId="8" type="noConversion"/>
  </si>
  <si>
    <t>贾复</t>
    <phoneticPr fontId="8" type="noConversion"/>
  </si>
  <si>
    <t>云台二十八将之一,南阳郡冠军县（今河南邓县西北）人，出身儒生。</t>
    <phoneticPr fontId="8" type="noConversion"/>
  </si>
  <si>
    <t>冯异</t>
    <phoneticPr fontId="8" type="noConversion"/>
  </si>
  <si>
    <t>寇恂</t>
    <phoneticPr fontId="8" type="noConversion"/>
  </si>
  <si>
    <t>东汉名将，“云台二十八将”之一。</t>
    <phoneticPr fontId="8" type="noConversion"/>
  </si>
  <si>
    <t>三国</t>
    <phoneticPr fontId="8" type="noConversion"/>
  </si>
  <si>
    <t>张角</t>
  </si>
  <si>
    <t>张宝</t>
  </si>
  <si>
    <t>张梁</t>
  </si>
  <si>
    <t>张辽</t>
  </si>
  <si>
    <t>张郃</t>
  </si>
  <si>
    <t>巨鹿郡的在野人士。为太平道的教祖，向民众广传教义。趁社会动乱，得到广大民众支持。结成黄巾党对抗汉王朝，发动黄巾之乱。</t>
  </si>
  <si>
    <t>张角之弟。和张角一起举兵欲推翻汉王朝，而发动黄巾之乱。自称地公将军，用兄长传授的妖术指挥叛乱，后被属下严政刺杀。</t>
  </si>
  <si>
    <t>张角、张宝之弟。和兄长们一起举兵欲推翻汉王朝，而发动黄巾之乱。自称人公将军，张角死后继续指挥叛乱，败给了官军，在曲阳战死。</t>
  </si>
  <si>
    <t>演义中为蜀汉五虎大将之一。与刘备、关羽结为异姓兄弟。在长坂坡之战中，单枪匹马在长坂桥上，喝退曹操万大军的追击。后因关羽死于东吴之手，急于为兄报仇，迁怒部将范疆张达，在睡觉时被范疆张达所杀。</t>
  </si>
  <si>
    <t>魏将，曾为吕布的属下转战各地。吕布战败身亡后，改投曹操军营。守卫合淝之时，仅凭八百士兵就击退了十万吴兵。</t>
  </si>
  <si>
    <t>魏将，本是袁绍的属下，有勇有谋，由于郭图之计，身陷绝境，最后归顺了曹操。主要活跃于对蜀作战中，街亭之战时包围马谡，并大获全胜。</t>
  </si>
  <si>
    <t>张邈</t>
  </si>
  <si>
    <t>陈留太守，张超之兄。讨伐董卓的第六镇诸侯。本来与曹操是好友，可是经陈宫劝说后，背叛曹操。劝吕布攻打兖州，但是失败了。</t>
  </si>
  <si>
    <t>张纮</t>
  </si>
  <si>
    <t>吴臣，与张昭一起并称为“二张”。由周瑜举荐，以谋士身份加入。随军参加了赤壁、合淝之战。临终前，建议孙权迁都建业。</t>
  </si>
  <si>
    <t>张苞</t>
  </si>
  <si>
    <t>张飞的长子，将父亲的遗体收敛入棺后，向刘备报告。与关兴有结义兄弟的情谊。</t>
  </si>
  <si>
    <t>刘备</t>
  </si>
  <si>
    <t>刘备，字玄德(161~223)，汉景帝第七子中山靖王刘胜后裔，祖父刘雄曾任长水县尉，父刘弘无官，因家道中落，只得以卖草鞋维生，15岁入私塾，老师卢植，同学公孙瓒，后结识关羽ˋ张飞，因击败黄巾军有功被封安喜县尉，之后于新野请诸葛亮出芦，在忠义之士帮助下，建立蜀汉，最后病逝于白帝城，年63岁，谥号昭烈皇帝</t>
  </si>
  <si>
    <t>刘表</t>
  </si>
  <si>
    <t>镇南将军、荆州牧，与当地七贤人号称“江夏八俊”。袁绍告知刘表孙坚得到玉玺的消息，刘表截住回江东的孙坚，后孙坚跨江击刘表，孙坚中埋伏而死。远交袁绍，近结张绣，内纳刘备，称雄荆江。但因宠信蔡夫人，使大权落在蔡瑁手上，死后传位蔡氏儿子刘琮，导致曹操攻荆州，蔡瑁率众投降。</t>
  </si>
  <si>
    <t>曹操谋士。经郭嘉举荐给曹操，他屡献妙计，对天下形势的发展往往一语中的。对袁绍作战时提出用发石车，击退了敌人来自营楼的攻击。刘晔历仕数朝，是曹魏的三朝元老。</t>
  </si>
  <si>
    <t>刘璋</t>
  </si>
  <si>
    <t>刘禅</t>
  </si>
  <si>
    <t>刘琦</t>
  </si>
  <si>
    <t>刘琮</t>
  </si>
  <si>
    <t>刘封</t>
  </si>
  <si>
    <t>刘备养子，原姓寇，因听从孟达谗言，拒绝派兵支援关羽，导致关羽战死，被刘备赐死</t>
  </si>
  <si>
    <t>王允</t>
  </si>
  <si>
    <t>东汉司徒。董卓夺取中央的控制权后深感忧虑，假意合作的同时寻求诛灭董卓的方法。先将七星宝刀借与曹操行刺，失败后又以养女貂蝉行使离间计，终于成功唆使吕布杀死董卓。后拒绝董卓部下的归降，被逼反的董卓余部围困之下，慨然跳下城楼身亡。</t>
  </si>
  <si>
    <t>字文台，(155~191)春秋兵法家孙武的后代，17岁时单独闯入海盗船上杀死海贼头领而出名，后来征讨黄巾军有功被封长沙太守，18路讨董诸侯之一，最后在荆州襄阳城郊外中刘表埋伏而死，年36岁</t>
  </si>
  <si>
    <t>孙策</t>
  </si>
  <si>
    <t>字伯符，(175~200)孙坚长子，孙坚死后便接下父亲的部队投靠袁术，后来听从谋士朱治的谏言攻打吴郡，在周瑜的帮助下，3年便攻下吴郡，被誉为江东小霸王，最后遭吴郡太守许贡的部下杀害，年26岁</t>
  </si>
  <si>
    <t>孙权</t>
  </si>
  <si>
    <t>字仲谋，(182~252)孙坚次子，孙策死后便接管江东，因眼珠为绿色人称碧眼儿，于229年称帝，建立吴国，在位期间为吴国最繁盛时期，谥号吴大帝，年70岁</t>
  </si>
  <si>
    <t>字孟德(155~220)小名阿瞒，祖父曹腾，父曹嵩，本姓夏侯，少时被桥玄称治世之能臣乱世之奸雄，因征讨黄巾军有功封为济南相，18路讨董诸侯之一，后来在官渡打败袁绍统一北方，然后举兵南下遭孙权刘备联军于赤壁打败，216年封为魏王，死后曹丕追谥魏武帝，年65岁</t>
  </si>
  <si>
    <t>曹仁</t>
  </si>
  <si>
    <t>曹操堂弟(168~223)，官至大将军。曹仁于曹操起兵时与曹洪一同前来投奔。后从征袁术、吕布、张绣，参加官渡之战，南征孙权刘备，曹仁负责坚守城池，多立功勋。曹丕称帝后封曹仁为大司马。夷陵之战后，曹仁奉曹丕之命进军濡须口，却被守将朱桓杀败，回到洛阳，不久后病逝。</t>
  </si>
  <si>
    <t>曹操堂弟。随曹操追袭董卓荥阳时，曹军为董卓部将徐荣所败，曹操失马，曹洪舍命献马并救护曹操，使曹操免于厄难。后多随军征伐，讨黄巾、张邈、吕布、袁绍时，咸有功劳。后引军助夏侯渊、徐晃、张郃镇守西线。马超袭关中时，洪与徐晃并为前部，却因禁不住挑衅而失关。后搏战马超，再次救得曹操脱离险境。曹操命其领御林军。曹丕即位时，封为卫将军，进封野王侯，并与曹休掌典禁军。</t>
  </si>
  <si>
    <t>曹昂</t>
  </si>
  <si>
    <t>曹丕</t>
  </si>
  <si>
    <t>曹植</t>
  </si>
  <si>
    <t>曹纯</t>
  </si>
  <si>
    <t>曹休</t>
  </si>
  <si>
    <t>曹彰</t>
  </si>
  <si>
    <t>曹睿</t>
  </si>
  <si>
    <t>李儒</t>
  </si>
  <si>
    <t>董卓的女婿、首席谋士，为董卓亲信，大小事宜均与之参谋，堪称智囊。董卓趁乱进京、说降吕布、废立皇帝、迁都长安等举动，均离不开李儒的参谋之功。少帝刘辩被废后不满，李儒奉董卓之命，亲自带人入宫毒死刘辩。后王允使计离间董卓、吕布，李儒劝董卓放弃貂蝉换取吕布的效忠，董卓没有听从，死于吕布之手。董卓死时，李儒卧病在家，被家仆捆绑献出，处斩。</t>
  </si>
  <si>
    <t>李典</t>
  </si>
  <si>
    <t>早期就跟随曹操的大将之一。逍遥津之战中抛弃与乐、张的不和，与张辽精选八百人，攻击吴军，一度逼退东吴军。官至破虏将军，三十六岁去世。魏文帝曹丕继位后追谥号为愍侯。</t>
  </si>
  <si>
    <t>初为曹操第一谋士，因曹操杀害吕伯奢一家而离开曹操，后成为吕布谋士，终因吕布兵败不愿投降曹操被杀。</t>
  </si>
  <si>
    <t>赵云</t>
  </si>
  <si>
    <t>刘备五虎将。开始跟随公孙瓒，后投靠刘备，当年长阪恶战，赵云怀揣阿斗七进七出，杀得曹军闻风丧胆。刘备入西川，赵云随诸葛亮、张飞等人沿江而上作为援军，为平定益州做出了贡献。刘备死后，赵云跟随诸葛亮北伐，子龙单骑退追兵。为蜀汉立下赫赫战功。</t>
  </si>
  <si>
    <t>马良</t>
  </si>
  <si>
    <t>马岱</t>
  </si>
  <si>
    <t>马腾</t>
  </si>
  <si>
    <t>西凉太守，征西将军，马超之父。十八路讨董卓诸侯之一。李郭专政时期，与朝中侍中马宇等讨伐李郭二人，马腾率兵进攻长安，马宇等事败漏被杀，马腾退走。曹操控制朝廷时，汉献帝写下了衣带诏，约刘备、马腾等人起兵讨伐曹操。事件失败后，马腾回到西凉拥兵自重。后被曹操引诱入京杀害。</t>
  </si>
  <si>
    <t>马超</t>
  </si>
  <si>
    <t>马腾之子，刘备五虎将。初随马腾勤王，因粮草不济失败。后马腾被曹操所害，超与韩遂起兵为马腾报仇，曾追打得曹操割须弃袍。但被曹操使反间计，误以为韩遂欲投曹，使韩遂真投曹操，被曹操打败后投张鲁，后刘备攻张鲁时，被同乡说服投降刘备。刘备称帝后第二年马超病逝。</t>
  </si>
  <si>
    <t>韩馥</t>
  </si>
  <si>
    <t>东汉的冀州牧。率军参加讨伐董卓联军。同盟决裂后，被寻找根据地的袁绍夺取了冀州，抛下妻儿去投奔张邈。</t>
  </si>
  <si>
    <t>韩当</t>
  </si>
  <si>
    <t>东吴的开国老将之一，初随孙坚同程普、黄盖转战南北，后从孙策平定江东。扶佐孙权，多负勤劳。</t>
  </si>
  <si>
    <t>夏侯兰</t>
  </si>
  <si>
    <t>夏侯恩</t>
  </si>
  <si>
    <t>夏侯霸</t>
  </si>
  <si>
    <t>夏侯渊</t>
  </si>
  <si>
    <t>夏侯惇族弟，擅长千里奔袭。初期随曹操征伐，官渡之战为曹操督运粮草，又督诸将先后平定昌豨、徐和、雷绪、商曜等叛乱。后率军驻凉州，逐马超、破韩遂、灭宋建、横扫羌、氐，虎步关右。张鲁降曹操后夏侯渊留守汉中，于定军山被刘备部将黄忠所袭，战死。官至征西将军，封博昌亭侯，谥曰愍侯。</t>
  </si>
  <si>
    <t>武艺天下第一。先后跟随丁原、董卓，并最终杀死了丁原和董卓。成为独立势力后，吕布与曹操为敌，和刘备、袁术等诸侯时敌时友，最终不敌曹操和刘备的联军，兵败人亡。</t>
  </si>
  <si>
    <t>吕伯奢</t>
  </si>
  <si>
    <t>曹操因刺杀董卓不成而逃离洛阳，被陈宫所救，共同来到吕伯奢家。但曹操却误以为其家人的磨刀声是要杀死自己，尽杀其家人。后遇见买酒归来的吕伯奢，曹操担心吕伯奢将告发自己，于是挥剑砍死吕伯奢。</t>
  </si>
  <si>
    <t>董卓</t>
  </si>
  <si>
    <t>本屯兵凉州，于十常侍之乱时受何进之召率军进京，即掌控朝中大权。其为人残忍嗜杀，倒行逆施，招致群雄联合讨伐，但联合军在董卓迁都长安不久后瓦解。后被王允设连环计，利用貂蝉挑拨其与手下大将兼义子吕布的关系，使吕布杀了董卓，余部由李傕等人率领。</t>
  </si>
  <si>
    <t>胡车儿</t>
  </si>
  <si>
    <t>胡轸</t>
  </si>
  <si>
    <t>华雄部下，协同华雄守卫汜水关，在与孙坚的军队作战时，被程普所杀。</t>
  </si>
  <si>
    <t>周泰</t>
  </si>
  <si>
    <t>周仓</t>
  </si>
  <si>
    <t>许褚</t>
  </si>
  <si>
    <t>许攸</t>
  </si>
  <si>
    <t>袁绍的谋士，年轻时为曹操好友。多次出谋划策都不为袁绍所用。官渡之战之际，许攸因家人犯法被收治而投奔曹操，提供了重要情报，建议曹操偷袭乌巢，结果大获全胜。官渡之战后，许攸跟随曹操到达邺城，口出狂言，轻视曹军将士，被许褚一怒之下杀死，曹操见后深责许褚，下令厚葬许攸。</t>
  </si>
  <si>
    <t>邓艾</t>
  </si>
  <si>
    <t>诸葛瑾</t>
  </si>
  <si>
    <t>诸葛均</t>
  </si>
  <si>
    <t>朱治</t>
  </si>
  <si>
    <t>司马师</t>
  </si>
  <si>
    <t>司马昭</t>
  </si>
  <si>
    <t>蒋钦</t>
  </si>
  <si>
    <t>蒋干</t>
  </si>
  <si>
    <t>蒋琬?字公琬</t>
  </si>
  <si>
    <t>丁奉</t>
  </si>
  <si>
    <t>丁原</t>
  </si>
  <si>
    <t>汉并州刺史、吕布义父。董卓入京都，欲废少帝，丁原大怒，愤而离席。次日，引军城外搦战，吕布大败董卓军队。后卓遣虎贲中郎将李肃说原义子吕布杀原，割首献卓</t>
  </si>
  <si>
    <t>黄忠</t>
  </si>
  <si>
    <t>黄月英</t>
  </si>
  <si>
    <t>黄盖</t>
  </si>
  <si>
    <t>孙吴名将，历仕孙坚、孙策、孙权三任君主。为孙氏江山立下汗马功劳，赤壁之战时，献苦肉计使曹操的内应相信自己是真降曹操，导致最后火烧赤壁，孙刘联盟以少胜多，打败曹操。</t>
  </si>
  <si>
    <t>黄祖</t>
  </si>
  <si>
    <t>刘表部下江夏太守。孙坚跨江击刘表时，黄祖部下杀孙坚于岘山，黄祖被黄盖所擒。后刘表不忍弃黄祖，遂以孙坚尸体换黄祖归。曹操让弥衡出使荆州，因其侮辱刘表，刘表不能容忍，送祢衡到黄祖处，被黄祖所杀。屡次大战都被孙策孙权所破，又不肯用甘宁，于是甘宁投孙权。甘宁率众征讨黄祖，被甘宁所杀。</t>
  </si>
  <si>
    <t>郭嘉</t>
  </si>
  <si>
    <t>曹操帐下谋士，官至军师祭酒，封洧阳亭侯。初随袁绍，认为袁绍不能干大事而隐居，由程昱举荐给曹操。郭嘉是曹操最看重又最可惜的谋士。料事如神，为曹操统一中国北方立下了功勋。曾以十胜十败使曹操下定决心抗袁；料定孙策会被刺客所杀。后于曹操征伐乌丸时病逝，年仅三十八岁。谥曰贞侯。</t>
  </si>
  <si>
    <t>袁谭</t>
  </si>
  <si>
    <t>袁熙</t>
  </si>
  <si>
    <t>袁尚</t>
  </si>
  <si>
    <t>袁绍</t>
  </si>
  <si>
    <t>四世三公。原为何进手下司隶校尉，助何进剿除宦官，何进与宦官同归于尽。董卓入京，大权独揽，与袁绍不合，袁绍反后率领十八路诸侯讨伐董卓。后诸侯互相割据，袁绍先用计得了韩馥管辖的冀州，又夺青州，并州。后又打败公孙瓒，得到幽州。官渡之战时，被曹操所败，元气大伤。平定冀州叛乱后病死。</t>
  </si>
  <si>
    <t>袁术</t>
  </si>
  <si>
    <t>四世三公。袁绍之弟。初为虎贲中郎将。董卓进京后以袁术为后将军，袁术因畏祸而出奔南阳。与袁绍、曹操等同时起兵，共讨董卓。后与袁绍对立，被袁绍、曹操击败，率馀众奔九江，割据扬州。建安二年（197年）称帝，建号仲氏。此后袁术奢侈荒淫，横征暴敛，使江淮地区残破不堪，民多饥死，部众离心，先后为吕布、曹操所破，呕血而死。</t>
  </si>
  <si>
    <t>何进</t>
  </si>
  <si>
    <t>灵帝时大将军，何皇后的哥哥。黄巾军起义时，镇压了马元义的密谋。灵帝死后，蹇硕从灵帝愿望，欲立刘协为主，设计杀害何进，未果被杀。何进独揽大权。何进担心宦官势力大，无法剿除奸党。在袁绍的建议下，召董卓引兵入京，逼迫何太后杀十常侍。后十常侍害怕，设计杀了何进</t>
  </si>
  <si>
    <t>荀攸</t>
  </si>
  <si>
    <t>荀彧之侄，三国时期曹操的首席军师之一。初仕大将军何进，董卓进京揽大权，荀攸后弃官还乡。曹操在兖州时，荀攸同荀彧共来投靠，为曹操重用。曹操迎天子都许，拜为军师。攸随讨吕布，定河北，及官渡、赤壁之战，屡出奇谋。及魏建，以荀攸为尚书令。曹操进魏王时，荀攸认为曹操叛汉，曹操发怒，攸忧愤成疾，后来就死了。</t>
  </si>
  <si>
    <t>荀彧</t>
  </si>
  <si>
    <t>旧随袁绍，因知袁绍终不能成大事遂与其侄荀攸投奔曹操，被曹操比作张良。为曹操出过很多重要的战略谋划。建议曹操“奉天子以令不臣”，使曹操得到很多诸侯的控制权。经常参与国家大事并经常留守许都。曾和郭嘉以“十胜十败”使曹操下决心抗袁，使曹操大败袁绍统一北方。后董昭劝曹操称魏公，荀彧反对，不久在曹操的暗示下服毒自杀。</t>
  </si>
  <si>
    <t>程普</t>
  </si>
  <si>
    <t>同黄盖、韩当自孙坚起兵便跟随孙氏，为孙吴崛起立下汗马功劳。后与周瑜同掌兵权。程普被封为江夏太守。</t>
  </si>
  <si>
    <t>程昱</t>
  </si>
  <si>
    <t>曹操谋士。曾于于徐州用计迫降关羽；曹操征河北，昱举羽以敌颜良，又于仓亭献十面埋伏之计，大胜袁绍。后曹操与刘备大战，昱计挟亲赚徐庶，使庶来投。从南征，昱谏曹操以防火攻，又识黄盖粮船之伪，免大寨遭创，曹操亦因此逃逸得及。后又于濡须劝曹操班师。魏国既建，以程昱为卫尉。</t>
  </si>
  <si>
    <t>公孙瓒</t>
  </si>
  <si>
    <t>北平太守。幼从卢植学，与先主为友。后先主起兵，瓒多有举荐。及董卓乱政，瓒从曹操令，起兵助之。曾受袁绍诱惑，攻打冀州韩馥，不想让袁绍用计得了冀州，后因冀州地常与袁绍争，交战多次，终为所败，于易京楼中引火自焚。</t>
  </si>
  <si>
    <t>孟获</t>
  </si>
  <si>
    <t>南中豪强。雍闿因刘备的逝世而起事，则孟获受到其邀请。雍闿被杀时，率领雍闿的军队抵抗蜀汉。最后败于南中之战，成为蜀汉的官吏。官至御史中丞。</t>
  </si>
  <si>
    <t>庞德</t>
  </si>
  <si>
    <t>关平</t>
  </si>
  <si>
    <t>关兴</t>
  </si>
  <si>
    <t>关索</t>
  </si>
  <si>
    <t>刘备的结义二弟，一生追随刘备征战啥场，义薄云天，又兼武艺高强，闻名天下。于虎牢关温酒斩华雄，以斩颜良诛文丑报曹操，千里走单骑过五关斩六将投刘备。刘备得益州后，帮刘备守荆州，水淹于禁七军威震华夏，被刘备封为五虎上将之首。后东吴吕蒙偷袭荆州，关羽兵败被潘璋所杀。</t>
  </si>
  <si>
    <t>徐晃字公明</t>
  </si>
  <si>
    <t>徐庶</t>
  </si>
  <si>
    <t>徐盛</t>
  </si>
  <si>
    <t>蔡瑁</t>
  </si>
  <si>
    <t>刘表麾下大将，其姊为刘表后妻。曾两次被派出战孙坚军队，先后被黄盖、程普所败。刘备投荆州时，因怕大权落于刘备之手，于是设计杀刘备，但被刘备走脱。刘表死后，立刘琮为主，曹操南征时，率众投降。赤壁之战时统领曹操水军，被周瑜以反间计所害。</t>
  </si>
  <si>
    <t>蔡和</t>
  </si>
  <si>
    <t>蔡中</t>
  </si>
  <si>
    <t>高顺</t>
  </si>
  <si>
    <t>严白虎</t>
  </si>
  <si>
    <t>潘凤</t>
  </si>
  <si>
    <t>韩馥上将。在汜水关前被派出战华雄，被斩。</t>
  </si>
  <si>
    <t>文聘</t>
  </si>
  <si>
    <t>文丑</t>
  </si>
  <si>
    <t>袁绍手下大将。曾于延津关射落张辽，大战徐晃。但与关羽战几回合，关羽赤兔马快，被追上斩杀。</t>
  </si>
  <si>
    <t>贾诩</t>
  </si>
  <si>
    <t>曾先后担任三国军阀李傕、张绣、曹操的谋士。曾建议李傕郭汜带兵杀回洛阳杀败吕布、王允；又曾帮张绣多次与曹操大战，取得不错战绩，后劝张绣一起投降了曹操；曹操立储时，帮助曹丕接任，后曹丕篡汉为帝，封贾诩为魏国太尉，谥曰肃侯。</t>
  </si>
  <si>
    <t>左慈</t>
  </si>
  <si>
    <t>华雄</t>
  </si>
  <si>
    <t>为董卓帐下都督。十八路诸侯讨伐董卓时，董卓派华雄抵挡，华雄在李肃帮助下，于汜水关杀败孙坚，后凭借武力在诸侯面前耀武扬威，被关羽所斩。</t>
  </si>
  <si>
    <t>孔融</t>
  </si>
  <si>
    <t>孔融少时成名。建安七子之一。献帝时任北海相，世称孔北海，十八路反董卓诸侯之一。曹操攻徐州时，曾率兵救徐州，使徐州得救。</t>
  </si>
  <si>
    <t>魏延</t>
  </si>
  <si>
    <t>皇甫嵩</t>
  </si>
  <si>
    <t>黄巾起义爆发时，任左中郎将，与朱俊、卢植各率军镇压起义军，后官至太尉，封槐里侯。与黄巾军张梁时，连胜七阵，斩张梁于曲阳。后卢植得罪小人，论罪几死，皇甫嵩又表奏卢植有功无罪，朝廷复卢植原官。</t>
  </si>
  <si>
    <t>淳于琼</t>
  </si>
  <si>
    <t>本为汉右军校尉，后为袁绍部将。官渡之战，淳于琼督领二万人马守乌巢，整日酗酒无备。曹操率军偷袭，淳于琼醉卧而不能迎敌，战败被擒，粮谷被烧，曹操命割去其耳鼻手指，缚于马上放回。袁绍怒而斩之。</t>
  </si>
  <si>
    <t>裴元绍</t>
  </si>
  <si>
    <t>乐进</t>
  </si>
  <si>
    <t>曹操重要将领。最早投到曹操帐下，胆勇过人，随军多年，南征北讨，战功无数。曾于合肥之战突袭孙权，差点捉得孙权。与凌统大战之时被甘宁射伤。战功累累，被封为右将军。</t>
  </si>
  <si>
    <t>鲁肃</t>
  </si>
  <si>
    <t>廖化</t>
  </si>
  <si>
    <t>姜维</t>
  </si>
  <si>
    <t>法正</t>
  </si>
  <si>
    <t>东吴大将。因奉母亲之命向孔融报恩，黄巾贼管亥围北海，慈助融抗之，请来刘备，大败贼众。后归扬州刺史刘繇，于神亭同一小将斗孙策十三骑。后繇败死，策擒慈，求为其将，慈降。慈招谕繇残军归，守言应诺。自此太史慈助孙策扫荡江东。赤壁战中，孙权用慈为先锋。后于合肥城中伏，为张辽所遣弓弩兵射为重伤，回营发遗世之言，不治身死。</t>
  </si>
  <si>
    <t>凌操</t>
  </si>
  <si>
    <t>凌统</t>
  </si>
  <si>
    <t>蒯良</t>
  </si>
  <si>
    <t>蒯越之兄，足智多谋，刘表谋士。袁术向刘表借粮不成，派孙坚讨伐刘表，蒯良建议坚守，蔡瑁不听，大败。刘表派吕公迎战，吕公听从蒯良计谋，用兵设伏射杀孙坚，解了危机。后来孙策以黄祖换取孙坚尸首，两家各罢兵。蒯良又劝刘表砍其使，乘胜下江东，然而刘表不纳其言，坐失良机。</t>
  </si>
  <si>
    <t>蒯越</t>
  </si>
  <si>
    <t>蒯良之弟，刘表谋士。袁绍通知刘表孙坚暗得国玺归南一事，刘表遣蒯越截击孙坚，大破其军。后刘备依荆州，送的卢马与刘表，蒯越知的卢乃凶马，劝刘表奉还。蔡瑁欲杀刘备，蒯越用计调开赵云，刘备差点被害。刘表死后，刘琮嗣位，蒯越与傅巽等劝其降曹操。蒯越随刘琮降曹操，被封为江陵太守樊亭侯。</t>
  </si>
  <si>
    <t>典韦</t>
  </si>
  <si>
    <t>曹操大将，被曹操称为“古之恶来”。曹操与吕布交战时被困于濮阳西寨，典韦以十余枝短戟刺杀敌军，一戟一人坠马，并无虚发，又挺双铁戟驱赶吕布手下四将。此后曹操中陈宫之计被困于濮阳城中，典韦拼死保护曹操逃出。后张绣投降曹操后反叛曹操，典韦被灌醉，双铁戟被偷走。张绣叛乱，典韦独身一人抵挡敌军，终因寡不敌众，背后中枪而死。</t>
  </si>
  <si>
    <t>糜芳</t>
  </si>
  <si>
    <t>糜竺</t>
  </si>
  <si>
    <t>糜芳之兄，刘备妻糜夫人之兄。初随陶谦，曹操攻徐州，糜竺向孔融求救，孔融再请来刘备，终使徐州得救。后陶谦三让徐州给刘备，糜竺从此跟随刘备。后糜芳叛蜀，糜竺羞愧忧郁得病而亡。</t>
  </si>
  <si>
    <t>甘宁</t>
  </si>
  <si>
    <t>纪灵</t>
  </si>
  <si>
    <t>简雍</t>
  </si>
  <si>
    <t>颜良</t>
  </si>
  <si>
    <t>袁绍手下最强大将。曾于白马关二十合打败徐晃，令曹营大将尽皆栗然。但关羽出战，颜良欲上前问，不料赤兔马快，被关羽一刀砍死。</t>
  </si>
  <si>
    <t>朵思大王</t>
  </si>
  <si>
    <t>带来洞主</t>
  </si>
  <si>
    <t>大乔（孙策妻）（乔国老女）</t>
  </si>
  <si>
    <t>貂蝉（董卓妾）（吕布妾）（关羽妾）（王允义女）</t>
  </si>
  <si>
    <t>王允义女。先被王允派来诱惑吕布，又被献于董卓，再由貂蝉从中挑拨吕布与董卓之间的关系，致使后来吕布杀了董卓。后一直跟着吕布，吕布死后不知所踪。</t>
  </si>
  <si>
    <t>祝融夫人</t>
    <phoneticPr fontId="8" type="noConversion"/>
  </si>
  <si>
    <t>（孟获妻）</t>
  </si>
  <si>
    <t>诸葛亮</t>
    <phoneticPr fontId="8" type="noConversion"/>
  </si>
  <si>
    <t>庞统</t>
    <phoneticPr fontId="8" type="noConversion"/>
  </si>
  <si>
    <t>司马懿</t>
    <phoneticPr fontId="8" type="noConversion"/>
  </si>
  <si>
    <t>小乔</t>
    <phoneticPr fontId="8" type="noConversion"/>
  </si>
  <si>
    <t>周瑜</t>
    <phoneticPr fontId="8" type="noConversion"/>
  </si>
  <si>
    <t>吕蒙</t>
    <phoneticPr fontId="8" type="noConversion"/>
  </si>
  <si>
    <t>鲍三娘</t>
    <phoneticPr fontId="8" type="noConversion"/>
  </si>
  <si>
    <t>鲍三娘是鲍凯的女儿，关索的妻子，鲍家的三女，是一个有美貌，又十分懂得武艺的人，只爱那些武艺非凡的男人，打败了一个向她比武取亲的人。</t>
    <phoneticPr fontId="8" type="noConversion"/>
  </si>
  <si>
    <t>宇文成都</t>
    <phoneticPr fontId="8" type="noConversion"/>
  </si>
  <si>
    <t>天宝大将宇文成都，胯下赛龙五斑驹，掌中凤翅镏金镗，勇贯三军，是大隋朝的顶梁柱</t>
    <phoneticPr fontId="8" type="noConversion"/>
  </si>
  <si>
    <t>李元霸</t>
    <phoneticPr fontId="8" type="noConversion"/>
  </si>
  <si>
    <t>西府赵王李元霸，李元霸胯下千里一盏灯，手中一对擂鼓瓮金锤谁也惹不起，为头一条好汉</t>
    <phoneticPr fontId="8" type="noConversion"/>
  </si>
  <si>
    <t>裴元庆</t>
    <phoneticPr fontId="8" type="noConversion"/>
  </si>
  <si>
    <t>锤太保裴元庆裴三公子，胯下一字没角癞麒麟，掌中一对八棱梅花亮银锤，是以后瓦岗山头号猛将</t>
    <phoneticPr fontId="8" type="noConversion"/>
  </si>
  <si>
    <t>李渊</t>
    <phoneticPr fontId="8" type="noConversion"/>
  </si>
  <si>
    <t>唐朝开国皇帝。</t>
    <phoneticPr fontId="8" type="noConversion"/>
  </si>
  <si>
    <t>唐太宗</t>
    <phoneticPr fontId="8" type="noConversion"/>
  </si>
  <si>
    <t>李世民</t>
    <phoneticPr fontId="8" type="noConversion"/>
  </si>
  <si>
    <t>武则天</t>
    <phoneticPr fontId="8" type="noConversion"/>
  </si>
  <si>
    <t>杨玉环</t>
    <phoneticPr fontId="8" type="noConversion"/>
  </si>
  <si>
    <t>安禄山</t>
    <phoneticPr fontId="8" type="noConversion"/>
  </si>
  <si>
    <t>史思明</t>
    <phoneticPr fontId="8" type="noConversion"/>
  </si>
  <si>
    <t>他在30岁前一直混迹在边疆地区，是一个不很安分的商人。30岁那年步入军旅，在不到4年的时间就做到平卢将军。天宝元年（741）正月初一，他刚刚40岁时，一跃成为驻守边疆的藩镇安禄山家乡朝阳古城一级的最高军事统帅——平卢军节度使。在此后的十几年中，他飞黄腾达，在唐朝严格按照任职年限资格任官的体制下，创造了和平年代边疆军帅仕途腾达的神话。</t>
    <phoneticPr fontId="8" type="noConversion"/>
  </si>
  <si>
    <t>与安禄山同乡相善。初为互市牙郎，亦以骁勇为幽州节度使张守所知，任为捉生将。天宝年间累立战功，官至平卢兵马使。曾到长安奏事，为玄宗赏识，赐名思明。</t>
    <phoneticPr fontId="8" type="noConversion"/>
  </si>
  <si>
    <t>唐代著名的军事家。武举出身。安史之乱时任朔方节度使，在河北打败史思明。后连回纥收复洛阳、长安两京，功居平乱之首，晋为中书令，封汾阳郡王。</t>
    <phoneticPr fontId="8" type="noConversion"/>
  </si>
  <si>
    <t>郭子仪</t>
    <phoneticPr fontId="8" type="noConversion"/>
  </si>
  <si>
    <t>玄武门之变以后，李世民由于早就器重他的胆识才能，非但没有怪罪于他，而且还把他任为谏官之职，并经常引入内廷，询问政事得失。魏征喜逢知己之主，竭诚辅佐，知无不言，言无不尽。</t>
    <phoneticPr fontId="8" type="noConversion"/>
  </si>
  <si>
    <t>魏征</t>
    <phoneticPr fontId="8" type="noConversion"/>
  </si>
  <si>
    <t>狄仁杰</t>
    <phoneticPr fontId="8" type="noConversion"/>
  </si>
  <si>
    <t>武则天时期宰相，杰出的政治家。狄仁杰为官，如老子所言"圣人无常心，以百姓心为心"，为了拯救无辜，敢于拂逆君主之意，始终保持体恤百姓、不畏权势的本色，始终是居庙堂之上，以民为忧，后人称之为"唐室砥柱"。</t>
    <phoneticPr fontId="8" type="noConversion"/>
  </si>
  <si>
    <t>李靖</t>
    <phoneticPr fontId="8" type="noConversion"/>
  </si>
  <si>
    <t>唐初杰出的军事家将领、军事理论家、民族英雄。</t>
    <phoneticPr fontId="8" type="noConversion"/>
  </si>
  <si>
    <t>李建成</t>
    <phoneticPr fontId="8" type="noConversion"/>
  </si>
  <si>
    <t>唐高祖李渊长子。长期在京辅佐李渊确立唐初大政。</t>
    <phoneticPr fontId="8" type="noConversion"/>
  </si>
  <si>
    <t>平阳公主</t>
    <phoneticPr fontId="8" type="noConversion"/>
  </si>
  <si>
    <t>唐高祖李渊的第三个女儿，也是李渊嫡妻窦氏（窦皇后）的爱女。她是一个真正的巾帼英雄，才识胆略丝毫不逊色于她的兄弟们。</t>
    <phoneticPr fontId="8" type="noConversion"/>
  </si>
  <si>
    <t>松赞干布的父亲囊日论赞，是一位很有作为的赞普。受父亲的影响，少年时代的松赞干布就已显现出非凡的才能。父亲被仇人毒害而死后，13岁的他即赞普位。即位后，他一面缉查凶手，一面训练军队，很快平息各地的叛乱，统一各部，定都逻些（今拉萨），建立了吐蕃奴隶制政权。之后，又先后降服周围的苏毗、多弥、白兰、党项、羊同等部，势力日益强盛。</t>
    <phoneticPr fontId="8" type="noConversion"/>
  </si>
  <si>
    <t>松赞干布</t>
    <phoneticPr fontId="8" type="noConversion"/>
  </si>
  <si>
    <t>长孙无忌</t>
    <phoneticPr fontId="8" type="noConversion"/>
  </si>
  <si>
    <t>是唐太宗李世民的内兄，文德顺圣皇后的哥哥。长孙无忌非常好学，“该博文史”。隋朝义宁元年（617年），李渊起兵太原。无忌进见，渊爱其才略，授任渭北行军典签。自此辅佐李世民，建立了唐朝政权，是唐朝的开国功臣，以功第一，封齐国公，后徙赵国公。武德九年(626年)，参与发动玄武门之变，帮助李世民夺取帝位。</t>
    <phoneticPr fontId="8" type="noConversion"/>
  </si>
  <si>
    <t>唐三藏</t>
    <phoneticPr fontId="8" type="noConversion"/>
  </si>
  <si>
    <t>文成公主</t>
    <phoneticPr fontId="8" type="noConversion"/>
  </si>
  <si>
    <t>慕容顺之子。父死，年幼嗣位。大臣争权，国中大乱。唐太宗遣军援之，封为河源郡王，授乌地也拔勒豆可汗。</t>
    <phoneticPr fontId="8" type="noConversion"/>
  </si>
  <si>
    <t>裴炎</t>
    <phoneticPr fontId="8" type="noConversion"/>
  </si>
  <si>
    <t>来俊臣</t>
    <phoneticPr fontId="8" type="noConversion"/>
  </si>
  <si>
    <t>唐朝武则天时酷吏。</t>
    <phoneticPr fontId="8" type="noConversion"/>
  </si>
  <si>
    <t>太平公主</t>
    <phoneticPr fontId="8" type="noConversion"/>
  </si>
  <si>
    <t>太平公主是我国历史上赫赫有名的人物，她不仅仅因为是中国历史上第一个女皇武则天的女儿，而且几乎真的成了“武则天第二”。</t>
    <phoneticPr fontId="8" type="noConversion"/>
  </si>
  <si>
    <t>唐中叶名将。营州柳城(今辽宁朝阳)人。父楷洛，本契丹酋长，于武则天时附唐。光弼少善骑射，历任朔方(今宁夏灵武西北)、河西(今甘肃武威)将校。</t>
    <phoneticPr fontId="8" type="noConversion"/>
  </si>
  <si>
    <t>李光弼</t>
    <phoneticPr fontId="8" type="noConversion"/>
  </si>
  <si>
    <t>保义可汗</t>
    <phoneticPr fontId="8" type="noConversion"/>
  </si>
  <si>
    <t>唐册封为保义可汗，次年，改回纥为回鹘。助唐击吐蕃，收复凉州、北庭、龟兹等地。又西征至中亚拔贺那国，扩张领土。后为吐蕃击败。曾遣使长安请婚，不果而卒。</t>
    <phoneticPr fontId="8" type="noConversion"/>
  </si>
  <si>
    <t>庞勋</t>
    <phoneticPr fontId="8" type="noConversion"/>
  </si>
  <si>
    <t>唐末桂林戍卒起义军领袖。初在戍守桂林的徐州，泗州军中任粮料官。公元863年，唐曾在徐州、泗州募兵二千戍守交趾，其中抽出八百人戍守桂林（广西桂林）。</t>
    <phoneticPr fontId="8" type="noConversion"/>
  </si>
  <si>
    <t>程咬金</t>
    <phoneticPr fontId="8" type="noConversion"/>
  </si>
  <si>
    <t>原名咬金，后更名知节。汉族，济州东阿斑鸠店人（今属山东省东平县）。唐朝开国名将，封卢国公，位列凌烟阁二十四功臣。</t>
    <phoneticPr fontId="8" type="noConversion"/>
  </si>
  <si>
    <t>秦叔宝</t>
    <phoneticPr fontId="8" type="noConversion"/>
  </si>
  <si>
    <t>殷开山</t>
    <phoneticPr fontId="8" type="noConversion"/>
  </si>
  <si>
    <t>唐凌烟阁二十四功臣之一。父殷僧首为隋朝秘书丞，隋末为大谷长。</t>
    <phoneticPr fontId="8" type="noConversion"/>
  </si>
  <si>
    <t>房玄龄</t>
    <phoneticPr fontId="8" type="noConversion"/>
  </si>
  <si>
    <t>汉族，齐州临淄人（今山东省济南市章丘市相公庄镇），是中国唐朝时的开国宰相，杰出谋臣，大唐“贞观之治”的主要缔造者之一。</t>
    <phoneticPr fontId="8" type="noConversion"/>
  </si>
  <si>
    <t xml:space="preserve">薛仁贵 </t>
  </si>
  <si>
    <t xml:space="preserve">程名振  </t>
  </si>
  <si>
    <t>杨素</t>
  </si>
  <si>
    <t xml:space="preserve">苏定方  </t>
  </si>
  <si>
    <t>薛讷</t>
  </si>
  <si>
    <t xml:space="preserve">尉迟恭  </t>
  </si>
  <si>
    <t xml:space="preserve">罗艺  </t>
  </si>
  <si>
    <t xml:space="preserve">高仙之  </t>
  </si>
  <si>
    <t xml:space="preserve">李绩  </t>
  </si>
  <si>
    <t xml:space="preserve">黄巢 </t>
  </si>
  <si>
    <t>李道宗</t>
  </si>
  <si>
    <t>韩擒虎</t>
  </si>
  <si>
    <t>契苾何力</t>
    <phoneticPr fontId="8" type="noConversion"/>
  </si>
  <si>
    <t>宋万</t>
  </si>
  <si>
    <t>杜迁</t>
  </si>
  <si>
    <t>朱贵</t>
  </si>
  <si>
    <t>林冲</t>
  </si>
  <si>
    <t>吴用</t>
  </si>
  <si>
    <t>公孙胜</t>
  </si>
  <si>
    <t>阮小二</t>
  </si>
  <si>
    <t>阮小五</t>
  </si>
  <si>
    <t>阮小七</t>
  </si>
  <si>
    <t>白胜</t>
  </si>
  <si>
    <t>秦明</t>
  </si>
  <si>
    <t>花荣</t>
  </si>
  <si>
    <t>燕青</t>
  </si>
  <si>
    <t>王英</t>
  </si>
  <si>
    <t>石勇</t>
  </si>
  <si>
    <t>戴宗</t>
  </si>
  <si>
    <t>李逵</t>
  </si>
  <si>
    <t>李俊</t>
  </si>
  <si>
    <t>张顺</t>
  </si>
  <si>
    <t>萧让</t>
  </si>
  <si>
    <t>欧鹏</t>
  </si>
  <si>
    <t>李应</t>
  </si>
  <si>
    <t>石秀</t>
  </si>
  <si>
    <t>解宝</t>
  </si>
  <si>
    <t>顾大嫂</t>
  </si>
  <si>
    <t>时迁</t>
  </si>
  <si>
    <t>柴进</t>
  </si>
  <si>
    <t>朱仝</t>
  </si>
  <si>
    <t>呼延灼</t>
  </si>
  <si>
    <t>鲁智深</t>
  </si>
  <si>
    <t>杨志</t>
  </si>
  <si>
    <t>徐宁</t>
  </si>
  <si>
    <t>史进</t>
  </si>
  <si>
    <t>朱武</t>
  </si>
  <si>
    <t>周通</t>
  </si>
  <si>
    <t>张青</t>
  </si>
  <si>
    <t>孙二娘</t>
  </si>
  <si>
    <t>卢俊义</t>
  </si>
  <si>
    <t>索超</t>
  </si>
  <si>
    <t>蔡福</t>
  </si>
  <si>
    <t>董平</t>
  </si>
  <si>
    <t>张清</t>
  </si>
  <si>
    <t>云里金刚</t>
  </si>
  <si>
    <t>摸着天</t>
  </si>
  <si>
    <t>旱地忽律</t>
  </si>
  <si>
    <t>豹子头</t>
  </si>
  <si>
    <t>智多星</t>
  </si>
  <si>
    <t>入云龙</t>
  </si>
  <si>
    <t>立地太岁</t>
  </si>
  <si>
    <t>短命二郎</t>
  </si>
  <si>
    <t>活阎罗</t>
  </si>
  <si>
    <t>白日鼠</t>
  </si>
  <si>
    <t>霹雳火</t>
  </si>
  <si>
    <t>小李广</t>
  </si>
  <si>
    <t>浪子</t>
  </si>
  <si>
    <t>矮脚虎</t>
  </si>
  <si>
    <t>石将军</t>
  </si>
  <si>
    <t>呼保义</t>
  </si>
  <si>
    <t>神行太保</t>
  </si>
  <si>
    <t>黑旋风</t>
  </si>
  <si>
    <t>混江龙</t>
  </si>
  <si>
    <t>浪里白条</t>
  </si>
  <si>
    <t>圣手书生</t>
  </si>
  <si>
    <t>摩云金翅</t>
  </si>
  <si>
    <t>扑天雕</t>
  </si>
  <si>
    <t>病关索</t>
  </si>
  <si>
    <t>拼命三郎</t>
  </si>
  <si>
    <t>两头蛇</t>
  </si>
  <si>
    <t>双尾蝎</t>
  </si>
  <si>
    <t>一丈青</t>
  </si>
  <si>
    <t>母大虫</t>
  </si>
  <si>
    <t>鼓上蚤</t>
  </si>
  <si>
    <t>小旋风</t>
  </si>
  <si>
    <t>美髯公</t>
  </si>
  <si>
    <t>双鞭</t>
  </si>
  <si>
    <t>花和尚</t>
  </si>
  <si>
    <t>行者</t>
  </si>
  <si>
    <t>青面兽</t>
  </si>
  <si>
    <t>金枪手</t>
  </si>
  <si>
    <t>九纹龙</t>
  </si>
  <si>
    <t>神机军师</t>
  </si>
  <si>
    <t>小霸王</t>
  </si>
  <si>
    <t>菜园子</t>
  </si>
  <si>
    <t>母夜叉</t>
  </si>
  <si>
    <t>玉麒麟</t>
  </si>
  <si>
    <t>大刀</t>
  </si>
  <si>
    <t>急先锋</t>
  </si>
  <si>
    <t>铁臂膊</t>
  </si>
  <si>
    <t>一枝花</t>
  </si>
  <si>
    <t>没面目</t>
  </si>
  <si>
    <t>双枪将</t>
  </si>
  <si>
    <t>没羽箭</t>
  </si>
  <si>
    <t>轰天雷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</si>
</sst>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0.00_ "/>
    <numFmt numFmtId="178" formatCode="#,##0_);[Red]\(#,##0\)"/>
  </numFmts>
  <fonts count="9">
    <font>
      <sz val="11"/>
      <color indexed="8"/>
      <name val="宋体"/>
      <family val="2"/>
      <charset val="134"/>
    </font>
    <font>
      <sz val="11"/>
      <name val="宋体"/>
      <family val="2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47"/>
      <name val="宋体"/>
      <family val="2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10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10" fontId="0" fillId="0" borderId="0" xfId="0" applyNumberFormat="1" applyFill="1">
      <alignment vertical="center"/>
    </xf>
    <xf numFmtId="0" fontId="0" fillId="5" borderId="0" xfId="0" applyFill="1">
      <alignment vertical="center"/>
    </xf>
    <xf numFmtId="0" fontId="1" fillId="6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176" fontId="0" fillId="0" borderId="0" xfId="0" applyNumberFormat="1">
      <alignment vertical="center"/>
    </xf>
    <xf numFmtId="0" fontId="2" fillId="8" borderId="0" xfId="0" applyFont="1" applyFill="1">
      <alignment vertical="center"/>
    </xf>
    <xf numFmtId="0" fontId="0" fillId="0" borderId="0" xfId="0" applyFill="1">
      <alignment vertical="center"/>
    </xf>
    <xf numFmtId="0" fontId="3" fillId="7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7" borderId="0" xfId="0" applyFont="1" applyFill="1" applyAlignment="1">
      <alignment vertical="center" wrapText="1"/>
    </xf>
    <xf numFmtId="176" fontId="4" fillId="0" borderId="0" xfId="0" applyNumberFormat="1" applyFont="1" applyFill="1" applyAlignment="1">
      <alignment vertical="center" wrapText="1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2" fillId="8" borderId="0" xfId="0" applyFont="1" applyFill="1" applyAlignment="1">
      <alignment vertical="center" wrapText="1"/>
    </xf>
    <xf numFmtId="176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7" borderId="0" xfId="0" applyFill="1" applyAlignment="1">
      <alignment vertical="center" wrapText="1"/>
    </xf>
    <xf numFmtId="177" fontId="0" fillId="0" borderId="0" xfId="0" applyNumberFormat="1">
      <alignment vertical="center"/>
    </xf>
    <xf numFmtId="176" fontId="0" fillId="3" borderId="0" xfId="0" applyNumberFormat="1" applyFill="1" applyAlignment="1">
      <alignment vertical="center" wrapText="1"/>
    </xf>
    <xf numFmtId="177" fontId="0" fillId="3" borderId="0" xfId="0" applyNumberFormat="1" applyFill="1" applyAlignment="1">
      <alignment vertical="center" wrapText="1"/>
    </xf>
    <xf numFmtId="176" fontId="0" fillId="7" borderId="0" xfId="0" applyNumberFormat="1" applyFill="1">
      <alignment vertical="center"/>
    </xf>
    <xf numFmtId="176" fontId="0" fillId="0" borderId="0" xfId="0" applyNumberFormat="1" applyAlignment="1">
      <alignment vertical="center"/>
    </xf>
    <xf numFmtId="0" fontId="0" fillId="3" borderId="0" xfId="0" applyFill="1">
      <alignment vertical="center"/>
    </xf>
    <xf numFmtId="178" fontId="0" fillId="7" borderId="0" xfId="0" applyNumberFormat="1" applyFill="1">
      <alignment vertical="center"/>
    </xf>
    <xf numFmtId="10" fontId="0" fillId="0" borderId="0" xfId="0" applyNumberFormat="1" applyAlignment="1">
      <alignment vertical="center"/>
    </xf>
    <xf numFmtId="178" fontId="0" fillId="0" borderId="0" xfId="0" applyNumberFormat="1">
      <alignment vertical="center"/>
    </xf>
    <xf numFmtId="10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78" fontId="0" fillId="7" borderId="0" xfId="0" applyNumberFormat="1" applyFill="1" applyAlignment="1">
      <alignment vertical="center" wrapText="1"/>
    </xf>
    <xf numFmtId="178" fontId="0" fillId="3" borderId="0" xfId="0" applyNumberFormat="1" applyFill="1">
      <alignment vertical="center"/>
    </xf>
    <xf numFmtId="178" fontId="0" fillId="3" borderId="0" xfId="0" applyNumberFormat="1" applyFill="1" applyAlignment="1">
      <alignment vertical="center" wrapText="1"/>
    </xf>
    <xf numFmtId="9" fontId="0" fillId="3" borderId="0" xfId="0" applyNumberFormat="1" applyFill="1" applyAlignment="1">
      <alignment vertical="center" wrapText="1"/>
    </xf>
    <xf numFmtId="176" fontId="0" fillId="3" borderId="0" xfId="0" applyNumberFormat="1" applyFill="1">
      <alignment vertical="center"/>
    </xf>
    <xf numFmtId="10" fontId="0" fillId="3" borderId="0" xfId="0" applyNumberFormat="1" applyFill="1" applyAlignment="1">
      <alignment vertical="center" wrapText="1"/>
    </xf>
    <xf numFmtId="176" fontId="0" fillId="0" borderId="0" xfId="0" applyNumberFormat="1" applyFill="1">
      <alignment vertical="center"/>
    </xf>
    <xf numFmtId="9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176" fontId="0" fillId="0" borderId="0" xfId="0" applyNumberFormat="1" applyFill="1" applyAlignment="1">
      <alignment vertical="center" wrapText="1"/>
    </xf>
    <xf numFmtId="9" fontId="0" fillId="0" borderId="0" xfId="0" applyNumberFormat="1" applyFill="1" applyAlignment="1">
      <alignment vertical="center" wrapText="1"/>
    </xf>
    <xf numFmtId="178" fontId="0" fillId="0" borderId="0" xfId="0" applyNumberFormat="1" applyFill="1" applyAlignment="1">
      <alignment vertical="center" wrapText="1"/>
    </xf>
    <xf numFmtId="10" fontId="0" fillId="0" borderId="0" xfId="0" applyNumberFormat="1" applyFill="1" applyAlignment="1">
      <alignment vertical="center" wrapText="1"/>
    </xf>
    <xf numFmtId="0" fontId="0" fillId="11" borderId="0" xfId="0" applyFill="1">
      <alignment vertical="center"/>
    </xf>
    <xf numFmtId="0" fontId="1" fillId="11" borderId="0" xfId="0" applyFont="1" applyFill="1">
      <alignment vertical="center"/>
    </xf>
    <xf numFmtId="0" fontId="5" fillId="9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3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12" borderId="0" xfId="0" applyFill="1">
      <alignment vertical="center"/>
    </xf>
    <xf numFmtId="0" fontId="0" fillId="8" borderId="0" xfId="0" applyFill="1">
      <alignment vertical="center"/>
    </xf>
    <xf numFmtId="10" fontId="0" fillId="7" borderId="0" xfId="0" applyNumberFormat="1" applyFill="1">
      <alignment vertical="center"/>
    </xf>
    <xf numFmtId="0" fontId="5" fillId="9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0" fillId="3" borderId="0" xfId="0" applyNumberFormat="1" applyFill="1" applyAlignment="1">
      <alignment vertical="center" wrapText="1"/>
    </xf>
    <xf numFmtId="0" fontId="0" fillId="0" borderId="0" xfId="0" applyNumberFormat="1" applyFill="1" applyAlignment="1">
      <alignment vertical="center" wrapText="1"/>
    </xf>
    <xf numFmtId="0" fontId="5" fillId="11" borderId="0" xfId="0" applyFont="1" applyFill="1">
      <alignment vertical="center"/>
    </xf>
    <xf numFmtId="0" fontId="0" fillId="11" borderId="0" xfId="0" applyNumberFormat="1" applyFill="1">
      <alignment vertical="center"/>
    </xf>
    <xf numFmtId="0" fontId="6" fillId="11" borderId="0" xfId="0" applyFont="1" applyFill="1">
      <alignment vertical="center"/>
    </xf>
    <xf numFmtId="0" fontId="1" fillId="11" borderId="0" xfId="0" applyNumberFormat="1" applyFont="1" applyFill="1">
      <alignment vertical="center"/>
    </xf>
    <xf numFmtId="0" fontId="1" fillId="0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10" fontId="0" fillId="3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12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8" borderId="0" xfId="0" applyFont="1" applyFill="1">
      <alignment vertical="center"/>
    </xf>
    <xf numFmtId="10" fontId="0" fillId="7" borderId="0" xfId="0" applyNumberFormat="1" applyFill="1" applyAlignment="1">
      <alignment vertical="center" wrapText="1"/>
    </xf>
    <xf numFmtId="0" fontId="0" fillId="9" borderId="0" xfId="0" applyFill="1" applyAlignment="1">
      <alignment vertical="center" wrapText="1"/>
    </xf>
    <xf numFmtId="10" fontId="1" fillId="7" borderId="0" xfId="0" applyNumberFormat="1" applyFont="1" applyFill="1">
      <alignment vertical="center"/>
    </xf>
    <xf numFmtId="0" fontId="1" fillId="7" borderId="0" xfId="0" applyFont="1" applyFill="1">
      <alignment vertical="center"/>
    </xf>
    <xf numFmtId="0" fontId="1" fillId="9" borderId="0" xfId="0" applyFont="1" applyFill="1">
      <alignment vertical="center"/>
    </xf>
    <xf numFmtId="0" fontId="3" fillId="11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0" fontId="0" fillId="11" borderId="0" xfId="0" applyNumberFormat="1" applyFill="1">
      <alignment vertical="center"/>
    </xf>
    <xf numFmtId="0" fontId="0" fillId="1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0"/>
    <c:plotArea>
      <c:layout/>
      <c:lineChart>
        <c:grouping val="standard"/>
        <c:varyColors val="0"/>
        <c:ser>
          <c:idx val="0"/>
          <c:order val="0"/>
          <c:tx>
            <c:v>同等兵力</c:v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cat>
            <c:numRef>
              <c:f>兵攻防!$A$22:$A$29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numCache>
            </c:numRef>
          </c:cat>
          <c:val>
            <c:numRef>
              <c:f>兵攻防!$W$22:$W$29</c:f>
              <c:numCache>
                <c:formatCode>0.00%</c:formatCode>
                <c:ptCount val="8"/>
                <c:pt idx="0">
                  <c:v>0</c:v>
                </c:pt>
                <c:pt idx="1">
                  <c:v>0.04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3.5999999999999997E-2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3.5200000000000002E-2</c:v>
                </c:pt>
              </c:numCache>
            </c:numRef>
          </c:val>
          <c:smooth val="0"/>
        </c:ser>
        <c:ser>
          <c:idx val="1"/>
          <c:order val="1"/>
          <c:tx>
            <c:v>统帅士气+150~同等兵力~进攻</c:v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兵攻防!$A$22:$A$29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numCache>
            </c:numRef>
          </c:cat>
          <c:val>
            <c:numRef>
              <c:f>兵攻防!$AB$22:$AB$29</c:f>
              <c:numCache>
                <c:formatCode>0.00%</c:formatCode>
                <c:ptCount val="8"/>
                <c:pt idx="0">
                  <c:v>0</c:v>
                </c:pt>
                <c:pt idx="1">
                  <c:v>9.8000000000000004E-2</c:v>
                </c:pt>
                <c:pt idx="2">
                  <c:v>4.9000000000000002E-2</c:v>
                </c:pt>
                <c:pt idx="3">
                  <c:v>4.9000000000000002E-2</c:v>
                </c:pt>
                <c:pt idx="4">
                  <c:v>4.9000000000000002E-2</c:v>
                </c:pt>
                <c:pt idx="5">
                  <c:v>5.3900000000000003E-2</c:v>
                </c:pt>
                <c:pt idx="6">
                  <c:v>5.3900000000000003E-2</c:v>
                </c:pt>
                <c:pt idx="7">
                  <c:v>5.2900000000000003E-2</c:v>
                </c:pt>
              </c:numCache>
            </c:numRef>
          </c:val>
          <c:smooth val="0"/>
        </c:ser>
        <c:ser>
          <c:idx val="4"/>
          <c:order val="2"/>
          <c:tx>
            <c:v>统帅士气+150~同等兵力~防守</c:v>
          </c:tx>
          <c:spPr>
            <a:ln w="25400">
              <a:solidFill>
                <a:srgbClr val="4BACC6"/>
              </a:solidFill>
              <a:prstDash val="solid"/>
            </a:ln>
          </c:spPr>
          <c:marker>
            <c:symbol val="none"/>
          </c:marker>
          <c:cat>
            <c:numRef>
              <c:f>兵攻防!$A$22:$A$29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numCache>
            </c:numRef>
          </c:cat>
          <c:val>
            <c:numRef>
              <c:f>兵攻防!$AF$22:$AF$29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3.5000000000000001E-3</c:v>
                </c:pt>
                <c:pt idx="7">
                  <c:v>3.5999999999999999E-3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81536"/>
        <c:axId val="175683072"/>
      </c:lineChart>
      <c:catAx>
        <c:axId val="17568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756830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5683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756815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0"/>
    <c:plotArea>
      <c:layout/>
      <c:lineChart>
        <c:grouping val="standard"/>
        <c:varyColors val="0"/>
        <c:ser>
          <c:idx val="0"/>
          <c:order val="0"/>
          <c:tx>
            <c:v>5000兵力进攻</c:v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numRef>
              <c:f>兵攻防!$A$22:$A$29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numCache>
            </c:numRef>
          </c:cat>
          <c:val>
            <c:numRef>
              <c:f>兵攻防!$AI$22:$AI$29</c:f>
              <c:numCache>
                <c:formatCode>0.00%</c:formatCode>
                <c:ptCount val="8"/>
                <c:pt idx="0">
                  <c:v>0.98</c:v>
                </c:pt>
                <c:pt idx="1">
                  <c:v>0.19600000000000001</c:v>
                </c:pt>
                <c:pt idx="2">
                  <c:v>9.8000000000000004E-2</c:v>
                </c:pt>
                <c:pt idx="3">
                  <c:v>7.3499999999999996E-2</c:v>
                </c:pt>
                <c:pt idx="4">
                  <c:v>3.9199999999999999E-2</c:v>
                </c:pt>
                <c:pt idx="5">
                  <c:v>2.4500000000000001E-2</c:v>
                </c:pt>
                <c:pt idx="6">
                  <c:v>2.2100000000000002E-2</c:v>
                </c:pt>
                <c:pt idx="7">
                  <c:v>1.9599999999999999E-2</c:v>
                </c:pt>
              </c:numCache>
            </c:numRef>
          </c:val>
          <c:smooth val="0"/>
        </c:ser>
        <c:ser>
          <c:idx val="1"/>
          <c:order val="1"/>
          <c:tx>
            <c:v>5000兵力防守</c:v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cat>
            <c:numRef>
              <c:f>兵攻防!$A$22:$A$29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numCache>
            </c:numRef>
          </c:cat>
          <c:val>
            <c:numRef>
              <c:f>兵攻防!$AL$22:$AL$29</c:f>
              <c:numCache>
                <c:formatCode>0.00%</c:formatCode>
                <c:ptCount val="8"/>
                <c:pt idx="0">
                  <c:v>3.9199999999999999E-2</c:v>
                </c:pt>
                <c:pt idx="1">
                  <c:v>4.9000000000000002E-2</c:v>
                </c:pt>
                <c:pt idx="2">
                  <c:v>4.9000000000000002E-2</c:v>
                </c:pt>
                <c:pt idx="3">
                  <c:v>5.8799999999999998E-2</c:v>
                </c:pt>
                <c:pt idx="4">
                  <c:v>7.8399999999999997E-2</c:v>
                </c:pt>
                <c:pt idx="5">
                  <c:v>0.1176</c:v>
                </c:pt>
                <c:pt idx="6">
                  <c:v>0.20580000000000001</c:v>
                </c:pt>
                <c:pt idx="7">
                  <c:v>0.441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40960"/>
        <c:axId val="176055424"/>
      </c:lineChart>
      <c:catAx>
        <c:axId val="17604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76055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6055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760409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兵消耗!$U$1</c:f>
              <c:strCache>
                <c:ptCount val="1"/>
                <c:pt idx="0">
                  <c:v>所有兵种占粮食比</c:v>
                </c:pt>
              </c:strCache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val>
            <c:numRef>
              <c:f>兵消耗!$U$2:$U$21</c:f>
              <c:numCache>
                <c:formatCode>0.00%</c:formatCode>
                <c:ptCount val="20"/>
                <c:pt idx="0">
                  <c:v>0.82699999999999996</c:v>
                </c:pt>
                <c:pt idx="1">
                  <c:v>0.88480000000000003</c:v>
                </c:pt>
                <c:pt idx="2">
                  <c:v>0.79879999999999995</c:v>
                </c:pt>
                <c:pt idx="3">
                  <c:v>0.78869999999999996</c:v>
                </c:pt>
                <c:pt idx="4">
                  <c:v>0.71830000000000005</c:v>
                </c:pt>
                <c:pt idx="5">
                  <c:v>0.92879999999999996</c:v>
                </c:pt>
                <c:pt idx="6">
                  <c:v>0.83299999999999996</c:v>
                </c:pt>
                <c:pt idx="7">
                  <c:v>0.52029999999999998</c:v>
                </c:pt>
                <c:pt idx="8">
                  <c:v>0.3266</c:v>
                </c:pt>
                <c:pt idx="9">
                  <c:v>0.26829999999999998</c:v>
                </c:pt>
                <c:pt idx="10">
                  <c:v>0.59430000000000005</c:v>
                </c:pt>
                <c:pt idx="11">
                  <c:v>0.78449999999999998</c:v>
                </c:pt>
                <c:pt idx="12">
                  <c:v>0.62250000000000005</c:v>
                </c:pt>
                <c:pt idx="13">
                  <c:v>0.46939999999999998</c:v>
                </c:pt>
                <c:pt idx="14">
                  <c:v>0.35880000000000001</c:v>
                </c:pt>
                <c:pt idx="15">
                  <c:v>0.27710000000000001</c:v>
                </c:pt>
                <c:pt idx="16">
                  <c:v>0.2172</c:v>
                </c:pt>
                <c:pt idx="17">
                  <c:v>0.1726</c:v>
                </c:pt>
                <c:pt idx="18">
                  <c:v>0.13900000000000001</c:v>
                </c:pt>
                <c:pt idx="19">
                  <c:v>0.1133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兵消耗!$V$1</c:f>
              <c:strCache>
                <c:ptCount val="1"/>
                <c:pt idx="0">
                  <c:v>所有兵种占木材比</c:v>
                </c:pt>
              </c:strCache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val>
            <c:numRef>
              <c:f>兵消耗!$V$2:$V$21</c:f>
              <c:numCache>
                <c:formatCode>0.00%</c:formatCode>
                <c:ptCount val="20"/>
                <c:pt idx="0">
                  <c:v>0.66259999999999997</c:v>
                </c:pt>
                <c:pt idx="1">
                  <c:v>0.77839999999999998</c:v>
                </c:pt>
                <c:pt idx="2">
                  <c:v>0.73750000000000004</c:v>
                </c:pt>
                <c:pt idx="3">
                  <c:v>0.75139999999999996</c:v>
                </c:pt>
                <c:pt idx="4">
                  <c:v>0.71760000000000002</c:v>
                </c:pt>
                <c:pt idx="5">
                  <c:v>0.92249999999999999</c:v>
                </c:pt>
                <c:pt idx="6">
                  <c:v>0.8266</c:v>
                </c:pt>
                <c:pt idx="7">
                  <c:v>0.51580000000000004</c:v>
                </c:pt>
                <c:pt idx="8">
                  <c:v>0.32369999999999999</c:v>
                </c:pt>
                <c:pt idx="9">
                  <c:v>0.26690000000000003</c:v>
                </c:pt>
                <c:pt idx="10">
                  <c:v>0.59599999999999997</c:v>
                </c:pt>
                <c:pt idx="11">
                  <c:v>0.78849999999999998</c:v>
                </c:pt>
                <c:pt idx="12">
                  <c:v>0.62560000000000004</c:v>
                </c:pt>
                <c:pt idx="13">
                  <c:v>0.47189999999999999</c:v>
                </c:pt>
                <c:pt idx="14">
                  <c:v>0.3609</c:v>
                </c:pt>
                <c:pt idx="15">
                  <c:v>0.27829999999999999</c:v>
                </c:pt>
                <c:pt idx="16">
                  <c:v>0.2185</c:v>
                </c:pt>
                <c:pt idx="17">
                  <c:v>0.1736</c:v>
                </c:pt>
                <c:pt idx="18">
                  <c:v>0.1399</c:v>
                </c:pt>
                <c:pt idx="19">
                  <c:v>0.1137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兵消耗!$W$1</c:f>
              <c:strCache>
                <c:ptCount val="1"/>
                <c:pt idx="0">
                  <c:v>所有兵种占铁矿比</c:v>
                </c:pt>
              </c:strCache>
            </c:strRef>
          </c:tx>
          <c:spPr>
            <a:ln w="25400">
              <a:solidFill>
                <a:srgbClr val="9BBB59"/>
              </a:solidFill>
              <a:prstDash val="solid"/>
            </a:ln>
          </c:spPr>
          <c:marker>
            <c:symbol val="none"/>
          </c:marker>
          <c:val>
            <c:numRef>
              <c:f>兵消耗!$W$2:$W$21</c:f>
              <c:numCache>
                <c:formatCode>0.00%</c:formatCode>
                <c:ptCount val="20"/>
                <c:pt idx="0">
                  <c:v>0.56259999999999999</c:v>
                </c:pt>
                <c:pt idx="1">
                  <c:v>0.60899999999999999</c:v>
                </c:pt>
                <c:pt idx="2">
                  <c:v>0.57440000000000002</c:v>
                </c:pt>
                <c:pt idx="3">
                  <c:v>0.61870000000000003</c:v>
                </c:pt>
                <c:pt idx="4">
                  <c:v>0.62960000000000005</c:v>
                </c:pt>
                <c:pt idx="5">
                  <c:v>0.87409999999999999</c:v>
                </c:pt>
                <c:pt idx="6">
                  <c:v>0.80149999999999999</c:v>
                </c:pt>
                <c:pt idx="7">
                  <c:v>0.50629999999999997</c:v>
                </c:pt>
                <c:pt idx="8">
                  <c:v>0.31869999999999998</c:v>
                </c:pt>
                <c:pt idx="9">
                  <c:v>0.26369999999999999</c:v>
                </c:pt>
                <c:pt idx="10">
                  <c:v>0.59309999999999996</c:v>
                </c:pt>
                <c:pt idx="11">
                  <c:v>0.78520000000000001</c:v>
                </c:pt>
                <c:pt idx="12">
                  <c:v>0.62329999999999997</c:v>
                </c:pt>
                <c:pt idx="13">
                  <c:v>0.47</c:v>
                </c:pt>
                <c:pt idx="14">
                  <c:v>0.3594</c:v>
                </c:pt>
                <c:pt idx="15">
                  <c:v>0.27750000000000002</c:v>
                </c:pt>
                <c:pt idx="16">
                  <c:v>0.2177</c:v>
                </c:pt>
                <c:pt idx="17">
                  <c:v>0.17280000000000001</c:v>
                </c:pt>
                <c:pt idx="18">
                  <c:v>0.13919999999999999</c:v>
                </c:pt>
                <c:pt idx="19">
                  <c:v>0.1133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12992"/>
        <c:axId val="176214784"/>
      </c:lineChart>
      <c:catAx>
        <c:axId val="176212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762147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6214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762129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66675</xdr:rowOff>
    </xdr:from>
    <xdr:to>
      <xdr:col>18</xdr:col>
      <xdr:colOff>381000</xdr:colOff>
      <xdr:row>19</xdr:row>
      <xdr:rowOff>66675</xdr:rowOff>
    </xdr:to>
    <xdr:graphicFrame macro="">
      <xdr:nvGraphicFramePr>
        <xdr:cNvPr id="2049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685800</xdr:colOff>
      <xdr:row>3</xdr:row>
      <xdr:rowOff>76200</xdr:rowOff>
    </xdr:from>
    <xdr:to>
      <xdr:col>24</xdr:col>
      <xdr:colOff>657225</xdr:colOff>
      <xdr:row>19</xdr:row>
      <xdr:rowOff>76200</xdr:rowOff>
    </xdr:to>
    <xdr:graphicFrame macro="">
      <xdr:nvGraphicFramePr>
        <xdr:cNvPr id="2050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257175</xdr:colOff>
      <xdr:row>22</xdr:row>
      <xdr:rowOff>85725</xdr:rowOff>
    </xdr:from>
    <xdr:to>
      <xdr:col>26</xdr:col>
      <xdr:colOff>676275</xdr:colOff>
      <xdr:row>38</xdr:row>
      <xdr:rowOff>85725</xdr:rowOff>
    </xdr:to>
    <xdr:graphicFrame macro="">
      <xdr:nvGraphicFramePr>
        <xdr:cNvPr id="6145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workbookViewId="0">
      <selection activeCell="B89" sqref="B89"/>
    </sheetView>
  </sheetViews>
  <sheetFormatPr defaultColWidth="9" defaultRowHeight="13.5"/>
  <cols>
    <col min="1" max="1" width="120.125" style="1" customWidth="1"/>
    <col min="2" max="2" width="11.25" customWidth="1"/>
  </cols>
  <sheetData>
    <row r="1" spans="1:2" s="13" customFormat="1"/>
    <row r="2" spans="1:2">
      <c r="A2" s="81"/>
    </row>
    <row r="3" spans="1:2">
      <c r="A3" s="81" t="s">
        <v>0</v>
      </c>
      <c r="B3" s="5">
        <v>0.95</v>
      </c>
    </row>
    <row r="4" spans="1:2">
      <c r="A4" s="81" t="s">
        <v>1</v>
      </c>
      <c r="B4" s="71">
        <v>4</v>
      </c>
    </row>
    <row r="5" spans="1:2">
      <c r="A5" s="81"/>
    </row>
    <row r="6" spans="1:2">
      <c r="A6" s="17" t="s">
        <v>2</v>
      </c>
    </row>
    <row r="7" spans="1:2" s="51" customFormat="1">
      <c r="A7" s="80" t="s">
        <v>3</v>
      </c>
    </row>
    <row r="8" spans="1:2">
      <c r="A8" s="82" t="s">
        <v>4</v>
      </c>
    </row>
    <row r="9" spans="1:2">
      <c r="A9" s="82" t="s">
        <v>5</v>
      </c>
    </row>
    <row r="11" spans="1:2">
      <c r="A11" s="81" t="s">
        <v>6</v>
      </c>
    </row>
    <row r="12" spans="1:2">
      <c r="A12" s="1" t="s">
        <v>7</v>
      </c>
    </row>
    <row r="13" spans="1:2">
      <c r="A13" s="82" t="s">
        <v>8</v>
      </c>
    </row>
    <row r="14" spans="1:2">
      <c r="A14" s="82" t="s">
        <v>9</v>
      </c>
      <c r="B14">
        <f>兵攻防!AM22</f>
        <v>0.5</v>
      </c>
    </row>
    <row r="15" spans="1:2">
      <c r="A15" s="82" t="s">
        <v>10</v>
      </c>
    </row>
    <row r="17" spans="1:2">
      <c r="A17" s="81" t="s">
        <v>11</v>
      </c>
    </row>
    <row r="18" spans="1:2">
      <c r="A18" s="1" t="s">
        <v>12</v>
      </c>
    </row>
    <row r="20" spans="1:2">
      <c r="A20" s="81" t="s">
        <v>13</v>
      </c>
    </row>
    <row r="21" spans="1:2">
      <c r="A21" s="1" t="s">
        <v>14</v>
      </c>
    </row>
    <row r="22" spans="1:2">
      <c r="A22" s="1" t="s">
        <v>15</v>
      </c>
    </row>
    <row r="23" spans="1:2">
      <c r="A23" s="1" t="s">
        <v>16</v>
      </c>
      <c r="B23">
        <f>B180</f>
        <v>150</v>
      </c>
    </row>
    <row r="25" spans="1:2">
      <c r="A25" s="81" t="s">
        <v>17</v>
      </c>
    </row>
    <row r="26" spans="1:2">
      <c r="A26" s="1" t="s">
        <v>18</v>
      </c>
    </row>
    <row r="27" spans="1:2">
      <c r="A27" s="1" t="s">
        <v>19</v>
      </c>
    </row>
    <row r="28" spans="1:2">
      <c r="A28" s="1" t="s">
        <v>20</v>
      </c>
      <c r="B28">
        <v>100</v>
      </c>
    </row>
    <row r="29" spans="1:2">
      <c r="A29" s="1" t="s">
        <v>21</v>
      </c>
      <c r="B29">
        <v>0</v>
      </c>
    </row>
    <row r="31" spans="1:2" s="51" customFormat="1">
      <c r="A31" s="80" t="s">
        <v>22</v>
      </c>
    </row>
    <row r="32" spans="1:2">
      <c r="A32" s="1" t="s">
        <v>23</v>
      </c>
    </row>
    <row r="34" spans="1:2">
      <c r="A34" s="81" t="s">
        <v>24</v>
      </c>
    </row>
    <row r="35" spans="1:2">
      <c r="A35" s="1" t="s">
        <v>25</v>
      </c>
    </row>
    <row r="36" spans="1:2">
      <c r="A36" s="1" t="s">
        <v>9</v>
      </c>
      <c r="B36">
        <f>兵攻防!AM22</f>
        <v>0.5</v>
      </c>
    </row>
    <row r="38" spans="1:2">
      <c r="A38" s="81" t="s">
        <v>26</v>
      </c>
    </row>
    <row r="39" spans="1:2">
      <c r="A39" s="1" t="s">
        <v>27</v>
      </c>
    </row>
    <row r="41" spans="1:2" s="51" customFormat="1">
      <c r="A41" s="80" t="s">
        <v>28</v>
      </c>
    </row>
    <row r="42" spans="1:2" ht="27">
      <c r="A42" s="1" t="s">
        <v>29</v>
      </c>
    </row>
    <row r="43" spans="1:2">
      <c r="A43" s="1" t="s">
        <v>30</v>
      </c>
      <c r="B43">
        <f>兵攻防!AN22</f>
        <v>0.15</v>
      </c>
    </row>
    <row r="44" spans="1:2">
      <c r="A44" s="1" t="s">
        <v>31</v>
      </c>
      <c r="B44">
        <f>兵攻防!AO22</f>
        <v>6000</v>
      </c>
    </row>
    <row r="45" spans="1:2">
      <c r="A45" s="1" t="s">
        <v>32</v>
      </c>
      <c r="B45">
        <f>兵攻防!AP22</f>
        <v>500</v>
      </c>
    </row>
    <row r="46" spans="1:2">
      <c r="A46" s="1" t="s">
        <v>33</v>
      </c>
      <c r="B46">
        <f>兵攻防!AQ22</f>
        <v>20000</v>
      </c>
    </row>
    <row r="48" spans="1:2">
      <c r="A48" s="81" t="s">
        <v>34</v>
      </c>
    </row>
    <row r="49" spans="1:5">
      <c r="A49" s="1" t="s">
        <v>35</v>
      </c>
    </row>
    <row r="50" spans="1:5">
      <c r="A50" s="1" t="s">
        <v>36</v>
      </c>
      <c r="B50">
        <v>5</v>
      </c>
    </row>
    <row r="51" spans="1:5">
      <c r="A51" s="1" t="s">
        <v>37</v>
      </c>
      <c r="B51">
        <f>ROUND(AVERAGEA(C51:E51),4)</f>
        <v>3.4260000000000002</v>
      </c>
      <c r="C51">
        <f>ROUND(AVERAGE(兵攻防!F53,兵攻防!F37,兵攻防!F45,兵攻防!F61,兵攻防!F69,兵攻防!F77,兵攻防!F85,兵攻防!F93,兵攻防!F101)/5000,4)</f>
        <v>3.7559</v>
      </c>
      <c r="D51">
        <f>ROUND(AVERAGE(兵攻防!F28,兵攻防!F36,兵攻防!F44,兵攻防!F52,兵攻防!F60,兵攻防!F68,兵攻防!F76,兵攻防!F84,兵攻防!F92,兵攻防!F100)/2000,4)</f>
        <v>3.3224999999999998</v>
      </c>
      <c r="E51">
        <f>ROUND(AVERAGE(兵攻防!F35,兵攻防!F43,兵攻防!F51,兵攻防!F59,兵攻防!F67,兵攻防!F75,兵攻防!F83,兵攻防!F91,兵攻防!F99)/1000,4)</f>
        <v>3.1997</v>
      </c>
    </row>
    <row r="52" spans="1:5">
      <c r="A52" s="1" t="s">
        <v>38</v>
      </c>
      <c r="B52" s="5">
        <v>0.3</v>
      </c>
    </row>
    <row r="53" spans="1:5">
      <c r="A53" s="1" t="s">
        <v>39</v>
      </c>
      <c r="B53">
        <v>5</v>
      </c>
    </row>
    <row r="55" spans="1:5" s="51" customFormat="1">
      <c r="A55" s="80" t="s">
        <v>40</v>
      </c>
    </row>
    <row r="56" spans="1:5">
      <c r="A56" s="82" t="s">
        <v>41</v>
      </c>
    </row>
    <row r="58" spans="1:5" s="51" customFormat="1">
      <c r="A58" s="80" t="s">
        <v>42</v>
      </c>
    </row>
    <row r="59" spans="1:5">
      <c r="A59" s="1" t="s">
        <v>43</v>
      </c>
    </row>
    <row r="60" spans="1:5">
      <c r="A60" s="1" t="s">
        <v>44</v>
      </c>
    </row>
    <row r="62" spans="1:5" s="51" customFormat="1">
      <c r="A62" s="80" t="s">
        <v>45</v>
      </c>
    </row>
    <row r="63" spans="1:5">
      <c r="A63" s="1" t="s">
        <v>46</v>
      </c>
    </row>
    <row r="65" spans="1:2" s="51" customFormat="1">
      <c r="A65" s="80" t="s">
        <v>47</v>
      </c>
    </row>
    <row r="66" spans="1:2">
      <c r="A66" s="1" t="s">
        <v>48</v>
      </c>
    </row>
    <row r="68" spans="1:2">
      <c r="A68" s="81" t="s">
        <v>49</v>
      </c>
    </row>
    <row r="69" spans="1:2">
      <c r="A69" s="1" t="s">
        <v>50</v>
      </c>
    </row>
    <row r="70" spans="1:2">
      <c r="A70" s="1" t="s">
        <v>51</v>
      </c>
      <c r="B70">
        <f>兵攻防!BG32</f>
        <v>300</v>
      </c>
    </row>
    <row r="71" spans="1:2">
      <c r="A71" s="1" t="s">
        <v>52</v>
      </c>
      <c r="B71">
        <f>兵攻防!BH32</f>
        <v>60000</v>
      </c>
    </row>
    <row r="72" spans="1:2">
      <c r="A72" s="1" t="s">
        <v>33</v>
      </c>
      <c r="B72">
        <f>兵攻防!AQ32</f>
        <v>20000</v>
      </c>
    </row>
    <row r="74" spans="1:2">
      <c r="A74" s="81" t="s">
        <v>53</v>
      </c>
    </row>
    <row r="75" spans="1:2" ht="27">
      <c r="A75" s="1" t="s">
        <v>54</v>
      </c>
    </row>
    <row r="76" spans="1:2">
      <c r="A76" s="1" t="s">
        <v>55</v>
      </c>
      <c r="B76">
        <f>兵攻防!BI32</f>
        <v>200</v>
      </c>
    </row>
    <row r="77" spans="1:2">
      <c r="A77" s="1" t="s">
        <v>56</v>
      </c>
      <c r="B77">
        <f>兵攻防!BJ32</f>
        <v>11500</v>
      </c>
    </row>
    <row r="79" spans="1:2">
      <c r="A79" s="81" t="s">
        <v>57</v>
      </c>
    </row>
    <row r="80" spans="1:2">
      <c r="A80" s="1" t="s">
        <v>58</v>
      </c>
    </row>
    <row r="81" spans="1:2">
      <c r="A81" s="1" t="s">
        <v>59</v>
      </c>
    </row>
    <row r="83" spans="1:2">
      <c r="A83" s="81" t="s">
        <v>60</v>
      </c>
      <c r="B83">
        <v>1.7</v>
      </c>
    </row>
    <row r="84" spans="1:2">
      <c r="A84" s="81" t="s">
        <v>61</v>
      </c>
      <c r="B84" s="5">
        <v>0.03</v>
      </c>
    </row>
    <row r="85" spans="1:2">
      <c r="A85" s="81" t="s">
        <v>62</v>
      </c>
      <c r="B85">
        <v>0.8</v>
      </c>
    </row>
    <row r="87" spans="1:2" s="51" customFormat="1">
      <c r="A87" s="80" t="s">
        <v>63</v>
      </c>
    </row>
    <row r="88" spans="1:2">
      <c r="A88" s="1" t="s">
        <v>64</v>
      </c>
      <c r="B88" s="5">
        <f>产出与消耗!Q4</f>
        <v>0.3</v>
      </c>
    </row>
    <row r="89" spans="1:2">
      <c r="A89" s="1" t="s">
        <v>65</v>
      </c>
      <c r="B89" s="5">
        <f>产出与消耗!S4</f>
        <v>0.35</v>
      </c>
    </row>
    <row r="90" spans="1:2">
      <c r="A90" s="1" t="s">
        <v>66</v>
      </c>
      <c r="B90" s="5">
        <f>产出与消耗!U4</f>
        <v>0.15</v>
      </c>
    </row>
    <row r="91" spans="1:2">
      <c r="A91" s="1" t="s">
        <v>67</v>
      </c>
      <c r="B91" s="5">
        <f>产出与消耗!W4</f>
        <v>0.2</v>
      </c>
    </row>
    <row r="92" spans="1:2">
      <c r="B92" s="5"/>
    </row>
    <row r="93" spans="1:2" s="51" customFormat="1">
      <c r="A93" s="80" t="s">
        <v>68</v>
      </c>
      <c r="B93" s="83"/>
    </row>
    <row r="94" spans="1:2">
      <c r="A94" s="1" t="s">
        <v>64</v>
      </c>
      <c r="B94" s="5">
        <f>产出与消耗!Q26</f>
        <v>0.4</v>
      </c>
    </row>
    <row r="95" spans="1:2">
      <c r="A95" s="1" t="s">
        <v>65</v>
      </c>
      <c r="B95" s="5">
        <v>0.15</v>
      </c>
    </row>
    <row r="96" spans="1:2">
      <c r="A96" s="1" t="s">
        <v>66</v>
      </c>
      <c r="B96" s="5">
        <v>0.1</v>
      </c>
    </row>
    <row r="97" spans="1:2">
      <c r="A97" s="1" t="s">
        <v>69</v>
      </c>
      <c r="B97" s="5">
        <f>产出与消耗!Y26</f>
        <v>0.2</v>
      </c>
    </row>
    <row r="98" spans="1:2">
      <c r="A98" s="1" t="s">
        <v>70</v>
      </c>
      <c r="B98" s="5">
        <f>产出与消耗!AA26</f>
        <v>0.15</v>
      </c>
    </row>
    <row r="99" spans="1:2">
      <c r="B99" s="5"/>
    </row>
    <row r="100" spans="1:2" s="51" customFormat="1">
      <c r="A100" s="80" t="s">
        <v>71</v>
      </c>
      <c r="B100" s="83"/>
    </row>
    <row r="101" spans="1:2">
      <c r="A101" s="1" t="s">
        <v>64</v>
      </c>
      <c r="B101" s="5">
        <f>产出与消耗!Q48</f>
        <v>0.25</v>
      </c>
    </row>
    <row r="102" spans="1:2">
      <c r="A102" s="1" t="s">
        <v>65</v>
      </c>
      <c r="B102" s="5">
        <f>产出与消耗!S48</f>
        <v>0.1</v>
      </c>
    </row>
    <row r="103" spans="1:2">
      <c r="A103" s="1" t="s">
        <v>66</v>
      </c>
      <c r="B103" s="5">
        <f>产出与消耗!U48</f>
        <v>0.1</v>
      </c>
    </row>
    <row r="104" spans="1:2">
      <c r="A104" s="1" t="s">
        <v>69</v>
      </c>
      <c r="B104" s="5">
        <f>产出与消耗!Y48</f>
        <v>0.4</v>
      </c>
    </row>
    <row r="105" spans="1:2">
      <c r="A105" s="1" t="s">
        <v>70</v>
      </c>
      <c r="B105" s="5">
        <f>产出与消耗!AA48</f>
        <v>0.15</v>
      </c>
    </row>
    <row r="107" spans="1:2" s="51" customFormat="1">
      <c r="A107" s="80" t="s">
        <v>72</v>
      </c>
      <c r="B107" s="83"/>
    </row>
    <row r="108" spans="1:2">
      <c r="A108" s="1" t="s">
        <v>69</v>
      </c>
      <c r="B108" s="5">
        <v>0.35</v>
      </c>
    </row>
    <row r="109" spans="1:2">
      <c r="A109" s="1" t="s">
        <v>73</v>
      </c>
      <c r="B109" s="5">
        <v>0.15</v>
      </c>
    </row>
    <row r="110" spans="1:2">
      <c r="A110" s="1" t="s">
        <v>74</v>
      </c>
      <c r="B110" s="5">
        <v>0.1</v>
      </c>
    </row>
    <row r="111" spans="1:2">
      <c r="A111" s="1" t="s">
        <v>75</v>
      </c>
      <c r="B111" s="5">
        <v>0.05</v>
      </c>
    </row>
    <row r="112" spans="1:2">
      <c r="A112" s="1" t="s">
        <v>76</v>
      </c>
      <c r="B112" s="5">
        <v>0.35</v>
      </c>
    </row>
    <row r="114" spans="1:2">
      <c r="A114" s="81" t="s">
        <v>77</v>
      </c>
      <c r="B114" s="5">
        <v>0.65</v>
      </c>
    </row>
    <row r="116" spans="1:2">
      <c r="A116" s="81" t="s">
        <v>78</v>
      </c>
      <c r="B116" s="14">
        <f>兵消耗!G231</f>
        <v>1125000</v>
      </c>
    </row>
    <row r="117" spans="1:2">
      <c r="A117" s="81" t="s">
        <v>79</v>
      </c>
      <c r="B117" s="14">
        <f>ROUND(B116/B23,0)</f>
        <v>7500</v>
      </c>
    </row>
    <row r="119" spans="1:2" s="80" customFormat="1">
      <c r="A119" s="80" t="s">
        <v>80</v>
      </c>
    </row>
    <row r="120" spans="1:2">
      <c r="A120" s="1" t="s">
        <v>81</v>
      </c>
      <c r="B120" s="5">
        <v>0.1</v>
      </c>
    </row>
    <row r="121" spans="1:2">
      <c r="A121" s="1" t="s">
        <v>82</v>
      </c>
      <c r="B121" s="5">
        <v>0.09</v>
      </c>
    </row>
    <row r="122" spans="1:2">
      <c r="A122" s="1" t="s">
        <v>83</v>
      </c>
      <c r="B122" s="5">
        <v>0.06</v>
      </c>
    </row>
    <row r="123" spans="1:2">
      <c r="A123" s="1" t="s">
        <v>84</v>
      </c>
      <c r="B123" s="5">
        <v>0.06</v>
      </c>
    </row>
    <row r="124" spans="1:2">
      <c r="A124" s="1" t="s">
        <v>85</v>
      </c>
      <c r="B124" s="5">
        <v>0.08</v>
      </c>
    </row>
    <row r="125" spans="1:2">
      <c r="A125" s="1" t="s">
        <v>86</v>
      </c>
      <c r="B125" s="5">
        <v>0.08</v>
      </c>
    </row>
    <row r="126" spans="1:2">
      <c r="A126" s="1" t="s">
        <v>87</v>
      </c>
      <c r="B126" s="5">
        <v>0.05</v>
      </c>
    </row>
    <row r="127" spans="1:2">
      <c r="A127" s="1" t="s">
        <v>88</v>
      </c>
      <c r="B127" s="5">
        <v>0.04</v>
      </c>
    </row>
    <row r="128" spans="1:2">
      <c r="A128" s="1" t="s">
        <v>89</v>
      </c>
      <c r="B128" s="5">
        <v>0.04</v>
      </c>
    </row>
    <row r="129" spans="1:2">
      <c r="A129" s="1" t="s">
        <v>90</v>
      </c>
      <c r="B129" s="5">
        <v>0.04</v>
      </c>
    </row>
    <row r="130" spans="1:2">
      <c r="A130" s="1" t="s">
        <v>91</v>
      </c>
      <c r="B130" s="5">
        <v>7.0000000000000007E-2</v>
      </c>
    </row>
    <row r="131" spans="1:2">
      <c r="A131" s="1" t="s">
        <v>92</v>
      </c>
      <c r="B131" s="5">
        <v>0.03</v>
      </c>
    </row>
    <row r="132" spans="1:2">
      <c r="A132" s="1" t="s">
        <v>93</v>
      </c>
      <c r="B132" s="5">
        <v>3.5000000000000003E-2</v>
      </c>
    </row>
    <row r="133" spans="1:2">
      <c r="A133" s="1" t="s">
        <v>94</v>
      </c>
      <c r="B133" s="5">
        <v>0.04</v>
      </c>
    </row>
    <row r="134" spans="1:2">
      <c r="A134" s="1" t="s">
        <v>95</v>
      </c>
      <c r="B134" s="5">
        <v>0.04</v>
      </c>
    </row>
    <row r="135" spans="1:2">
      <c r="B135" s="5">
        <f>SUM(B120:B130)+2*SUM(B131:B134)</f>
        <v>1</v>
      </c>
    </row>
    <row r="136" spans="1:2">
      <c r="A136" s="1" t="s">
        <v>96</v>
      </c>
      <c r="B136" s="71">
        <f>COUNT(B120:B134)</f>
        <v>15</v>
      </c>
    </row>
    <row r="137" spans="1:2">
      <c r="B137" s="71"/>
    </row>
    <row r="138" spans="1:2" s="80" customFormat="1">
      <c r="A138" s="80" t="s">
        <v>97</v>
      </c>
    </row>
    <row r="139" spans="1:2">
      <c r="A139" s="1" t="s">
        <v>81</v>
      </c>
      <c r="B139" s="71">
        <v>1</v>
      </c>
    </row>
    <row r="140" spans="1:2">
      <c r="A140" s="1" t="s">
        <v>82</v>
      </c>
      <c r="B140" s="71">
        <v>1</v>
      </c>
    </row>
    <row r="141" spans="1:2">
      <c r="A141" s="1" t="s">
        <v>83</v>
      </c>
      <c r="B141" s="71">
        <v>1</v>
      </c>
    </row>
    <row r="142" spans="1:2">
      <c r="A142" s="1" t="s">
        <v>84</v>
      </c>
      <c r="B142" s="71">
        <v>1</v>
      </c>
    </row>
    <row r="143" spans="1:2">
      <c r="A143" s="1" t="s">
        <v>85</v>
      </c>
      <c r="B143" s="71">
        <v>1</v>
      </c>
    </row>
    <row r="144" spans="1:2">
      <c r="A144" s="1" t="s">
        <v>86</v>
      </c>
      <c r="B144" s="71">
        <v>1</v>
      </c>
    </row>
    <row r="145" spans="1:2">
      <c r="A145" s="1" t="s">
        <v>87</v>
      </c>
      <c r="B145" s="71">
        <v>1</v>
      </c>
    </row>
    <row r="146" spans="1:2">
      <c r="A146" s="1" t="s">
        <v>88</v>
      </c>
      <c r="B146" s="71">
        <v>1</v>
      </c>
    </row>
    <row r="147" spans="1:2">
      <c r="A147" s="1" t="s">
        <v>89</v>
      </c>
      <c r="B147" s="71">
        <v>1</v>
      </c>
    </row>
    <row r="148" spans="1:2">
      <c r="A148" s="1" t="s">
        <v>90</v>
      </c>
      <c r="B148" s="71">
        <v>1</v>
      </c>
    </row>
    <row r="149" spans="1:2">
      <c r="A149" s="1" t="s">
        <v>91</v>
      </c>
      <c r="B149" s="71">
        <v>1</v>
      </c>
    </row>
    <row r="150" spans="1:2">
      <c r="A150" s="1" t="s">
        <v>92</v>
      </c>
      <c r="B150" s="71">
        <v>2</v>
      </c>
    </row>
    <row r="151" spans="1:2">
      <c r="A151" s="1" t="s">
        <v>93</v>
      </c>
      <c r="B151" s="71">
        <v>2</v>
      </c>
    </row>
    <row r="152" spans="1:2">
      <c r="A152" s="1" t="s">
        <v>94</v>
      </c>
      <c r="B152" s="71">
        <v>2</v>
      </c>
    </row>
    <row r="153" spans="1:2">
      <c r="A153" s="1" t="s">
        <v>95</v>
      </c>
      <c r="B153" s="71">
        <v>2</v>
      </c>
    </row>
    <row r="154" spans="1:2">
      <c r="B154" s="71"/>
    </row>
    <row r="155" spans="1:2" s="80" customFormat="1">
      <c r="A155" s="80" t="s">
        <v>98</v>
      </c>
    </row>
    <row r="156" spans="1:2">
      <c r="A156" s="1" t="s">
        <v>99</v>
      </c>
    </row>
    <row r="157" spans="1:2">
      <c r="A157" s="1" t="s">
        <v>100</v>
      </c>
    </row>
    <row r="158" spans="1:2">
      <c r="A158" s="81" t="s">
        <v>101</v>
      </c>
      <c r="B158" s="71">
        <v>13</v>
      </c>
    </row>
    <row r="159" spans="1:2">
      <c r="B159" s="71"/>
    </row>
    <row r="160" spans="1:2">
      <c r="A160" s="1" t="s">
        <v>102</v>
      </c>
      <c r="B160" s="5">
        <v>0.5</v>
      </c>
    </row>
    <row r="161" spans="1:2">
      <c r="A161" s="1" t="s">
        <v>103</v>
      </c>
      <c r="B161" s="5">
        <v>0.5</v>
      </c>
    </row>
    <row r="162" spans="1:2">
      <c r="A162" s="1" t="s">
        <v>81</v>
      </c>
      <c r="B162" s="5">
        <v>0.05</v>
      </c>
    </row>
    <row r="163" spans="1:2">
      <c r="A163" s="1" t="s">
        <v>82</v>
      </c>
      <c r="B163" s="5">
        <v>0.02</v>
      </c>
    </row>
    <row r="164" spans="1:2">
      <c r="A164" s="1" t="s">
        <v>83</v>
      </c>
      <c r="B164" s="5">
        <v>3.5000000000000003E-2</v>
      </c>
    </row>
    <row r="165" spans="1:2">
      <c r="A165" s="1" t="s">
        <v>84</v>
      </c>
      <c r="B165" s="5">
        <v>0.04</v>
      </c>
    </row>
    <row r="166" spans="1:2">
      <c r="A166" s="1" t="s">
        <v>85</v>
      </c>
      <c r="B166" s="5">
        <v>7.4999999999999997E-2</v>
      </c>
    </row>
    <row r="167" spans="1:2">
      <c r="A167" s="1" t="s">
        <v>86</v>
      </c>
      <c r="B167" s="5">
        <v>0.05</v>
      </c>
    </row>
    <row r="168" spans="1:2">
      <c r="A168" s="1" t="s">
        <v>87</v>
      </c>
      <c r="B168" s="5">
        <v>0.05</v>
      </c>
    </row>
    <row r="169" spans="1:2">
      <c r="A169" s="1" t="s">
        <v>88</v>
      </c>
      <c r="B169" s="5">
        <v>3.5000000000000003E-2</v>
      </c>
    </row>
    <row r="170" spans="1:2">
      <c r="A170" s="1" t="s">
        <v>89</v>
      </c>
      <c r="B170" s="5">
        <v>0.05</v>
      </c>
    </row>
    <row r="171" spans="1:2">
      <c r="A171" s="1" t="s">
        <v>90</v>
      </c>
      <c r="B171" s="5">
        <v>1.4999999999999999E-2</v>
      </c>
    </row>
    <row r="172" spans="1:2">
      <c r="A172" s="1" t="s">
        <v>91</v>
      </c>
      <c r="B172" s="5">
        <v>0.02</v>
      </c>
    </row>
    <row r="173" spans="1:2">
      <c r="A173" s="1" t="s">
        <v>92</v>
      </c>
      <c r="B173" s="5">
        <v>7.4999999999999997E-2</v>
      </c>
    </row>
    <row r="174" spans="1:2">
      <c r="A174" s="1" t="s">
        <v>93</v>
      </c>
      <c r="B174" s="5">
        <v>8.5000000000000006E-2</v>
      </c>
    </row>
    <row r="175" spans="1:2">
      <c r="A175" s="1" t="s">
        <v>94</v>
      </c>
      <c r="B175" s="5">
        <v>0.1</v>
      </c>
    </row>
    <row r="176" spans="1:2">
      <c r="A176" s="1" t="s">
        <v>95</v>
      </c>
      <c r="B176" s="5">
        <v>0.02</v>
      </c>
    </row>
    <row r="177" spans="1:2">
      <c r="B177" s="5">
        <f>SUM(B162:B172)+2*SUM(B173:B176)</f>
        <v>1</v>
      </c>
    </row>
    <row r="178" spans="1:2">
      <c r="B178" s="71"/>
    </row>
    <row r="179" spans="1:2" s="80" customFormat="1">
      <c r="A179" s="80" t="s">
        <v>104</v>
      </c>
    </row>
    <row r="180" spans="1:2">
      <c r="A180" s="1" t="s">
        <v>105</v>
      </c>
      <c r="B180">
        <v>150</v>
      </c>
    </row>
    <row r="181" spans="1:2">
      <c r="A181" s="1" t="s">
        <v>106</v>
      </c>
      <c r="B181">
        <v>30</v>
      </c>
    </row>
    <row r="182" spans="1:2">
      <c r="A182" s="1" t="s">
        <v>107</v>
      </c>
      <c r="B182">
        <v>150</v>
      </c>
    </row>
    <row r="183" spans="1:2">
      <c r="A183" s="1" t="s">
        <v>108</v>
      </c>
      <c r="B183">
        <v>30</v>
      </c>
    </row>
    <row r="184" spans="1:2">
      <c r="A184" s="1" t="s">
        <v>109</v>
      </c>
      <c r="B184">
        <v>150</v>
      </c>
    </row>
    <row r="185" spans="1:2">
      <c r="A185" s="1" t="s">
        <v>110</v>
      </c>
      <c r="B185">
        <v>30</v>
      </c>
    </row>
    <row r="186" spans="1:2">
      <c r="A186" s="1" t="s">
        <v>111</v>
      </c>
      <c r="B186" s="5">
        <f>ROUND(100/B184/100,6)</f>
        <v>6.6670000000000002E-3</v>
      </c>
    </row>
    <row r="187" spans="1:2">
      <c r="A187" s="1" t="s">
        <v>112</v>
      </c>
      <c r="B187">
        <v>20</v>
      </c>
    </row>
  </sheetData>
  <phoneticPr fontId="8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opLeftCell="L1" workbookViewId="0">
      <selection activeCell="Y2" sqref="Y2"/>
    </sheetView>
  </sheetViews>
  <sheetFormatPr defaultColWidth="9" defaultRowHeight="13.5"/>
  <cols>
    <col min="1" max="1" width="9.125" customWidth="1"/>
    <col min="2" max="2" width="10.5" customWidth="1"/>
    <col min="5" max="5" width="9" style="2"/>
    <col min="6" max="6" width="10.875" customWidth="1"/>
    <col min="7" max="7" width="10.5" customWidth="1"/>
    <col min="9" max="9" width="9" style="2"/>
    <col min="12" max="12" width="9.625" customWidth="1"/>
    <col min="13" max="13" width="8.875" customWidth="1"/>
    <col min="14" max="15" width="10.75" customWidth="1"/>
    <col min="17" max="17" width="9" style="2"/>
    <col min="18" max="18" width="11.75" customWidth="1"/>
    <col min="24" max="24" width="9" style="2"/>
    <col min="26" max="26" width="9" style="2"/>
    <col min="27" max="27" width="11.25" customWidth="1"/>
    <col min="28" max="31" width="11.5" customWidth="1"/>
  </cols>
  <sheetData>
    <row r="1" spans="1:31" s="1" customFormat="1" ht="27">
      <c r="A1" s="1" t="s">
        <v>389</v>
      </c>
      <c r="B1" s="1" t="s">
        <v>390</v>
      </c>
      <c r="C1" s="1" t="s">
        <v>391</v>
      </c>
      <c r="E1" s="3"/>
      <c r="F1" s="1" t="s">
        <v>392</v>
      </c>
      <c r="G1" s="1" t="s">
        <v>393</v>
      </c>
      <c r="H1" s="1" t="s">
        <v>391</v>
      </c>
      <c r="I1" s="3"/>
      <c r="J1" s="1" t="s">
        <v>394</v>
      </c>
      <c r="K1" s="1" t="s">
        <v>395</v>
      </c>
      <c r="L1" s="1" t="s">
        <v>396</v>
      </c>
      <c r="M1" s="1" t="s">
        <v>397</v>
      </c>
      <c r="N1" s="1" t="s">
        <v>398</v>
      </c>
      <c r="O1" s="1" t="s">
        <v>392</v>
      </c>
      <c r="P1" s="1" t="s">
        <v>399</v>
      </c>
      <c r="Q1" s="3"/>
      <c r="R1" s="1" t="s">
        <v>400</v>
      </c>
      <c r="S1" s="1" t="s">
        <v>264</v>
      </c>
      <c r="T1" s="1" t="s">
        <v>267</v>
      </c>
      <c r="U1" s="1" t="s">
        <v>270</v>
      </c>
      <c r="V1" s="1" t="s">
        <v>212</v>
      </c>
      <c r="W1" s="1" t="s">
        <v>401</v>
      </c>
      <c r="X1" s="3"/>
      <c r="Y1" s="1" t="s">
        <v>402</v>
      </c>
      <c r="Z1" s="3"/>
      <c r="AA1" s="1" t="s">
        <v>403</v>
      </c>
      <c r="AB1" s="1" t="s">
        <v>404</v>
      </c>
      <c r="AC1" s="1" t="s">
        <v>405</v>
      </c>
      <c r="AD1" s="1" t="s">
        <v>406</v>
      </c>
      <c r="AE1" s="1" t="s">
        <v>407</v>
      </c>
    </row>
    <row r="2" spans="1:31">
      <c r="A2">
        <v>1</v>
      </c>
      <c r="B2">
        <v>0.7</v>
      </c>
      <c r="C2" t="s">
        <v>408</v>
      </c>
      <c r="F2" s="1">
        <v>0</v>
      </c>
      <c r="G2" s="1">
        <v>0.7</v>
      </c>
      <c r="H2" t="s">
        <v>409</v>
      </c>
      <c r="J2">
        <v>1</v>
      </c>
      <c r="K2" s="5">
        <v>0.05</v>
      </c>
      <c r="L2">
        <v>1</v>
      </c>
      <c r="M2">
        <f t="shared" ref="M2" si="0">ROUND(PI()*L2*L2,2)</f>
        <v>3.14</v>
      </c>
      <c r="N2" s="5">
        <f>POWER(M2*N3/M3,基本公式!$B$85)</f>
        <v>8.5441201097983505E-2</v>
      </c>
      <c r="O2">
        <v>100</v>
      </c>
      <c r="P2" s="5">
        <v>0</v>
      </c>
      <c r="R2">
        <v>1</v>
      </c>
      <c r="S2">
        <v>4000</v>
      </c>
      <c r="T2">
        <v>5000</v>
      </c>
      <c r="U2">
        <v>4000</v>
      </c>
      <c r="W2">
        <v>1000</v>
      </c>
      <c r="Y2">
        <v>1</v>
      </c>
      <c r="AA2" s="5">
        <v>0.6</v>
      </c>
      <c r="AB2" s="5">
        <v>0.3</v>
      </c>
      <c r="AC2" s="5">
        <v>6.8000000000000005E-2</v>
      </c>
      <c r="AD2" s="5">
        <v>0.03</v>
      </c>
      <c r="AE2" s="5">
        <v>2E-3</v>
      </c>
    </row>
    <row r="3" spans="1:31">
      <c r="A3">
        <v>2</v>
      </c>
      <c r="B3">
        <v>1.1000000000000001</v>
      </c>
      <c r="F3">
        <v>100</v>
      </c>
      <c r="G3">
        <v>1</v>
      </c>
      <c r="J3">
        <v>2</v>
      </c>
      <c r="K3" s="5">
        <f>K2+0.05</f>
        <v>0.1</v>
      </c>
      <c r="L3">
        <v>2</v>
      </c>
      <c r="M3">
        <f t="shared" ref="M3:M11" si="1">ROUND(PI()*L3*L3,2)</f>
        <v>12.57</v>
      </c>
      <c r="N3" s="5">
        <f>POWER(M3*N4/M4,基本公式!$B$85)</f>
        <v>0.184922523241594</v>
      </c>
      <c r="O3">
        <v>200</v>
      </c>
      <c r="P3" s="5">
        <v>0.01</v>
      </c>
      <c r="R3">
        <v>2</v>
      </c>
      <c r="S3">
        <v>7000</v>
      </c>
      <c r="T3">
        <v>8000</v>
      </c>
      <c r="U3">
        <v>7000</v>
      </c>
      <c r="W3">
        <v>1000</v>
      </c>
      <c r="Y3">
        <v>1</v>
      </c>
      <c r="Z3" s="2" t="s">
        <v>410</v>
      </c>
    </row>
    <row r="4" spans="1:31">
      <c r="A4">
        <v>3</v>
      </c>
      <c r="B4">
        <v>1.25</v>
      </c>
      <c r="C4" t="s">
        <v>411</v>
      </c>
      <c r="F4">
        <v>200</v>
      </c>
      <c r="G4">
        <f>G3+0.05</f>
        <v>1.05</v>
      </c>
      <c r="J4">
        <v>3</v>
      </c>
      <c r="K4" s="5">
        <f>K3+0.05</f>
        <v>0.15</v>
      </c>
      <c r="L4">
        <v>3</v>
      </c>
      <c r="M4">
        <f t="shared" si="1"/>
        <v>28.27</v>
      </c>
      <c r="N4" s="5">
        <f>POWER(M4*N5/M5,基本公式!$B$85)</f>
        <v>0.27272678579906701</v>
      </c>
      <c r="O4">
        <v>300</v>
      </c>
      <c r="P4" s="5">
        <v>0.03</v>
      </c>
      <c r="R4">
        <v>3</v>
      </c>
      <c r="S4">
        <v>10000</v>
      </c>
      <c r="T4">
        <v>11000</v>
      </c>
      <c r="U4">
        <v>10000</v>
      </c>
      <c r="W4">
        <v>1000</v>
      </c>
      <c r="Y4">
        <v>2</v>
      </c>
    </row>
    <row r="5" spans="1:31">
      <c r="A5">
        <v>4</v>
      </c>
      <c r="B5">
        <v>1.3</v>
      </c>
      <c r="C5" t="s">
        <v>412</v>
      </c>
      <c r="F5">
        <v>300</v>
      </c>
      <c r="G5">
        <f t="shared" ref="G5" si="2">G4+0.05</f>
        <v>1.1000000000000001</v>
      </c>
      <c r="J5">
        <v>4</v>
      </c>
      <c r="K5" s="5">
        <f t="shared" ref="K5" si="3">K4+0.06</f>
        <v>0.21</v>
      </c>
      <c r="L5">
        <v>4</v>
      </c>
      <c r="M5">
        <f t="shared" si="1"/>
        <v>50.27</v>
      </c>
      <c r="N5" s="5">
        <f>POWER(M5*N6/M6,基本公式!$B$85)</f>
        <v>0.35046352066235698</v>
      </c>
      <c r="O5">
        <v>400</v>
      </c>
      <c r="P5" s="5">
        <f>P4+0.03</f>
        <v>0.06</v>
      </c>
      <c r="R5">
        <v>4</v>
      </c>
      <c r="S5">
        <v>12000</v>
      </c>
      <c r="T5">
        <v>13000</v>
      </c>
      <c r="U5">
        <v>12000</v>
      </c>
      <c r="W5">
        <v>1000</v>
      </c>
      <c r="Y5">
        <v>3</v>
      </c>
    </row>
    <row r="6" spans="1:31">
      <c r="A6">
        <v>5</v>
      </c>
      <c r="B6">
        <v>1.35</v>
      </c>
      <c r="F6">
        <v>400</v>
      </c>
      <c r="G6">
        <f t="shared" ref="G6:G12" si="4">G5+0.05</f>
        <v>1.1499999999999999</v>
      </c>
      <c r="J6">
        <v>5</v>
      </c>
      <c r="K6" s="5">
        <f>K5+0.06</f>
        <v>0.27</v>
      </c>
      <c r="L6">
        <v>5</v>
      </c>
      <c r="M6">
        <f t="shared" si="1"/>
        <v>78.540000000000006</v>
      </c>
      <c r="N6" s="5">
        <f>POWER(M6*N7/M7,基本公式!$B$85)</f>
        <v>0.421294254156999</v>
      </c>
      <c r="O6">
        <v>500</v>
      </c>
      <c r="P6" s="5">
        <f>P5+0.03</f>
        <v>0.09</v>
      </c>
      <c r="R6">
        <v>5</v>
      </c>
      <c r="S6">
        <v>12000</v>
      </c>
      <c r="T6">
        <v>12000</v>
      </c>
      <c r="U6">
        <v>12000</v>
      </c>
      <c r="W6">
        <v>1000</v>
      </c>
      <c r="Y6">
        <v>4</v>
      </c>
    </row>
    <row r="7" spans="1:31">
      <c r="A7">
        <v>6</v>
      </c>
      <c r="B7">
        <v>1.4</v>
      </c>
      <c r="F7">
        <v>500</v>
      </c>
      <c r="G7">
        <f t="shared" si="4"/>
        <v>1.2</v>
      </c>
      <c r="J7">
        <v>6</v>
      </c>
      <c r="K7" s="5">
        <f>K6+0.06</f>
        <v>0.33</v>
      </c>
      <c r="L7">
        <v>6</v>
      </c>
      <c r="M7">
        <f t="shared" si="1"/>
        <v>113.1</v>
      </c>
      <c r="N7" s="5">
        <f>POWER(M7*N8/M8,基本公式!$B$85)</f>
        <v>0.48876897173039302</v>
      </c>
      <c r="O7">
        <v>600</v>
      </c>
      <c r="P7" s="5">
        <f t="shared" ref="P7" si="5">P6+0.03</f>
        <v>0.12</v>
      </c>
      <c r="R7">
        <v>6</v>
      </c>
      <c r="S7">
        <v>25000</v>
      </c>
      <c r="T7">
        <v>25000</v>
      </c>
      <c r="U7">
        <v>20000</v>
      </c>
      <c r="W7">
        <v>1000</v>
      </c>
      <c r="Y7">
        <v>5</v>
      </c>
    </row>
    <row r="8" spans="1:31">
      <c r="A8">
        <v>7</v>
      </c>
      <c r="B8">
        <v>1.45</v>
      </c>
      <c r="F8">
        <v>600</v>
      </c>
      <c r="G8">
        <f t="shared" si="4"/>
        <v>1.25</v>
      </c>
      <c r="J8">
        <v>7</v>
      </c>
      <c r="K8" s="5">
        <f>K7+0.07</f>
        <v>0.4</v>
      </c>
      <c r="L8">
        <v>7</v>
      </c>
      <c r="M8">
        <f t="shared" si="1"/>
        <v>153.94</v>
      </c>
      <c r="N8" s="5">
        <f>POWER(M8*N9/M9,基本公式!$B$85)</f>
        <v>0.55624793575478904</v>
      </c>
      <c r="O8">
        <v>700</v>
      </c>
      <c r="P8" s="5">
        <f>P7+0.03</f>
        <v>0.15</v>
      </c>
      <c r="R8">
        <v>7</v>
      </c>
      <c r="S8">
        <v>25000</v>
      </c>
      <c r="T8">
        <v>25000</v>
      </c>
      <c r="U8">
        <v>20000</v>
      </c>
      <c r="W8">
        <v>1000</v>
      </c>
      <c r="Y8">
        <v>6</v>
      </c>
    </row>
    <row r="9" spans="1:31">
      <c r="A9">
        <v>8</v>
      </c>
      <c r="B9">
        <v>1.5</v>
      </c>
      <c r="F9">
        <v>700</v>
      </c>
      <c r="G9">
        <f t="shared" si="4"/>
        <v>1.3</v>
      </c>
      <c r="J9">
        <v>8</v>
      </c>
      <c r="K9" s="5">
        <f>K8+0.08</f>
        <v>0.48</v>
      </c>
      <c r="L9">
        <v>8</v>
      </c>
      <c r="M9">
        <f t="shared" si="1"/>
        <v>201.06</v>
      </c>
      <c r="N9" s="5">
        <f>POWER(M9*N10/M10,基本公式!$B$85)</f>
        <v>0.62742195465205897</v>
      </c>
      <c r="O9">
        <v>800</v>
      </c>
      <c r="P9" s="5">
        <f>P8+0.03</f>
        <v>0.18</v>
      </c>
      <c r="R9">
        <v>8</v>
      </c>
      <c r="S9">
        <v>25000</v>
      </c>
      <c r="T9">
        <v>25000</v>
      </c>
      <c r="U9">
        <v>20000</v>
      </c>
      <c r="W9">
        <v>1000</v>
      </c>
      <c r="Y9">
        <v>7</v>
      </c>
    </row>
    <row r="10" spans="1:31">
      <c r="A10">
        <v>9</v>
      </c>
      <c r="B10">
        <v>1.55</v>
      </c>
      <c r="F10">
        <v>800</v>
      </c>
      <c r="G10">
        <f t="shared" si="4"/>
        <v>1.35</v>
      </c>
      <c r="J10">
        <v>9</v>
      </c>
      <c r="K10" s="5">
        <f>K9+0.09</f>
        <v>0.56999999999999995</v>
      </c>
      <c r="L10">
        <v>9</v>
      </c>
      <c r="M10">
        <f t="shared" si="1"/>
        <v>254.47</v>
      </c>
      <c r="N10" s="5">
        <f>POWER(M10*N11/M11,基本公式!$B$85)</f>
        <v>0.70674142987506405</v>
      </c>
      <c r="O10">
        <v>900</v>
      </c>
      <c r="P10" s="5">
        <f>P9+0.03</f>
        <v>0.21</v>
      </c>
      <c r="R10">
        <v>9</v>
      </c>
      <c r="S10">
        <v>25000</v>
      </c>
      <c r="T10">
        <v>25000</v>
      </c>
      <c r="U10">
        <v>20000</v>
      </c>
      <c r="W10">
        <v>1000</v>
      </c>
      <c r="Y10">
        <v>8</v>
      </c>
    </row>
    <row r="11" spans="1:31">
      <c r="A11">
        <v>10</v>
      </c>
      <c r="B11">
        <v>1.6</v>
      </c>
      <c r="C11" t="s">
        <v>413</v>
      </c>
      <c r="F11">
        <v>900</v>
      </c>
      <c r="G11">
        <f t="shared" si="4"/>
        <v>1.4</v>
      </c>
      <c r="J11">
        <v>10</v>
      </c>
      <c r="K11" s="5">
        <f>K10+0.1</f>
        <v>0.67</v>
      </c>
      <c r="L11">
        <v>10</v>
      </c>
      <c r="M11">
        <f t="shared" si="1"/>
        <v>314.16000000000003</v>
      </c>
      <c r="N11" s="5">
        <v>0.8</v>
      </c>
      <c r="O11">
        <v>1000</v>
      </c>
      <c r="P11" s="5">
        <f>P10+0.03</f>
        <v>0.24</v>
      </c>
      <c r="R11">
        <v>10</v>
      </c>
      <c r="S11">
        <v>25000</v>
      </c>
      <c r="T11">
        <v>25000</v>
      </c>
      <c r="U11">
        <v>20000</v>
      </c>
      <c r="W11">
        <v>1000</v>
      </c>
      <c r="Y11">
        <v>9</v>
      </c>
    </row>
    <row r="12" spans="1:31">
      <c r="F12">
        <v>1000</v>
      </c>
      <c r="G12">
        <f t="shared" si="4"/>
        <v>1.45</v>
      </c>
      <c r="Y12">
        <v>10</v>
      </c>
    </row>
    <row r="13" spans="1:31">
      <c r="Y13">
        <v>11</v>
      </c>
    </row>
    <row r="14" spans="1:31">
      <c r="Y14">
        <v>12</v>
      </c>
    </row>
    <row r="15" spans="1:31">
      <c r="Y15">
        <v>13</v>
      </c>
    </row>
    <row r="16" spans="1:31">
      <c r="Y16">
        <v>14</v>
      </c>
    </row>
    <row r="17" spans="1:26">
      <c r="Y17">
        <v>15</v>
      </c>
    </row>
    <row r="18" spans="1:26">
      <c r="Y18">
        <v>16</v>
      </c>
    </row>
    <row r="19" spans="1:26">
      <c r="Y19">
        <v>17</v>
      </c>
    </row>
    <row r="20" spans="1:26">
      <c r="Y20">
        <v>18</v>
      </c>
    </row>
    <row r="21" spans="1:26">
      <c r="Y21">
        <v>19</v>
      </c>
    </row>
    <row r="24" spans="1:26" s="2" customFormat="1"/>
    <row r="25" spans="1:26" s="2" customFormat="1"/>
    <row r="26" spans="1:26" s="2" customFormat="1"/>
    <row r="27" spans="1:26" s="1" customFormat="1" ht="27">
      <c r="A27" s="1" t="s">
        <v>414</v>
      </c>
      <c r="B27" s="1" t="s">
        <v>415</v>
      </c>
      <c r="E27" s="3"/>
      <c r="F27" s="4" t="s">
        <v>416</v>
      </c>
      <c r="G27" s="4" t="s">
        <v>417</v>
      </c>
      <c r="I27" s="3"/>
      <c r="Q27" s="3"/>
      <c r="X27" s="3"/>
      <c r="Z27" s="3"/>
    </row>
    <row r="28" spans="1:26">
      <c r="A28">
        <v>1</v>
      </c>
      <c r="B28">
        <v>35</v>
      </c>
      <c r="F28" s="5">
        <f>POWER(基本公式!$B$3,(建筑!$A$21+1-建筑!A2)*1.5)</f>
        <v>0.21463876394293699</v>
      </c>
      <c r="G28" s="6">
        <f>基本公式!$B$3*产出与消耗!M4*24*F28</f>
        <v>4.8937638178989697E-2</v>
      </c>
    </row>
    <row r="29" spans="1:26">
      <c r="A29">
        <v>2</v>
      </c>
      <c r="B29">
        <v>45</v>
      </c>
      <c r="F29" s="5">
        <f>POWER(基本公式!$B$3,建筑!$A$21+1-建筑!A3)</f>
        <v>0.37735360253530797</v>
      </c>
      <c r="G29" s="6">
        <f>基本公式!$B$3*产出与消耗!M5*24*F29</f>
        <v>0.43018310689025102</v>
      </c>
    </row>
    <row r="30" spans="1:26">
      <c r="A30">
        <v>3</v>
      </c>
      <c r="B30">
        <v>60</v>
      </c>
      <c r="F30" s="5">
        <f>POWER(基本公式!$B$3,建筑!$A$21+1-建筑!A4)</f>
        <v>0.39721431845821797</v>
      </c>
      <c r="G30" s="6">
        <f>基本公式!$B$3*产出与消耗!M6*24*F30</f>
        <v>1.8112972921694801</v>
      </c>
    </row>
    <row r="31" spans="1:26">
      <c r="A31">
        <v>4</v>
      </c>
      <c r="B31">
        <v>80</v>
      </c>
      <c r="F31" s="5">
        <f>POWER(基本公式!$B$3,建筑!$A$21+1-建筑!A5)</f>
        <v>0.41812033521917702</v>
      </c>
      <c r="G31" s="6">
        <f>基本公式!$B$3*产出与消耗!M7*24*F31</f>
        <v>4.2899146393487602</v>
      </c>
    </row>
    <row r="32" spans="1:26">
      <c r="A32">
        <v>5</v>
      </c>
      <c r="B32">
        <v>115</v>
      </c>
      <c r="F32" s="5">
        <f>POWER(基本公式!$B$3,建筑!$A$21+1-建筑!A6)</f>
        <v>0.44012666865176597</v>
      </c>
      <c r="G32" s="6">
        <f>基本公式!$B$3*产出与消耗!M8*24*F32</f>
        <v>8.5296548384712203</v>
      </c>
    </row>
    <row r="33" spans="6:7">
      <c r="F33" s="5">
        <f>POWER(基本公式!$B$3,建筑!$A$21+1-建筑!A7)</f>
        <v>0.46329123015975299</v>
      </c>
      <c r="G33" s="6">
        <f>基本公式!$B$3*产出与消耗!M9*24*F33</f>
        <v>14.788256066699301</v>
      </c>
    </row>
    <row r="34" spans="6:7">
      <c r="F34" s="5">
        <f>POWER(基本公式!$B$3,建筑!$A$21+1-建筑!A8)</f>
        <v>0.48767497911552998</v>
      </c>
      <c r="G34" s="6">
        <f>基本公式!$B$3*产出与消耗!M10*24*F34</f>
        <v>25.573675904818401</v>
      </c>
    </row>
    <row r="35" spans="6:7">
      <c r="F35" s="5">
        <f>POWER(基本公式!$B$3,建筑!$A$21+1-建筑!A9)</f>
        <v>0.51334208327950503</v>
      </c>
      <c r="G35" s="6">
        <f>基本公式!$B$3*产出与消耗!M11*24*F35</f>
        <v>50.3280578447227</v>
      </c>
    </row>
    <row r="36" spans="6:7">
      <c r="F36" s="5">
        <f>POWER(基本公式!$B$3,建筑!$A$21+1-建筑!A10)</f>
        <v>0.54036008766263699</v>
      </c>
      <c r="G36" s="6">
        <f>基本公式!$B$3*产出与消耗!M12*24*F36</f>
        <v>86.241469990956801</v>
      </c>
    </row>
    <row r="37" spans="6:7">
      <c r="F37" s="5">
        <f>POWER(基本公式!$B$3,建筑!$A$21+1-建筑!A11)</f>
        <v>0.56880009227646</v>
      </c>
      <c r="G37" s="6">
        <f>基本公式!$B$3*产出与消耗!M13*24*F37</f>
        <v>142.655063142936</v>
      </c>
    </row>
    <row r="38" spans="6:7">
      <c r="F38" s="5">
        <f>POWER(基本公式!$B$3,建筑!$A$21+1-建筑!A12)</f>
        <v>0.59873693923837901</v>
      </c>
      <c r="G38" s="6">
        <f>基本公式!$B$3*产出与消耗!M14*24*F38</f>
        <v>245.72163986343099</v>
      </c>
    </row>
    <row r="39" spans="6:7">
      <c r="F39" s="5">
        <f>POWER(基本公式!$B$3,建筑!$A$21+1-建筑!A13)</f>
        <v>0.63024940972460897</v>
      </c>
      <c r="G39" s="6">
        <f>基本公式!$B$3*产出与消耗!M15*24*F39</f>
        <v>387.98153662646899</v>
      </c>
    </row>
    <row r="40" spans="6:7">
      <c r="F40" s="5">
        <f>POWER(基本公式!$B$3,建筑!$A$21+1-建筑!A14)</f>
        <v>0.66342043128906303</v>
      </c>
      <c r="G40" s="6">
        <f>基本公式!$B$3*产出与消耗!M16*24*F40</f>
        <v>605.03943333562495</v>
      </c>
    </row>
    <row r="41" spans="6:7">
      <c r="F41" s="5">
        <f>POWER(基本公式!$B$3,建筑!$A$21+1-建筑!A15)</f>
        <v>0.69833729609374995</v>
      </c>
      <c r="G41" s="6">
        <f>基本公式!$B$3*产出与消耗!M17*24*F41</f>
        <v>891.63705965250006</v>
      </c>
    </row>
    <row r="42" spans="6:7">
      <c r="F42" s="5">
        <f>POWER(基本公式!$B$3,建筑!$A$21+1-建筑!A16)</f>
        <v>0.73509189062500002</v>
      </c>
      <c r="G42" s="6">
        <f>基本公式!$B$3*产出与消耗!M18*24*F42</f>
        <v>1257.0071329687501</v>
      </c>
    </row>
    <row r="43" spans="6:7">
      <c r="F43" s="5">
        <f>POWER(基本公式!$B$3,建筑!$A$21+1-建筑!A17)</f>
        <v>0.77378093749999999</v>
      </c>
      <c r="G43" s="6">
        <f>基本公式!$B$3*产出与消耗!M19*24*F43</f>
        <v>1711.2939213750001</v>
      </c>
    </row>
    <row r="44" spans="6:7">
      <c r="F44" s="5">
        <f>POWER(基本公式!$B$3,建筑!$A$21+1-建筑!A18)</f>
        <v>0.81450624999999999</v>
      </c>
      <c r="G44" s="6">
        <f>基本公式!$B$3*产出与消耗!M20*24*F44</f>
        <v>2265.6305849999999</v>
      </c>
    </row>
    <row r="45" spans="6:7">
      <c r="F45" s="5">
        <f>POWER(基本公式!$B$3,建筑!$A$21+1-建筑!A19)</f>
        <v>0.857375</v>
      </c>
      <c r="G45" s="6">
        <f>基本公式!$B$3*产出与消耗!M21*24*F45</f>
        <v>2932.2224999999999</v>
      </c>
    </row>
    <row r="46" spans="6:7">
      <c r="F46" s="5">
        <f>POWER(基本公式!$B$3,建筑!$A$21+1-建筑!A20)</f>
        <v>0.90249999999999997</v>
      </c>
      <c r="G46" s="6">
        <f>基本公式!$B$3*产出与消耗!M22*24*F46</f>
        <v>3724.4369999999999</v>
      </c>
    </row>
    <row r="47" spans="6:7">
      <c r="F47" s="5">
        <f>POWER(基本公式!$B$3,建筑!$A$21+1-建筑!A21)</f>
        <v>0.95</v>
      </c>
      <c r="G47" s="6">
        <f>基本公式!$B$3*产出与消耗!M23*24*F47</f>
        <v>4656.8999999999996</v>
      </c>
    </row>
  </sheetData>
  <phoneticPr fontId="8" type="noConversion"/>
  <pageMargins left="0.69930555555555596" right="0.69930555555555596" top="0.75" bottom="0.75" header="0.3" footer="0.3"/>
  <pageSetup paperSize="9" orientation="portrait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5"/>
  <sheetViews>
    <sheetView workbookViewId="0">
      <pane xSplit="1" ySplit="2" topLeftCell="M102" activePane="bottomRight" state="frozen"/>
      <selection pane="topRight"/>
      <selection pane="bottomLeft"/>
      <selection pane="bottomRight" activeCell="T114" sqref="T114"/>
    </sheetView>
  </sheetViews>
  <sheetFormatPr defaultColWidth="9" defaultRowHeight="13.5"/>
  <cols>
    <col min="1" max="1" width="11.5" customWidth="1"/>
    <col min="2" max="2" width="11.5" style="53" customWidth="1"/>
    <col min="3" max="3" width="6.875" style="54" customWidth="1"/>
    <col min="4" max="4" width="6.25" customWidth="1"/>
    <col min="5" max="5" width="9.125" customWidth="1"/>
    <col min="6" max="6" width="12" style="55" customWidth="1"/>
    <col min="7" max="7" width="12.75" customWidth="1"/>
    <col min="8" max="8" width="12" style="56" customWidth="1"/>
    <col min="10" max="10" width="9" customWidth="1"/>
    <col min="11" max="11" width="9" style="2"/>
    <col min="14" max="14" width="9" style="16"/>
    <col min="16" max="16" width="8.875" customWidth="1"/>
    <col min="17" max="20" width="11" customWidth="1"/>
    <col min="21" max="21" width="8.125" customWidth="1"/>
    <col min="22" max="22" width="10.25" customWidth="1"/>
    <col min="23" max="24" width="12" style="32" customWidth="1"/>
    <col min="25" max="25" width="12" style="16" customWidth="1"/>
    <col min="26" max="26" width="13.375" style="16" customWidth="1"/>
    <col min="27" max="27" width="12.125" style="16" customWidth="1"/>
    <col min="28" max="28" width="12" style="32" customWidth="1"/>
    <col min="29" max="29" width="12" style="16" customWidth="1"/>
    <col min="30" max="31" width="13.375" customWidth="1"/>
    <col min="32" max="32" width="12" style="32" customWidth="1"/>
    <col min="33" max="33" width="13.375" hidden="1" customWidth="1"/>
    <col min="34" max="34" width="12.625" customWidth="1"/>
    <col min="35" max="35" width="11.125" style="32" customWidth="1"/>
    <col min="36" max="36" width="12.5" hidden="1" customWidth="1"/>
    <col min="37" max="37" width="10.875" customWidth="1"/>
    <col min="38" max="38" width="12" style="32" customWidth="1"/>
    <col min="39" max="40" width="11.75" style="57" customWidth="1"/>
    <col min="41" max="41" width="9" style="57"/>
    <col min="42" max="42" width="8.75" style="57" customWidth="1"/>
    <col min="43" max="43" width="9" style="57"/>
    <col min="44" max="44" width="9" style="58"/>
    <col min="45" max="46" width="10.875" customWidth="1"/>
    <col min="47" max="47" width="12" style="32" customWidth="1"/>
    <col min="48" max="48" width="12" style="16" customWidth="1"/>
    <col min="49" max="49" width="9" style="59"/>
    <col min="50" max="50" width="9" style="13"/>
    <col min="53" max="53" width="9.375" customWidth="1"/>
    <col min="54" max="54" width="9.875" style="21" customWidth="1"/>
    <col min="55" max="55" width="10" customWidth="1"/>
    <col min="56" max="56" width="9.875" style="21" customWidth="1"/>
    <col min="57" max="58" width="7.875" customWidth="1"/>
    <col min="59" max="59" width="10.875" style="57" customWidth="1"/>
    <col min="60" max="60" width="9" style="57"/>
    <col min="61" max="61" width="11.125" customWidth="1"/>
  </cols>
  <sheetData>
    <row r="1" spans="1:62">
      <c r="A1" t="s">
        <v>113</v>
      </c>
      <c r="Y1" s="16" t="s">
        <v>114</v>
      </c>
      <c r="Z1" s="16" t="s">
        <v>114</v>
      </c>
      <c r="AA1" s="16" t="s">
        <v>114</v>
      </c>
      <c r="AB1" s="32" t="s">
        <v>114</v>
      </c>
      <c r="AC1" s="16" t="s">
        <v>114</v>
      </c>
      <c r="AD1" s="16" t="s">
        <v>114</v>
      </c>
      <c r="AE1" s="16" t="s">
        <v>114</v>
      </c>
      <c r="AF1" s="32" t="s">
        <v>114</v>
      </c>
      <c r="AY1" t="s">
        <v>115</v>
      </c>
    </row>
    <row r="2" spans="1:62" s="1" customFormat="1" ht="27">
      <c r="A2" s="1" t="s">
        <v>116</v>
      </c>
      <c r="B2" s="60" t="s">
        <v>42</v>
      </c>
      <c r="C2" s="61" t="s">
        <v>117</v>
      </c>
      <c r="D2" s="26" t="s">
        <v>118</v>
      </c>
      <c r="E2" s="1" t="s">
        <v>6</v>
      </c>
      <c r="F2" s="62" t="s">
        <v>119</v>
      </c>
      <c r="G2" s="63" t="s">
        <v>120</v>
      </c>
      <c r="H2" s="63" t="s">
        <v>121</v>
      </c>
      <c r="I2" s="26" t="s">
        <v>122</v>
      </c>
      <c r="J2" s="1" t="s">
        <v>24</v>
      </c>
      <c r="K2" s="3" t="s">
        <v>123</v>
      </c>
      <c r="L2" s="1" t="s">
        <v>124</v>
      </c>
      <c r="M2" s="26" t="s">
        <v>125</v>
      </c>
      <c r="N2" s="4" t="s">
        <v>126</v>
      </c>
      <c r="O2" s="26" t="s">
        <v>127</v>
      </c>
      <c r="P2" s="4" t="s">
        <v>128</v>
      </c>
      <c r="Q2" s="1" t="s">
        <v>129</v>
      </c>
      <c r="R2" s="1" t="s">
        <v>130</v>
      </c>
      <c r="S2" s="1" t="s">
        <v>131</v>
      </c>
      <c r="T2" s="1" t="s">
        <v>132</v>
      </c>
      <c r="U2" s="1" t="s">
        <v>133</v>
      </c>
      <c r="V2" s="1" t="s">
        <v>134</v>
      </c>
      <c r="W2" s="7" t="s">
        <v>135</v>
      </c>
      <c r="X2" s="7" t="s">
        <v>136</v>
      </c>
      <c r="Y2" s="4" t="s">
        <v>129</v>
      </c>
      <c r="Z2" s="4" t="s">
        <v>137</v>
      </c>
      <c r="AA2" s="4" t="s">
        <v>133</v>
      </c>
      <c r="AB2" s="7" t="s">
        <v>135</v>
      </c>
      <c r="AC2" s="4" t="s">
        <v>138</v>
      </c>
      <c r="AD2" s="4" t="s">
        <v>139</v>
      </c>
      <c r="AE2" s="4" t="s">
        <v>140</v>
      </c>
      <c r="AF2" s="7" t="s">
        <v>141</v>
      </c>
      <c r="AG2" s="1" t="s">
        <v>142</v>
      </c>
      <c r="AH2" s="1" t="s">
        <v>143</v>
      </c>
      <c r="AI2" s="7" t="s">
        <v>144</v>
      </c>
      <c r="AJ2" s="1" t="s">
        <v>145</v>
      </c>
      <c r="AK2" s="1" t="s">
        <v>146</v>
      </c>
      <c r="AL2" s="7" t="s">
        <v>147</v>
      </c>
      <c r="AM2" s="72" t="s">
        <v>9</v>
      </c>
      <c r="AN2" s="72" t="s">
        <v>30</v>
      </c>
      <c r="AO2" s="72" t="s">
        <v>31</v>
      </c>
      <c r="AP2" s="72" t="s">
        <v>32</v>
      </c>
      <c r="AQ2" s="72" t="s">
        <v>33</v>
      </c>
      <c r="AR2" s="73"/>
      <c r="AS2" s="1" t="s">
        <v>148</v>
      </c>
      <c r="AT2" s="1" t="s">
        <v>149</v>
      </c>
      <c r="AU2" s="7" t="s">
        <v>150</v>
      </c>
      <c r="AV2" s="4" t="s">
        <v>151</v>
      </c>
      <c r="AW2" s="75" t="s">
        <v>152</v>
      </c>
      <c r="AX2" s="26" t="s">
        <v>153</v>
      </c>
      <c r="AY2" s="1" t="s">
        <v>154</v>
      </c>
      <c r="AZ2" s="1" t="s">
        <v>155</v>
      </c>
      <c r="BA2" s="1" t="s">
        <v>156</v>
      </c>
      <c r="BB2" s="76" t="s">
        <v>157</v>
      </c>
      <c r="BC2" s="1" t="s">
        <v>158</v>
      </c>
      <c r="BD2" s="76" t="s">
        <v>159</v>
      </c>
      <c r="BE2" s="1" t="s">
        <v>160</v>
      </c>
      <c r="BF2" s="1" t="s">
        <v>161</v>
      </c>
      <c r="BG2" s="72" t="s">
        <v>51</v>
      </c>
      <c r="BH2" s="72" t="s">
        <v>52</v>
      </c>
      <c r="BI2" s="72" t="s">
        <v>55</v>
      </c>
      <c r="BJ2" s="72" t="s">
        <v>56</v>
      </c>
    </row>
    <row r="20" spans="1:62">
      <c r="Y20"/>
      <c r="AC20"/>
    </row>
    <row r="21" spans="1:62" s="51" customFormat="1">
      <c r="A21" s="51" t="s">
        <v>162</v>
      </c>
      <c r="B21" s="64"/>
      <c r="C21" s="52"/>
      <c r="F21" s="65"/>
      <c r="H21" s="56"/>
      <c r="K21" s="2"/>
      <c r="AR21" s="58"/>
      <c r="AV21" s="16"/>
      <c r="AW21" s="59"/>
      <c r="AX21" s="13"/>
      <c r="BB21" s="21"/>
      <c r="BD21" s="21"/>
      <c r="BG21" s="57"/>
      <c r="BH21" s="57"/>
    </row>
    <row r="22" spans="1:62">
      <c r="A22">
        <v>10</v>
      </c>
      <c r="B22" s="53">
        <v>0</v>
      </c>
      <c r="D22" s="13">
        <v>0</v>
      </c>
      <c r="E22">
        <f>ROUND(POWER($A$22*D22/100,$AM$22),0)</f>
        <v>0</v>
      </c>
      <c r="F22" s="55">
        <f>ROUND(G22*0.35+H22*0.65,0)</f>
        <v>28</v>
      </c>
      <c r="G22">
        <f>ROUND((E22+(30+30)/2)*AN22*兵攻防!A22/基本公式!$B$50,0)</f>
        <v>9</v>
      </c>
      <c r="H22" s="56">
        <f>ROUND((E22+(基本公式!$B$180+基本公式!$B$28)/2)*AN22*兵攻防!A22/基本公式!$B$50,0)</f>
        <v>38</v>
      </c>
      <c r="I22" s="13">
        <v>0</v>
      </c>
      <c r="J22">
        <f>ROUND(POWER($A$22*I22/100,$AM$22),0)</f>
        <v>0</v>
      </c>
      <c r="K22" s="2">
        <v>3</v>
      </c>
      <c r="L22">
        <f t="shared" ref="L22" ca="1" si="0">ROUND(30/K22*P22*N22,2)</f>
        <v>4.9000000000000004</v>
      </c>
      <c r="M22" s="13">
        <v>125</v>
      </c>
      <c r="N22" s="16">
        <f ca="1">OFFSET(其他表格!G1,M22/100,0)</f>
        <v>0.7</v>
      </c>
      <c r="O22" s="13">
        <v>1</v>
      </c>
      <c r="P22" s="16">
        <f ca="1">OFFSET(其他表格!B1,O22,0)</f>
        <v>0.7</v>
      </c>
      <c r="Q22">
        <f>ROUND(($E$22+200)*$AN$22,2)</f>
        <v>30</v>
      </c>
      <c r="R22">
        <f>ROUND(($E$22+200)*$AN$22,2)</f>
        <v>30</v>
      </c>
      <c r="S22">
        <f>ROUND(POWER(($E$22+200-$J$22-200+$AP$22),2)/$AO$22,2)</f>
        <v>41.67</v>
      </c>
      <c r="T22">
        <f>ROUND(POWER(($J$22+200-$E$22-200+$AP$22),2)/$AO$22,2)</f>
        <v>41.67</v>
      </c>
      <c r="U22">
        <f ca="1">ROUND(($Q$22+$S$22)*($A$22+$A$22)/$AQ$22*$L$22,0)</f>
        <v>0</v>
      </c>
      <c r="V22">
        <f ca="1">ROUND((R22+T22)*($A$22+$A$22)/$AQ$22*$L$22,0)</f>
        <v>0</v>
      </c>
      <c r="W22" s="70">
        <f ca="1">MIN(ROUND(U22/$A$22,4),1)</f>
        <v>0</v>
      </c>
      <c r="X22" s="70">
        <f ca="1">MIN(ROUND($V$22/$A$22,4),1)</f>
        <v>0</v>
      </c>
      <c r="Y22">
        <f>ROUND(($E$22+250)*$AN$22,0)</f>
        <v>38</v>
      </c>
      <c r="Z22">
        <f>ROUND(POWER(($E$22+250-$J$22-100+$AP$22),2)/$AO$22,0)</f>
        <v>70</v>
      </c>
      <c r="AA22">
        <f>ROUND(($Y$22+$Z$22)*($A$22+$A$22)/$AQ$22,0)</f>
        <v>0</v>
      </c>
      <c r="AB22" s="70">
        <f ca="1">MIN(ROUND(AA22/$A$22*$L$22,4),1)</f>
        <v>0</v>
      </c>
      <c r="AC22">
        <f>ROUND(($E$22+100)*$AN$22,0)</f>
        <v>15</v>
      </c>
      <c r="AD22" s="71">
        <f>ROUND(POWER(($E$22+100-$J$22-250+$AP$22),2)/$AO$22,0)</f>
        <v>20</v>
      </c>
      <c r="AE22" s="71">
        <f>ROUND(($AC$22+$AD$22)*($A$22+$A$22)/$AQ$22,0)</f>
        <v>0</v>
      </c>
      <c r="AF22" s="70">
        <f>MIN(ROUND($AE$22/$A$22,4),1)</f>
        <v>0</v>
      </c>
      <c r="AG22" s="71">
        <f>ROUND(POWER(($E$26+200-$J$22-200+$AP$22),2)/$AO$22,0)</f>
        <v>42</v>
      </c>
      <c r="AH22" s="71">
        <f>ROUND(($Q$26+$AG$22)*($A$26+$A$22)/$AQ$22,0)</f>
        <v>2</v>
      </c>
      <c r="AI22" s="70">
        <f ca="1">MIN(ROUND($AH$22/$A$22*$L$22,4),1)</f>
        <v>0.98</v>
      </c>
      <c r="AJ22" s="71">
        <f>ROUND(POWER(($E$22+200-$J$26-200+900),2)/$AO$22,0)</f>
        <v>135</v>
      </c>
      <c r="AK22" s="71">
        <f>ROUND(($Q$22+$AJ$22)*($A$26+$A$22)/$AQ$22,0)</f>
        <v>4</v>
      </c>
      <c r="AL22" s="70">
        <f ca="1">MIN(ROUND($AK$22/$A$26*$L$22,4),1)</f>
        <v>3.9199999999999999E-2</v>
      </c>
      <c r="AM22" s="57">
        <v>0.5</v>
      </c>
      <c r="AN22" s="57">
        <v>0.15</v>
      </c>
      <c r="AO22" s="57">
        <v>6000</v>
      </c>
      <c r="AP22" s="57">
        <v>500</v>
      </c>
      <c r="AQ22" s="57">
        <v>20000</v>
      </c>
      <c r="AU22" s="70"/>
      <c r="AV22" s="9"/>
    </row>
    <row r="23" spans="1:62">
      <c r="A23">
        <v>50</v>
      </c>
      <c r="B23" s="53">
        <v>0</v>
      </c>
      <c r="D23" s="13">
        <v>0</v>
      </c>
      <c r="E23">
        <f>ROUND(POWER($A$23*D23/100,$AM$23),0)</f>
        <v>0</v>
      </c>
      <c r="F23" s="55">
        <f t="shared" ref="F23" si="1">ROUND(G23*0.35+H23*0.65,0)</f>
        <v>138</v>
      </c>
      <c r="G23">
        <f>ROUND((E23+(30+30)/2)*AN23*兵攻防!A23/基本公式!$B$50,0)</f>
        <v>45</v>
      </c>
      <c r="H23" s="56">
        <f>ROUND((E23+(基本公式!$B$180+基本公式!$B$28)/2)*AN23*兵攻防!A23/基本公式!$B$50,0)</f>
        <v>188</v>
      </c>
      <c r="I23" s="13">
        <v>0</v>
      </c>
      <c r="J23">
        <f>ROUND(POWER($A$23*I23/100,$AM$23),0)</f>
        <v>0</v>
      </c>
      <c r="K23" s="2">
        <v>3</v>
      </c>
      <c r="L23">
        <f t="shared" ref="L23:L29" ca="1" si="2">ROUND(30/K23*P23*N23,2)</f>
        <v>4.9000000000000004</v>
      </c>
      <c r="M23" s="13">
        <v>125</v>
      </c>
      <c r="N23" s="16">
        <f ca="1">OFFSET(其他表格!G1,M23/100,0)</f>
        <v>0.7</v>
      </c>
      <c r="O23" s="13">
        <v>1</v>
      </c>
      <c r="P23" s="16">
        <f ca="1">OFFSET(其他表格!B1,O23,0)</f>
        <v>0.7</v>
      </c>
      <c r="Q23">
        <f>ROUND(($E$23+200)*$AN$23,2)</f>
        <v>30</v>
      </c>
      <c r="R23">
        <f>ROUND(($E$23+200)*$AN$23,2)</f>
        <v>30</v>
      </c>
      <c r="S23">
        <f>ROUND(POWER(($E$23+200-$J$23-200+$AP$22),2)/$AO$23,2)</f>
        <v>41.67</v>
      </c>
      <c r="T23">
        <f>ROUND(POWER(($J$23+200-$E$23-200+$AP$23),2)/$AO$23,2)</f>
        <v>41.67</v>
      </c>
      <c r="U23">
        <f ca="1">ROUND(($Q$23+$S$23)*($A$23+$A$23)/$AQ$23*$L$22,0)</f>
        <v>2</v>
      </c>
      <c r="V23">
        <f ca="1">ROUND((R23+T23)*($A$23+$A$23)/$AQ$23*$L$22,0)</f>
        <v>2</v>
      </c>
      <c r="W23" s="70">
        <f ca="1">MIN(ROUND(U23/$A$23,4),1)</f>
        <v>0.04</v>
      </c>
      <c r="X23" s="70">
        <f ca="1">MIN(ROUND($V$23/$A$23,4),1)</f>
        <v>0.04</v>
      </c>
      <c r="Y23">
        <f>ROUND(($E$23+250)*$AN$23,0)</f>
        <v>38</v>
      </c>
      <c r="Z23">
        <f>ROUND(POWER(($E$23+250-$J$23-100+$AP$22),2)/$AO$23,0)</f>
        <v>70</v>
      </c>
      <c r="AA23">
        <f>ROUND(($Y$23+$Z$23)*($A$23+$A$23)/$AQ$23,0)</f>
        <v>1</v>
      </c>
      <c r="AB23" s="70">
        <f ca="1">MIN(ROUND(AA23/$A$23*$L$23,4),1)</f>
        <v>9.8000000000000004E-2</v>
      </c>
      <c r="AC23">
        <f>ROUND(($E$23+100)*$AN$23,0)</f>
        <v>15</v>
      </c>
      <c r="AD23" s="71">
        <f>ROUND(POWER(($E$23+100-$J$23-250+$AP$23),2)/$AO$23,0)</f>
        <v>20</v>
      </c>
      <c r="AE23" s="71">
        <f>ROUND(($AC$23+$AD$23)*($A$23+$A$23)/$AQ$23,0)</f>
        <v>0</v>
      </c>
      <c r="AF23" s="70">
        <f>MIN(ROUND($AE$23/$A$23,4),1)</f>
        <v>0</v>
      </c>
      <c r="AG23" s="71">
        <f>ROUND(POWER(($E$26+200-$J$23-200+$AP$22),2)/$AO$23,0)</f>
        <v>42</v>
      </c>
      <c r="AH23" s="71">
        <f>ROUND(($Q$26+$AG$23)*($A$26+$A$23)/$AQ$23,0)</f>
        <v>2</v>
      </c>
      <c r="AI23" s="70">
        <f ca="1">MIN(ROUND($AH$23/$A$23*$L$23,4),1)</f>
        <v>0.19600000000000001</v>
      </c>
      <c r="AJ23" s="71">
        <f>ROUND(POWER(($E$23+200-$J$26-200+900),2)/$AO$23,0)</f>
        <v>135</v>
      </c>
      <c r="AK23" s="71">
        <f>ROUND(($Q$23+$AJ$23)*($A$26+$A$23)/$AQ$23,0)</f>
        <v>5</v>
      </c>
      <c r="AL23" s="70">
        <f ca="1">MIN(ROUND($AK$23/$A$26*$L$23,4),1)</f>
        <v>4.9000000000000002E-2</v>
      </c>
      <c r="AM23" s="57">
        <v>0.5</v>
      </c>
      <c r="AN23" s="57">
        <v>0.15</v>
      </c>
      <c r="AO23" s="57">
        <v>6000</v>
      </c>
      <c r="AP23" s="57">
        <v>500</v>
      </c>
      <c r="AQ23" s="57">
        <v>20000</v>
      </c>
      <c r="AU23" s="70"/>
      <c r="AV23" s="9"/>
    </row>
    <row r="24" spans="1:62">
      <c r="A24">
        <v>100</v>
      </c>
      <c r="B24" s="53">
        <v>0</v>
      </c>
      <c r="D24" s="13">
        <v>0</v>
      </c>
      <c r="E24">
        <f>ROUND(POWER($A$24*D24/100,$AM$24),0)</f>
        <v>0</v>
      </c>
      <c r="F24" s="55">
        <f t="shared" ref="F24:F29" si="3">ROUND(G24*0.35+H24*0.65,0)</f>
        <v>275</v>
      </c>
      <c r="G24">
        <f>ROUND((E24+(30+30)/2)*AN24*兵攻防!A24/基本公式!$B$50,0)</f>
        <v>90</v>
      </c>
      <c r="H24" s="56">
        <f>ROUND((E24+(基本公式!$B$180+基本公式!$B$28)/2)*AN24*兵攻防!A24/基本公式!$B$50,0)</f>
        <v>375</v>
      </c>
      <c r="I24" s="13">
        <v>0</v>
      </c>
      <c r="J24">
        <f>ROUND(POWER($A$24*I24/100,$AM$24),0)</f>
        <v>0</v>
      </c>
      <c r="K24" s="2">
        <v>3</v>
      </c>
      <c r="L24">
        <f t="shared" ca="1" si="2"/>
        <v>4.9000000000000004</v>
      </c>
      <c r="M24" s="13">
        <v>125</v>
      </c>
      <c r="N24" s="16">
        <f ca="1">OFFSET(其他表格!G1,M24/100,0)</f>
        <v>0.7</v>
      </c>
      <c r="O24" s="13">
        <v>1</v>
      </c>
      <c r="P24" s="16">
        <f ca="1">OFFSET(其他表格!B1,O24,0)</f>
        <v>0.7</v>
      </c>
      <c r="Q24">
        <f>ROUND(($E$24+200)*$AN$24,2)</f>
        <v>30</v>
      </c>
      <c r="R24">
        <f>ROUND(($E$24+200)*$AN$24,2)</f>
        <v>30</v>
      </c>
      <c r="S24">
        <f>ROUND(POWER(($E$24+200-$J$24-200+$AP$22),2)/$AO$24,2)</f>
        <v>41.67</v>
      </c>
      <c r="T24">
        <f>ROUND(POWER(($J$24+200-$E$24-200+$AP$24),2)/$AO$24,2)</f>
        <v>41.67</v>
      </c>
      <c r="U24">
        <f ca="1">ROUND(($Q$24+$S$24)*($A$24+$A$24)/$AQ$24*$L$22,0)</f>
        <v>4</v>
      </c>
      <c r="V24">
        <f ca="1">ROUND((R24+T24)*($A$24+$A$24)/$AQ$24*$L$22,0)</f>
        <v>4</v>
      </c>
      <c r="W24" s="70">
        <f ca="1">MIN(ROUND(U24/$A$24,4),1)</f>
        <v>0.04</v>
      </c>
      <c r="X24" s="70">
        <f ca="1">MIN(ROUND($V$24/$A$24,4),1)</f>
        <v>0.04</v>
      </c>
      <c r="Y24">
        <f>ROUND(($E$24+250)*$AN$24,0)</f>
        <v>38</v>
      </c>
      <c r="Z24">
        <f>ROUND(POWER(($E$24+250-$J$24-100+$AP$22),2)/$AO$24,0)</f>
        <v>70</v>
      </c>
      <c r="AA24">
        <f>ROUND(($Y$24+$Z$24)*($A$24+$A$24)/$AQ$24,0)</f>
        <v>1</v>
      </c>
      <c r="AB24" s="70">
        <f ca="1">MIN(ROUND(AA24/$A$24*$L$24,4),1)</f>
        <v>4.9000000000000002E-2</v>
      </c>
      <c r="AC24">
        <f>ROUND(($E$24+100)*$AN$24,0)</f>
        <v>15</v>
      </c>
      <c r="AD24" s="71">
        <f>ROUND(POWER(($E$24+100-$J$24-250+$AP$24),2)/$AO$24,0)</f>
        <v>20</v>
      </c>
      <c r="AE24" s="71">
        <f>ROUND(($AC$24+$AD$24)*($A$24+$A$24)/$AQ$24,0)</f>
        <v>0</v>
      </c>
      <c r="AF24" s="70">
        <f>MIN(ROUND($AE$24/$A$24,4),1)</f>
        <v>0</v>
      </c>
      <c r="AG24" s="71">
        <f>ROUND(POWER(($E$26+200-$J$24-200+$AP$22),2)/$AO$24,0)</f>
        <v>42</v>
      </c>
      <c r="AH24" s="71">
        <f>ROUND(($Q$26+$AG$24)*($A$26+$A$24)/$AQ$24,0)</f>
        <v>2</v>
      </c>
      <c r="AI24" s="70">
        <f ca="1">MIN(ROUND($AH$24/$A$24*$L$24,4),1)</f>
        <v>9.8000000000000004E-2</v>
      </c>
      <c r="AJ24" s="71">
        <f>ROUND(POWER(($E$24+200-$J$26-200+900),2)/$AO$24,0)</f>
        <v>135</v>
      </c>
      <c r="AK24" s="71">
        <f>ROUND(($Q$24+$AJ$24)*($A$26+$A$24)/$AQ$24,0)</f>
        <v>5</v>
      </c>
      <c r="AL24" s="70">
        <f ca="1">MIN(ROUND($AK$24/$A$26*$L$24,4),1)</f>
        <v>4.9000000000000002E-2</v>
      </c>
      <c r="AM24" s="57">
        <v>0.5</v>
      </c>
      <c r="AN24" s="57">
        <v>0.15</v>
      </c>
      <c r="AO24" s="57">
        <v>6000</v>
      </c>
      <c r="AP24" s="57">
        <v>500</v>
      </c>
      <c r="AQ24" s="57">
        <v>20000</v>
      </c>
      <c r="AU24" s="70"/>
      <c r="AV24" s="9"/>
    </row>
    <row r="25" spans="1:62">
      <c r="A25">
        <v>200</v>
      </c>
      <c r="B25" s="53">
        <v>0</v>
      </c>
      <c r="D25" s="13">
        <v>0</v>
      </c>
      <c r="E25">
        <f>ROUND(POWER($A$25*D25/100,$AM$25),0)</f>
        <v>0</v>
      </c>
      <c r="F25" s="55">
        <f t="shared" si="3"/>
        <v>551</v>
      </c>
      <c r="G25">
        <f>ROUND((E25+(30+30)/2)*AN25*兵攻防!A25/基本公式!$B$50,0)</f>
        <v>180</v>
      </c>
      <c r="H25" s="56">
        <f>ROUND((E25+(基本公式!$B$180+基本公式!$B$28)/2)*AN25*兵攻防!A25/基本公式!$B$50,0)</f>
        <v>750</v>
      </c>
      <c r="I25" s="13">
        <v>0</v>
      </c>
      <c r="J25">
        <f>ROUND(POWER($A$25*I25/100,$AM$25),0)</f>
        <v>0</v>
      </c>
      <c r="K25" s="2">
        <v>3</v>
      </c>
      <c r="L25">
        <f t="shared" ca="1" si="2"/>
        <v>4.9000000000000004</v>
      </c>
      <c r="M25" s="13">
        <v>125</v>
      </c>
      <c r="N25" s="16">
        <f ca="1">OFFSET(其他表格!G1,M25/100,0)</f>
        <v>0.7</v>
      </c>
      <c r="O25" s="13">
        <v>1</v>
      </c>
      <c r="P25" s="16">
        <f ca="1">OFFSET(其他表格!B1,O25,0)</f>
        <v>0.7</v>
      </c>
      <c r="Q25">
        <f>ROUND(($E$25+200)*$AN$25,2)</f>
        <v>30</v>
      </c>
      <c r="R25">
        <f>ROUND(($E$25+200)*$AN$25,2)</f>
        <v>30</v>
      </c>
      <c r="S25">
        <f>ROUND(POWER(($E$25+200-$J$25-200+$AP$22),2)/$AO$25,2)</f>
        <v>41.67</v>
      </c>
      <c r="T25">
        <f>ROUND(POWER(($J$25+200-$E$25-200+$AP$25),2)/$AO$25,2)</f>
        <v>41.67</v>
      </c>
      <c r="U25">
        <f ca="1">ROUND(($Q$25+$S$25)*($A$25+$A$25)/$AQ$25*$L$22,0)</f>
        <v>7</v>
      </c>
      <c r="V25">
        <f ca="1">ROUND((R25+T25)*($A$25+$A$25)/$AQ$25*$L$22,0)</f>
        <v>7</v>
      </c>
      <c r="W25" s="70">
        <f ca="1">MIN(ROUND(U25/$A$25,4),1)</f>
        <v>3.5000000000000003E-2</v>
      </c>
      <c r="X25" s="70">
        <f ca="1">MIN(ROUND($V$25/$A$25,4),1)</f>
        <v>3.5000000000000003E-2</v>
      </c>
      <c r="Y25">
        <f>ROUND(($E$25+250)*$AN$25,0)</f>
        <v>38</v>
      </c>
      <c r="Z25">
        <f>ROUND(POWER(($E$25+250-$J$25-100+$AP$22),2)/$AO$25,0)</f>
        <v>70</v>
      </c>
      <c r="AA25">
        <f>ROUND(($Y$25+$Z$25)*($A$25+$A$25)/$AQ$25,0)</f>
        <v>2</v>
      </c>
      <c r="AB25" s="70">
        <f ca="1">MIN(ROUND(AA25/$A$25*$L$25,4),1)</f>
        <v>4.9000000000000002E-2</v>
      </c>
      <c r="AC25">
        <f>ROUND(($E$25+100)*$AN$25,0)</f>
        <v>15</v>
      </c>
      <c r="AD25" s="71">
        <f>ROUND(POWER(($E$25+100-$J$25-250+$AP$25),2)/$AO$25,0)</f>
        <v>20</v>
      </c>
      <c r="AE25" s="71">
        <f>ROUND(($AC$25+$AD$25)*($A$25+$A$25)/$AQ$25,0)</f>
        <v>1</v>
      </c>
      <c r="AF25" s="70">
        <f>MIN(ROUND($AE$25/$A$25,4),1)</f>
        <v>5.0000000000000001E-3</v>
      </c>
      <c r="AG25" s="71">
        <f>ROUND(POWER(($E$26+200-$J$25-200+$AP$22),2)/$AO$25,0)</f>
        <v>42</v>
      </c>
      <c r="AH25" s="71">
        <f>ROUND(($Q$26+$AG$25)*($A$26+$A$25)/$AQ$25,0)</f>
        <v>3</v>
      </c>
      <c r="AI25" s="70">
        <f ca="1">MIN(ROUND($AH$25/$A$25*$L$25,4),1)</f>
        <v>7.3499999999999996E-2</v>
      </c>
      <c r="AJ25" s="71">
        <f>ROUND(POWER(($E$25+200-$J$26-200+900),2)/$AO$25,0)</f>
        <v>135</v>
      </c>
      <c r="AK25" s="71">
        <f>ROUND(($Q$25+$AJ$25)*($A$26+$A$25)/$AQ$25,0)</f>
        <v>6</v>
      </c>
      <c r="AL25" s="70">
        <f ca="1">MIN(ROUND($AK$25/$A$26*$L$25,4),1)</f>
        <v>5.8799999999999998E-2</v>
      </c>
      <c r="AM25" s="57">
        <v>0.5</v>
      </c>
      <c r="AN25" s="57">
        <v>0.15</v>
      </c>
      <c r="AO25" s="57">
        <v>6000</v>
      </c>
      <c r="AP25" s="57">
        <v>500</v>
      </c>
      <c r="AQ25" s="57">
        <v>20000</v>
      </c>
      <c r="AU25" s="70"/>
      <c r="AV25" s="9"/>
    </row>
    <row r="26" spans="1:62">
      <c r="A26">
        <v>500</v>
      </c>
      <c r="B26" s="53">
        <v>0</v>
      </c>
      <c r="D26" s="13">
        <v>0</v>
      </c>
      <c r="E26">
        <f>ROUND(POWER($A$26*D26/100,$AM$26),0)</f>
        <v>0</v>
      </c>
      <c r="F26" s="55">
        <f t="shared" si="3"/>
        <v>1376</v>
      </c>
      <c r="G26">
        <f>ROUND((E26+(30+30)/2)*AN26*兵攻防!A26/基本公式!$B$50,0)</f>
        <v>450</v>
      </c>
      <c r="H26" s="56">
        <f>ROUND((E26+(基本公式!$B$180+基本公式!$B$28)/2)*AN26*兵攻防!A26/基本公式!$B$50,0)</f>
        <v>1875</v>
      </c>
      <c r="I26" s="13">
        <v>0</v>
      </c>
      <c r="J26">
        <f>ROUND(POWER($A$26*I26/100,$AM$26),0)</f>
        <v>0</v>
      </c>
      <c r="K26" s="2">
        <v>3</v>
      </c>
      <c r="L26">
        <f t="shared" ca="1" si="2"/>
        <v>4.9000000000000004</v>
      </c>
      <c r="M26" s="13">
        <v>125</v>
      </c>
      <c r="N26" s="16">
        <f ca="1">OFFSET(其他表格!G1,M26/100,0)</f>
        <v>0.7</v>
      </c>
      <c r="O26" s="13">
        <v>1</v>
      </c>
      <c r="P26" s="16">
        <f ca="1">OFFSET(其他表格!B1,O26,0)</f>
        <v>0.7</v>
      </c>
      <c r="Q26">
        <f>ROUND(($E$26+200)*$AN$26,2)</f>
        <v>30</v>
      </c>
      <c r="R26">
        <f>ROUND(($E$26+200)*$AN$26,2)</f>
        <v>30</v>
      </c>
      <c r="S26">
        <f>ROUND(POWER(($E$26+200-$J$26-200+$AP$22),2)/$AO$26,2)</f>
        <v>41.67</v>
      </c>
      <c r="T26">
        <f>ROUND(POWER(($J$26+200-$E$26-200+$AP$26),2)/$AO$26,2)</f>
        <v>41.67</v>
      </c>
      <c r="U26">
        <f ca="1">ROUND(($Q$26+$S$26)*($A$26+$A$26)/$AQ$26*$L$22,0)</f>
        <v>18</v>
      </c>
      <c r="V26">
        <f ca="1">ROUND((R26+T26)*($A$26+$A$26)/$AQ$26*$L$22,0)</f>
        <v>18</v>
      </c>
      <c r="W26" s="70">
        <f ca="1">MIN(ROUND(U26/$A$26,4),1)</f>
        <v>3.5999999999999997E-2</v>
      </c>
      <c r="X26" s="70">
        <f ca="1">MIN(ROUND($V$26/$A$26,4),1)</f>
        <v>3.5999999999999997E-2</v>
      </c>
      <c r="Y26">
        <f>ROUND(($E$26+250)*$AN$26,0)</f>
        <v>38</v>
      </c>
      <c r="Z26">
        <f>ROUND(POWER(($E$26+250-$J$26-100+$AP$22),2)/$AO$26,0)</f>
        <v>70</v>
      </c>
      <c r="AA26">
        <f>ROUND(($Y$26+$Z$26)*($A$26+$A$26)/$AQ$26,0)</f>
        <v>5</v>
      </c>
      <c r="AB26" s="70">
        <f ca="1">MIN(ROUND(AA26/$A$26*$L$26,4),1)</f>
        <v>4.9000000000000002E-2</v>
      </c>
      <c r="AC26">
        <f>ROUND(($E$26+100)*$AN$26,0)</f>
        <v>15</v>
      </c>
      <c r="AD26" s="71">
        <f>ROUND(POWER(($E$26+100-$J$26-250+$AP$26),2)/$AO$26,0)</f>
        <v>20</v>
      </c>
      <c r="AE26" s="71">
        <f>ROUND(($AC$26+$AD$26)*($A$26+$A$26)/$AQ$26,0)</f>
        <v>2</v>
      </c>
      <c r="AF26" s="70">
        <f>MIN(ROUND($AE$26/$A$26,4),1)</f>
        <v>4.0000000000000001E-3</v>
      </c>
      <c r="AG26" s="71">
        <f>ROUND(POWER(($E$26+200-$J$26-200+$AP$22),2)/$AO$26,0)</f>
        <v>42</v>
      </c>
      <c r="AH26" s="71">
        <f>ROUND(($Q$26+$AG$26)*($A$26+$A$26)/$AQ$26,0)</f>
        <v>4</v>
      </c>
      <c r="AI26" s="70">
        <f ca="1">MIN(ROUND($AH$26/$A$26*$L$26,4),1)</f>
        <v>3.9199999999999999E-2</v>
      </c>
      <c r="AJ26" s="71">
        <f>ROUND(POWER(($E$26+200-$J$26-200+900),2)/$AO$26,0)</f>
        <v>135</v>
      </c>
      <c r="AK26" s="71">
        <f>ROUND(($Q$26+$AJ$26)*($A$26+$A$26)/$AQ$26,0)</f>
        <v>8</v>
      </c>
      <c r="AL26" s="70">
        <f ca="1">MIN(ROUND($AK$26/$A$26*$L$26,4),1)</f>
        <v>7.8399999999999997E-2</v>
      </c>
      <c r="AM26" s="57">
        <v>0.5</v>
      </c>
      <c r="AN26" s="57">
        <v>0.15</v>
      </c>
      <c r="AO26" s="57">
        <v>6000</v>
      </c>
      <c r="AP26" s="57">
        <v>500</v>
      </c>
      <c r="AQ26" s="57">
        <v>20000</v>
      </c>
      <c r="AU26" s="70"/>
      <c r="AV26" s="9"/>
    </row>
    <row r="27" spans="1:62">
      <c r="A27">
        <v>1000</v>
      </c>
      <c r="B27" s="53">
        <v>0</v>
      </c>
      <c r="D27" s="13">
        <v>0</v>
      </c>
      <c r="E27">
        <f>ROUND(POWER($A$27*D27/100,$AM$27),0)</f>
        <v>0</v>
      </c>
      <c r="F27" s="55">
        <f t="shared" si="3"/>
        <v>2753</v>
      </c>
      <c r="G27">
        <f>ROUND((E27+(30+30)/2)*AN27*兵攻防!A27/基本公式!$B$50,0)</f>
        <v>900</v>
      </c>
      <c r="H27" s="56">
        <f>ROUND((E27+(基本公式!$B$180+基本公式!$B$28)/2)*AN27*兵攻防!A27/基本公式!$B$50,0)</f>
        <v>3750</v>
      </c>
      <c r="I27" s="13">
        <v>0</v>
      </c>
      <c r="J27">
        <f>ROUND(POWER($A$27*I27/100,$AM$27),0)</f>
        <v>0</v>
      </c>
      <c r="K27" s="2">
        <v>3</v>
      </c>
      <c r="L27">
        <f t="shared" ca="1" si="2"/>
        <v>4.9000000000000004</v>
      </c>
      <c r="M27" s="13">
        <v>125</v>
      </c>
      <c r="N27" s="16">
        <f ca="1">OFFSET(其他表格!G1,M27/100,0)</f>
        <v>0.7</v>
      </c>
      <c r="O27" s="13">
        <v>1</v>
      </c>
      <c r="P27" s="16">
        <f ca="1">OFFSET(其他表格!B1,O27,0)</f>
        <v>0.7</v>
      </c>
      <c r="Q27">
        <f>ROUND(($E$27+200)*$AN$27,2)</f>
        <v>30</v>
      </c>
      <c r="R27">
        <f>ROUND(($E$27+200)*$AN$27,2)</f>
        <v>30</v>
      </c>
      <c r="S27">
        <f>ROUND(POWER(($E$27+200-$J$27-200+$AP$22),2)/$AO$27,2)</f>
        <v>41.67</v>
      </c>
      <c r="T27">
        <f>ROUND(POWER(($J$27+200-$E$27-200+$AP$27),2)/$AO$27,2)</f>
        <v>41.67</v>
      </c>
      <c r="U27">
        <f ca="1">ROUND(($Q$27+$S$27)*($A$27+$A$27)/$AQ$27*$L$22,0)</f>
        <v>35</v>
      </c>
      <c r="V27">
        <f ca="1">ROUND((R27+T27)*($A$27+$A$27)/$AQ$27*$L$22,0)</f>
        <v>35</v>
      </c>
      <c r="W27" s="70">
        <f ca="1">MIN(ROUND(U27/$A$27,4),1)</f>
        <v>3.5000000000000003E-2</v>
      </c>
      <c r="X27" s="70">
        <f ca="1">MIN(ROUND($V$27/$A$27,4),1)</f>
        <v>3.5000000000000003E-2</v>
      </c>
      <c r="Y27">
        <f>ROUND(($E$27+250)*$AN$27,0)</f>
        <v>38</v>
      </c>
      <c r="Z27">
        <f>ROUND(POWER(($E$27+250-$J$27-100+$AP$22),2)/$AO$27,0)</f>
        <v>70</v>
      </c>
      <c r="AA27">
        <f>ROUND(($Y$27+$Z$27)*($A$27+$A$27)/$AQ$27,0)</f>
        <v>11</v>
      </c>
      <c r="AB27" s="70">
        <f ca="1">MIN(ROUND(AA27/$A$27*$L$27,4),1)</f>
        <v>5.3900000000000003E-2</v>
      </c>
      <c r="AC27">
        <f>ROUND(($E$27+100)*$AN$27,0)</f>
        <v>15</v>
      </c>
      <c r="AD27" s="71">
        <f>ROUND(POWER(($E$27+100-$J$27-250+$AP$27),2)/$AO$27,0)</f>
        <v>20</v>
      </c>
      <c r="AE27" s="71">
        <f>ROUND(($AC$27+$AD$27)*($A$27+$A$27)/$AQ$27,0)</f>
        <v>4</v>
      </c>
      <c r="AF27" s="70">
        <f>MIN(ROUND($AE$27/$A$27,4),1)</f>
        <v>4.0000000000000001E-3</v>
      </c>
      <c r="AG27" s="71">
        <f>ROUND(POWER(($E$26+200-$J$27-200+$AP$22),2)/$AO$27,0)</f>
        <v>42</v>
      </c>
      <c r="AH27" s="71">
        <f>ROUND(($Q$26+$AG$27)*($A$26+$A$27)/$AQ$27,0)</f>
        <v>5</v>
      </c>
      <c r="AI27" s="70">
        <f ca="1">MIN(ROUND($AH$27/$A$27*$L$27,4),1)</f>
        <v>2.4500000000000001E-2</v>
      </c>
      <c r="AJ27" s="71">
        <f>ROUND(POWER(($E$27+200-$J$26-200+900),2)/$AO$27,0)</f>
        <v>135</v>
      </c>
      <c r="AK27" s="71">
        <f>ROUND(($Q$27+$AJ$27)*($A$26+$A$27)/$AQ$27,0)</f>
        <v>12</v>
      </c>
      <c r="AL27" s="70">
        <f ca="1">MIN(ROUND($AK$27/$A$26*$L$27,4),1)</f>
        <v>0.1176</v>
      </c>
      <c r="AM27" s="57">
        <v>0.5</v>
      </c>
      <c r="AN27" s="57">
        <v>0.15</v>
      </c>
      <c r="AO27" s="57">
        <v>6000</v>
      </c>
      <c r="AP27" s="57">
        <v>500</v>
      </c>
      <c r="AQ27" s="57">
        <v>20000</v>
      </c>
      <c r="AU27" s="70"/>
      <c r="AV27" s="9"/>
    </row>
    <row r="28" spans="1:62">
      <c r="A28">
        <v>2000</v>
      </c>
      <c r="B28" s="53">
        <v>0</v>
      </c>
      <c r="D28" s="13">
        <v>0</v>
      </c>
      <c r="E28">
        <f>ROUND(POWER($A$28*D28/100,$AM$28),0)</f>
        <v>0</v>
      </c>
      <c r="F28" s="55">
        <f t="shared" si="3"/>
        <v>5505</v>
      </c>
      <c r="G28">
        <f>ROUND((E28+(30+30)/2)*AN28*兵攻防!A28/基本公式!$B$50,0)</f>
        <v>1800</v>
      </c>
      <c r="H28" s="56">
        <f>ROUND((E28+(基本公式!$B$180+基本公式!$B$28)/2)*AN28*兵攻防!A28/基本公式!$B$50,0)</f>
        <v>7500</v>
      </c>
      <c r="I28" s="13">
        <v>0</v>
      </c>
      <c r="J28">
        <f>ROUND(POWER($A$28*I28/100,$AM$28),0)</f>
        <v>0</v>
      </c>
      <c r="K28" s="2">
        <v>3</v>
      </c>
      <c r="L28">
        <f t="shared" ca="1" si="2"/>
        <v>4.9000000000000004</v>
      </c>
      <c r="M28" s="13">
        <v>125</v>
      </c>
      <c r="N28" s="16">
        <f ca="1">OFFSET(其他表格!G1,M28/100,0)</f>
        <v>0.7</v>
      </c>
      <c r="O28" s="13">
        <v>1</v>
      </c>
      <c r="P28" s="16">
        <f ca="1">OFFSET(其他表格!B1,O28,0)</f>
        <v>0.7</v>
      </c>
      <c r="Q28">
        <f>ROUND(($E$28+200)*$AN$28,2)</f>
        <v>30</v>
      </c>
      <c r="R28">
        <f>ROUND(($E$28+200)*$AN$28,2)</f>
        <v>30</v>
      </c>
      <c r="S28">
        <f>ROUND(POWER(($E$28+200-$J$28-200+$AP$22),2)/$AO$28,2)</f>
        <v>41.67</v>
      </c>
      <c r="T28">
        <f>ROUND(POWER(($J$28+200-$E$28-200+$AP$28),2)/$AO$28,2)</f>
        <v>41.67</v>
      </c>
      <c r="U28">
        <f ca="1">ROUND(($Q$28+$S$28)*($A$28+$A$28)/$AQ$28*$L$22,0)</f>
        <v>70</v>
      </c>
      <c r="V28">
        <f ca="1">ROUND((R28+T28)*($A$28+$A$28)/$AQ$28*$L$22,0)</f>
        <v>70</v>
      </c>
      <c r="W28" s="70">
        <f ca="1">MIN(ROUND(U28/$A$28,4),1)</f>
        <v>3.5000000000000003E-2</v>
      </c>
      <c r="X28" s="70">
        <f ca="1">MIN(ROUND($V$28/$A$28,4),1)</f>
        <v>3.5000000000000003E-2</v>
      </c>
      <c r="Y28">
        <f>ROUND(($E$28+250)*$AN$28,0)</f>
        <v>38</v>
      </c>
      <c r="Z28">
        <f>ROUND(POWER(($E$28+250-$J$28-100+$AP$22),2)/$AO$28,0)</f>
        <v>70</v>
      </c>
      <c r="AA28">
        <f>ROUND(($Y$28+$Z$28)*($A$28+$A$28)/$AQ$28,0)</f>
        <v>22</v>
      </c>
      <c r="AB28" s="70">
        <f ca="1">MIN(ROUND(AA28/$A$28*$L$28,4),1)</f>
        <v>5.3900000000000003E-2</v>
      </c>
      <c r="AC28">
        <f>ROUND(($E$28+100)*$AN$28,0)</f>
        <v>15</v>
      </c>
      <c r="AD28" s="71">
        <f>ROUND(POWER(($E$28+100-$J$28-250+$AP$28),2)/$AO$28,0)</f>
        <v>20</v>
      </c>
      <c r="AE28" s="71">
        <f>ROUND(($AC$28+$AD$28)*($A$28+$A$28)/$AQ$28,0)</f>
        <v>7</v>
      </c>
      <c r="AF28" s="70">
        <f>MIN(ROUND($AE$28/$A$28,4),1)</f>
        <v>3.5000000000000001E-3</v>
      </c>
      <c r="AG28" s="71">
        <f>ROUND(POWER(($E$26+200-$J$28-200+$AP$22),2)/$AO$28,0)</f>
        <v>42</v>
      </c>
      <c r="AH28" s="71">
        <f>ROUND(($Q$26+$AG$28)*($A$26+$A$28)/$AQ$28,0)</f>
        <v>9</v>
      </c>
      <c r="AI28" s="70">
        <f ca="1">MIN(ROUND($AH$28/$A$28*$L$28,4),1)</f>
        <v>2.2100000000000002E-2</v>
      </c>
      <c r="AJ28" s="71">
        <f>ROUND(POWER(($E$28+200-$J$26-200+900),2)/$AO$28,0)</f>
        <v>135</v>
      </c>
      <c r="AK28" s="71">
        <f>ROUND(($Q$28+$AJ$28)*($A$26+$A$28)/$AQ$28,0)</f>
        <v>21</v>
      </c>
      <c r="AL28" s="70">
        <f ca="1">MIN(ROUND($AK$28/$A$26*$L$28,4),1)</f>
        <v>0.20580000000000001</v>
      </c>
      <c r="AM28" s="57">
        <v>0.5</v>
      </c>
      <c r="AN28" s="57">
        <v>0.15</v>
      </c>
      <c r="AO28" s="57">
        <v>6000</v>
      </c>
      <c r="AP28" s="57">
        <v>500</v>
      </c>
      <c r="AQ28" s="57">
        <v>20000</v>
      </c>
      <c r="AU28" s="70"/>
      <c r="AV28" s="9"/>
    </row>
    <row r="29" spans="1:62">
      <c r="A29">
        <v>5000</v>
      </c>
      <c r="B29" s="53">
        <v>0</v>
      </c>
      <c r="D29" s="13">
        <v>0</v>
      </c>
      <c r="E29">
        <f>ROUND(POWER($A$29*D29/100,$AM$29),0)</f>
        <v>0</v>
      </c>
      <c r="F29" s="55">
        <f t="shared" si="3"/>
        <v>13763</v>
      </c>
      <c r="G29">
        <f>ROUND((E29+(30+30)/2)*AN29*兵攻防!A29/基本公式!$B$50,0)</f>
        <v>4500</v>
      </c>
      <c r="H29" s="56">
        <f>ROUND((E29+(基本公式!$B$180+基本公式!$B$28)/2)*AN29*兵攻防!A29/基本公式!$B$50,0)</f>
        <v>18750</v>
      </c>
      <c r="I29" s="13">
        <v>0</v>
      </c>
      <c r="J29">
        <f>ROUND(POWER($A$29*I29/100,$AM$29),0)</f>
        <v>0</v>
      </c>
      <c r="K29" s="2">
        <v>3</v>
      </c>
      <c r="L29">
        <f t="shared" ca="1" si="2"/>
        <v>4.9000000000000004</v>
      </c>
      <c r="M29" s="13">
        <v>125</v>
      </c>
      <c r="N29" s="16">
        <f ca="1">OFFSET(其他表格!G1,M29/100,0)</f>
        <v>0.7</v>
      </c>
      <c r="O29" s="13">
        <v>1</v>
      </c>
      <c r="P29" s="16">
        <f ca="1">OFFSET(其他表格!B1,O29,0)</f>
        <v>0.7</v>
      </c>
      <c r="Q29">
        <f>ROUND(($E$29+200)*$AN$29,2)</f>
        <v>30</v>
      </c>
      <c r="R29">
        <f>ROUND(($E$29+200)*$AN$29,2)</f>
        <v>30</v>
      </c>
      <c r="S29">
        <f>ROUND(POWER(($E$29+200-$J$29-200+$AP$22),2)/$AO$29,2)</f>
        <v>41.67</v>
      </c>
      <c r="T29">
        <f>ROUND(POWER(($J$29+200-$E$29-200+$AP$29),2)/$AO$29,2)</f>
        <v>41.67</v>
      </c>
      <c r="U29">
        <f ca="1">ROUND(($Q$29+$S$29)*($A$29+$A$29)/$AQ$29*$L$22,0)</f>
        <v>176</v>
      </c>
      <c r="V29">
        <f ca="1">ROUND((R29+T29)*($A$29+$A$29)/$AQ$29*$L$22,0)</f>
        <v>176</v>
      </c>
      <c r="W29" s="70">
        <f ca="1">MIN(ROUND(U29/$A$29,4),1)</f>
        <v>3.5200000000000002E-2</v>
      </c>
      <c r="X29" s="70">
        <f ca="1">MIN(ROUND($V$29/$A$29,4),1)</f>
        <v>3.5200000000000002E-2</v>
      </c>
      <c r="Y29">
        <f>ROUND(($E$29+250)*$AN$29,0)</f>
        <v>38</v>
      </c>
      <c r="Z29">
        <f>ROUND(POWER(($E$29+250-$J$29-100+$AP$22),2)/$AO$29,0)</f>
        <v>70</v>
      </c>
      <c r="AA29">
        <f>ROUND(($Y$29+$Z$29)*($A$29+$A$29)/$AQ$29,0)</f>
        <v>54</v>
      </c>
      <c r="AB29" s="70">
        <f ca="1">MIN(ROUND(AA29/$A$29*$L$29,4),1)</f>
        <v>5.2900000000000003E-2</v>
      </c>
      <c r="AC29">
        <f>ROUND(($E$29+100)*$AN$29,0)</f>
        <v>15</v>
      </c>
      <c r="AD29" s="71">
        <f>ROUND(POWER(($E$29+100-$J$29-250+$AP$29),2)/$AO$29,0)</f>
        <v>20</v>
      </c>
      <c r="AE29" s="71">
        <f>ROUND(($AC$29+$AD$29)*($A$29+$A$29)/$AQ$29,0)</f>
        <v>18</v>
      </c>
      <c r="AF29" s="70">
        <f>MIN(ROUND($AE$29/$A$29,4),1)</f>
        <v>3.5999999999999999E-3</v>
      </c>
      <c r="AG29" s="71">
        <f>ROUND(POWER(($E$26+200-$J$29-200+$AP$22),2)/$AO$29,0)</f>
        <v>42</v>
      </c>
      <c r="AH29" s="71">
        <f>ROUND(($Q$26+$AG$29)*($A$26+$A$29)/$AQ$29,0)</f>
        <v>20</v>
      </c>
      <c r="AI29" s="70">
        <f ca="1">MIN(ROUND($AH$29/$A$29*$L$29,4),1)</f>
        <v>1.9599999999999999E-2</v>
      </c>
      <c r="AJ29" s="71">
        <f>ROUND(POWER(($E$29+200-$J$26-200+900),2)/$AO$29,0)</f>
        <v>135</v>
      </c>
      <c r="AK29" s="71">
        <f>ROUND(($Q$29+$AJ$29)*($A$26+$A$29)/$AQ$29,0)</f>
        <v>45</v>
      </c>
      <c r="AL29" s="70">
        <f ca="1">MIN(ROUND($AK$29/$A$26*$L$29,4),1)</f>
        <v>0.441</v>
      </c>
      <c r="AM29" s="57">
        <v>0.5</v>
      </c>
      <c r="AN29" s="57">
        <v>0.15</v>
      </c>
      <c r="AO29" s="57">
        <v>6000</v>
      </c>
      <c r="AP29" s="57">
        <v>500</v>
      </c>
      <c r="AQ29" s="57">
        <v>20000</v>
      </c>
      <c r="AU29" s="70"/>
      <c r="AV29" s="9"/>
    </row>
    <row r="30" spans="1:62">
      <c r="Y30"/>
    </row>
    <row r="31" spans="1:62" s="52" customFormat="1">
      <c r="A31" s="52" t="s">
        <v>163</v>
      </c>
      <c r="B31" s="66" t="s">
        <v>164</v>
      </c>
      <c r="C31" s="66" t="s">
        <v>165</v>
      </c>
      <c r="F31" s="67"/>
      <c r="H31" s="68"/>
      <c r="K31" s="69"/>
      <c r="AR31" s="74"/>
      <c r="AV31" s="54"/>
      <c r="AW31" s="77"/>
      <c r="AX31" s="78"/>
      <c r="BB31" s="79"/>
      <c r="BD31" s="79"/>
      <c r="BG31" s="57"/>
      <c r="BH31" s="57"/>
    </row>
    <row r="32" spans="1:62">
      <c r="A32">
        <v>100</v>
      </c>
      <c r="B32" s="53">
        <f t="shared" ref="B32" ca="1" si="4">ROUND(((U32-$U$29)+($V$29-V32)),0)</f>
        <v>0</v>
      </c>
      <c r="C32" s="54">
        <f ca="1">B32</f>
        <v>0</v>
      </c>
      <c r="D32" s="13">
        <v>5</v>
      </c>
      <c r="E32">
        <f t="shared" ref="E32" si="5">ROUND(POWER(A32*D32/100,AM32),0)</f>
        <v>2</v>
      </c>
      <c r="F32" s="55">
        <f>ROUND(G32*0.35+H32*0.65,0)</f>
        <v>281</v>
      </c>
      <c r="G32">
        <f>ROUND((E32+(30+30)/2)*AN32*兵攻防!A32/基本公式!$B$50,0)</f>
        <v>96</v>
      </c>
      <c r="H32" s="56">
        <f>ROUND((E32+(基本公式!$B$180+基本公式!$B$28)/2)*AN32*兵攻防!A32/基本公式!$B$50,0)</f>
        <v>381</v>
      </c>
      <c r="I32" s="13">
        <v>3</v>
      </c>
      <c r="J32">
        <f>ROUND(POWER($A$24*I32/100,$AM$24),0)</f>
        <v>2</v>
      </c>
      <c r="K32" s="2">
        <v>3</v>
      </c>
      <c r="L32">
        <f t="shared" ref="L32" ca="1" si="6">ROUND(30/K32*P32*N32,2)</f>
        <v>14.18</v>
      </c>
      <c r="M32" s="13">
        <v>250</v>
      </c>
      <c r="N32" s="16">
        <f ca="1">OFFSET(其他表格!$G$2,M32/100,0)</f>
        <v>1.05</v>
      </c>
      <c r="O32" s="13">
        <v>5</v>
      </c>
      <c r="P32" s="16">
        <f ca="1">OFFSET(其他表格!$B$1,O32,0)</f>
        <v>1.35</v>
      </c>
      <c r="Q32">
        <f t="shared" ref="Q32" si="7">ROUND((E32+200)*AN32,2)</f>
        <v>30.3</v>
      </c>
      <c r="R32">
        <f>ROUND(($E$24+200)*$AN$24,2)</f>
        <v>30</v>
      </c>
      <c r="S32">
        <f>ROUND(POWER((E32+200-$J$24-200+AP32),2)/AO32,2)</f>
        <v>42</v>
      </c>
      <c r="T32">
        <f>ROUND(POWER(($E$24+200-J32-200+AP32),2)/AO32,2)</f>
        <v>41.33</v>
      </c>
      <c r="U32">
        <f t="shared" ref="U32" ca="1" si="8">ROUND((Q32+S32)*(A32+A32)/AQ32*L32,0)</f>
        <v>10</v>
      </c>
      <c r="V32">
        <f t="shared" ref="V32" ca="1" si="9">ROUND((R32+T32)*(A32+A32)/AQ32*L32,0)</f>
        <v>10</v>
      </c>
      <c r="W32" s="70">
        <f t="shared" ref="W32" ca="1" si="10">MIN(ROUND(U32/A32,4),1)</f>
        <v>0.1</v>
      </c>
      <c r="X32" s="70">
        <f t="shared" ref="X32" ca="1" si="11">MIN(ROUND(V32/A32,4),1)</f>
        <v>0.1</v>
      </c>
      <c r="Y32"/>
      <c r="Z32"/>
      <c r="AA32"/>
      <c r="AB32" s="70"/>
      <c r="AC32"/>
      <c r="AD32" s="71"/>
      <c r="AE32" s="71"/>
      <c r="AF32" s="70"/>
      <c r="AG32" s="71"/>
      <c r="AH32" s="71"/>
      <c r="AI32" s="70"/>
      <c r="AJ32" s="71"/>
      <c r="AK32" s="71"/>
      <c r="AL32" s="70"/>
      <c r="AM32" s="57">
        <v>0.5</v>
      </c>
      <c r="AN32" s="57">
        <v>0.15</v>
      </c>
      <c r="AO32" s="57">
        <v>6000</v>
      </c>
      <c r="AP32" s="57">
        <v>500</v>
      </c>
      <c r="AQ32" s="57">
        <v>20000</v>
      </c>
      <c r="AS32">
        <f t="shared" ref="AS32" ca="1" si="12">ROUND(AT32*AV32,0)</f>
        <v>2</v>
      </c>
      <c r="AT32">
        <f t="shared" ref="AT32" si="13">ROUND(AY32*0.35+AZ32*0.65,0)</f>
        <v>13</v>
      </c>
      <c r="AU32" s="70">
        <f t="shared" ref="AU32" ca="1" si="14">ROUND(AS32/A32,4)</f>
        <v>0.02</v>
      </c>
      <c r="AV32" s="9">
        <f ca="1">ROUND((AW32+其他表格!K4+基本公式!$B$84)*OFFSET(其他表格!$N$1,兵攻防!O32,0)+OFFSET(其他表格!$P$1,M32/100,0),4)</f>
        <v>0.128</v>
      </c>
      <c r="AW32" s="59">
        <v>0.1</v>
      </c>
      <c r="AX32" s="13">
        <v>90</v>
      </c>
      <c r="AY32">
        <f t="shared" ref="AY32" si="15">BA32+BC32</f>
        <v>2</v>
      </c>
      <c r="AZ32">
        <f t="shared" ref="AZ32" si="16">BB32+BD32</f>
        <v>19</v>
      </c>
      <c r="BA32">
        <f t="shared" ref="BA32" si="17">ROUND(POWER(AX32/10*(BE32*2+BG32),2)/BH32*(A32+A32)/AQ32,0)</f>
        <v>2</v>
      </c>
      <c r="BB32" s="21">
        <f t="shared" ref="BB32" si="18">ROUND(POWER(AX32/10*(BF32*2+BG32),2)/BH32*(A32+A32)/AQ32,0)</f>
        <v>5</v>
      </c>
      <c r="BC32">
        <f t="shared" ref="BC32" si="19">ROUND(POWER(AX32/10*(BE32-BF32+BI32),2)/BJ32*(A32+A32)/AQ32,0)</f>
        <v>0</v>
      </c>
      <c r="BD32" s="21">
        <f t="shared" ref="BD32" si="20">ROUND(POWER(AX32/10*(BF32*2-BE32*2+BI32),2)/BJ32*(A32+A32)/AQ32,0)</f>
        <v>14</v>
      </c>
      <c r="BE32">
        <f>基本公式!$B$183</f>
        <v>30</v>
      </c>
      <c r="BF32">
        <f>基本公式!$B$182</f>
        <v>150</v>
      </c>
      <c r="BG32" s="57">
        <v>300</v>
      </c>
      <c r="BH32" s="57">
        <v>60000</v>
      </c>
      <c r="BI32" s="57">
        <v>200</v>
      </c>
      <c r="BJ32" s="57">
        <v>11500</v>
      </c>
    </row>
    <row r="33" spans="1:62">
      <c r="A33">
        <v>200</v>
      </c>
      <c r="B33" s="53">
        <f ca="1">ROUND(((U33-$U$29)+($V$29-V33)),0)</f>
        <v>1</v>
      </c>
      <c r="C33" s="54">
        <f t="shared" ref="C33" ca="1" si="21">B33</f>
        <v>1</v>
      </c>
      <c r="D33" s="13">
        <v>5</v>
      </c>
      <c r="E33">
        <f>ROUND(POWER(A33*D33/100,AM33),0)</f>
        <v>3</v>
      </c>
      <c r="F33" s="55">
        <f t="shared" ref="F33" si="22">ROUND(G33*0.35+H33*0.65,0)</f>
        <v>569</v>
      </c>
      <c r="G33">
        <f>ROUND((E33+(30+30)/2)*AN33*兵攻防!A33/基本公式!$B$50,0)</f>
        <v>198</v>
      </c>
      <c r="H33" s="56">
        <f>ROUND((E33+(基本公式!$B$180+基本公式!$B$28)/2)*AN33*兵攻防!A33/基本公式!$B$50,0)</f>
        <v>768</v>
      </c>
      <c r="I33" s="13">
        <v>3</v>
      </c>
      <c r="J33">
        <f>ROUND(POWER($A$25*I33/100,$AM$25),0)</f>
        <v>2</v>
      </c>
      <c r="K33" s="2">
        <v>3</v>
      </c>
      <c r="L33">
        <f ca="1">ROUND(30/K33*P33*N33,2)</f>
        <v>14.18</v>
      </c>
      <c r="M33" s="13">
        <v>250</v>
      </c>
      <c r="N33" s="16">
        <f ca="1">OFFSET(其他表格!$G$2,M33/100,0)</f>
        <v>1.05</v>
      </c>
      <c r="O33" s="13">
        <v>5</v>
      </c>
      <c r="P33" s="16">
        <f ca="1">OFFSET(其他表格!$B$1,O33,0)</f>
        <v>1.35</v>
      </c>
      <c r="Q33">
        <f>ROUND((E33+200)*AN33,2)</f>
        <v>30.45</v>
      </c>
      <c r="R33">
        <f>ROUND(($E$25+200)*$AN$25,2)</f>
        <v>30</v>
      </c>
      <c r="S33">
        <f>ROUND(POWER((E33+200-$J$25-200+AP33),2)/AO33,2)</f>
        <v>42.17</v>
      </c>
      <c r="T33">
        <f>ROUND(POWER(($E$25+200-J33-200+AP33),2)/AO33,2)</f>
        <v>41.33</v>
      </c>
      <c r="U33">
        <f ca="1">ROUND((Q33+S33)*(A33+A33)/AQ33*L33,0)</f>
        <v>21</v>
      </c>
      <c r="V33">
        <f ca="1">ROUND((R33+T33)*(A33+A33)/AQ33*L33,0)</f>
        <v>20</v>
      </c>
      <c r="W33" s="70">
        <f ca="1">MIN(ROUND(U33/A33,4),1)</f>
        <v>0.105</v>
      </c>
      <c r="X33" s="70">
        <f ca="1">MIN(ROUND(V33/A33,4),1)</f>
        <v>0.1</v>
      </c>
      <c r="Y33"/>
      <c r="Z33"/>
      <c r="AA33"/>
      <c r="AB33" s="70"/>
      <c r="AC33"/>
      <c r="AD33" s="71"/>
      <c r="AE33" s="71"/>
      <c r="AF33" s="70"/>
      <c r="AG33" s="71"/>
      <c r="AH33" s="71"/>
      <c r="AI33" s="70"/>
      <c r="AJ33" s="71"/>
      <c r="AK33" s="71"/>
      <c r="AL33" s="70"/>
      <c r="AM33" s="57">
        <v>0.5</v>
      </c>
      <c r="AN33" s="57">
        <v>0.15</v>
      </c>
      <c r="AO33" s="57">
        <v>6000</v>
      </c>
      <c r="AP33" s="57">
        <v>500</v>
      </c>
      <c r="AQ33" s="57">
        <v>20000</v>
      </c>
      <c r="AS33">
        <f ca="1">ROUND(AT33*AV33,0)</f>
        <v>4</v>
      </c>
      <c r="AT33">
        <f>ROUND(AY33*0.35+AZ33*0.65,0)</f>
        <v>25</v>
      </c>
      <c r="AU33" s="70">
        <f ca="1">ROUND(AS33/A33,4)</f>
        <v>0.02</v>
      </c>
      <c r="AV33" s="9">
        <f ca="1">ROUND((AW33+其他表格!K5+基本公式!$B$84)*OFFSET(其他表格!$N$1,兵攻防!O33,0)+OFFSET(其他表格!$P$1,M33/100,0),4)</f>
        <v>0.1532</v>
      </c>
      <c r="AW33" s="59">
        <v>0.1</v>
      </c>
      <c r="AX33" s="13">
        <v>90</v>
      </c>
      <c r="AY33">
        <f t="shared" ref="AY33:AZ37" si="23">BA33+BC33</f>
        <v>4</v>
      </c>
      <c r="AZ33">
        <f t="shared" si="23"/>
        <v>37</v>
      </c>
      <c r="BA33">
        <f>ROUND(POWER(AX33/10*(BE33*2+BG33),2)/BH33*(A33+A33)/AQ33,0)</f>
        <v>3</v>
      </c>
      <c r="BB33" s="21">
        <f>ROUND(POWER(AX33/10*(BF33*2+BG33),2)/BH33*(A33+A33)/AQ33,0)</f>
        <v>10</v>
      </c>
      <c r="BC33">
        <f>ROUND(POWER(AX33/10*(BE33-BF33+BI33),2)/BJ33*(A33+A33)/AQ33,0)</f>
        <v>1</v>
      </c>
      <c r="BD33" s="21">
        <f>ROUND(POWER(AX33/10*(BF33*2-BE33*2+BI33),2)/BJ33*(A33+A33)/AQ33,0)</f>
        <v>27</v>
      </c>
      <c r="BE33">
        <f>基本公式!$B$183</f>
        <v>30</v>
      </c>
      <c r="BF33">
        <f>基本公式!$B$182</f>
        <v>150</v>
      </c>
      <c r="BG33" s="57">
        <v>300</v>
      </c>
      <c r="BH33" s="57">
        <v>60000</v>
      </c>
      <c r="BI33" s="57">
        <v>200</v>
      </c>
      <c r="BJ33" s="57">
        <v>11500</v>
      </c>
    </row>
    <row r="34" spans="1:62">
      <c r="A34">
        <v>500</v>
      </c>
      <c r="B34" s="53">
        <f ca="1">ROUND(((U34-$U$29)+($V$29-V34)),0)</f>
        <v>2</v>
      </c>
      <c r="C34" s="54">
        <f ca="1">B34</f>
        <v>2</v>
      </c>
      <c r="D34" s="13">
        <v>5</v>
      </c>
      <c r="E34">
        <f>ROUND(POWER(A34*D34/100,AM34),0)</f>
        <v>5</v>
      </c>
      <c r="F34" s="55">
        <f>ROUND(G34*0.35+H34*0.65,0)</f>
        <v>1451</v>
      </c>
      <c r="G34">
        <f>ROUND((E34+(30+30)/2)*AN34*兵攻防!A34/基本公式!$B$50,0)</f>
        <v>525</v>
      </c>
      <c r="H34" s="56">
        <f>ROUND((E34+(基本公式!$B$180+基本公式!$B$28)/2)*AN34*兵攻防!A34/基本公式!$B$50,0)</f>
        <v>1950</v>
      </c>
      <c r="I34" s="13">
        <v>3</v>
      </c>
      <c r="J34">
        <f>ROUND(POWER($A$26*I34/100,$AM$26),0)</f>
        <v>4</v>
      </c>
      <c r="K34" s="2">
        <v>3</v>
      </c>
      <c r="L34">
        <f ca="1">ROUND(30/K34*P34*N34,2)</f>
        <v>14.18</v>
      </c>
      <c r="M34" s="13">
        <v>250</v>
      </c>
      <c r="N34" s="16">
        <f ca="1">OFFSET(其他表格!$G$2,M34/100,0)</f>
        <v>1.05</v>
      </c>
      <c r="O34" s="13">
        <v>5</v>
      </c>
      <c r="P34" s="16">
        <f ca="1">OFFSET(其他表格!$B$1,O34,0)</f>
        <v>1.35</v>
      </c>
      <c r="Q34">
        <f>ROUND((E34+200)*AN34,2)</f>
        <v>30.75</v>
      </c>
      <c r="R34">
        <f>ROUND(($E$26+200)*$AN$26,2)</f>
        <v>30</v>
      </c>
      <c r="S34">
        <f>ROUND(POWER((E34+200-$J$26-200+AP34),2)/AO34,2)</f>
        <v>42.5</v>
      </c>
      <c r="T34">
        <f>ROUND(POWER(($E$26+200-J34-200+AP34),2)/AO34,2)</f>
        <v>41</v>
      </c>
      <c r="U34">
        <f ca="1">ROUND((Q34+S34)*(A34+A34)/AQ34*L34,0)</f>
        <v>52</v>
      </c>
      <c r="V34">
        <f ca="1">ROUND((R34+T34)*(A34+A34)/AQ34*L34,0)</f>
        <v>50</v>
      </c>
      <c r="W34" s="70">
        <f ca="1">MIN(ROUND(U34/A34,4),1)</f>
        <v>0.104</v>
      </c>
      <c r="X34" s="70">
        <f ca="1">MIN(ROUND(V34/A34,4),1)</f>
        <v>0.1</v>
      </c>
      <c r="Y34"/>
      <c r="Z34"/>
      <c r="AA34"/>
      <c r="AB34" s="70"/>
      <c r="AC34"/>
      <c r="AD34" s="71"/>
      <c r="AE34" s="71"/>
      <c r="AF34" s="70"/>
      <c r="AG34" s="71"/>
      <c r="AH34" s="71"/>
      <c r="AI34" s="70"/>
      <c r="AJ34" s="71"/>
      <c r="AK34" s="71"/>
      <c r="AL34" s="70"/>
      <c r="AM34" s="57">
        <v>0.5</v>
      </c>
      <c r="AN34" s="57">
        <v>0.15</v>
      </c>
      <c r="AO34" s="57">
        <v>6000</v>
      </c>
      <c r="AP34" s="57">
        <v>500</v>
      </c>
      <c r="AQ34" s="57">
        <v>20000</v>
      </c>
      <c r="AS34">
        <f ca="1">ROUND(AT34*AV34,0)</f>
        <v>11</v>
      </c>
      <c r="AT34">
        <f>ROUND(AY34*0.35+AZ34*0.65,0)</f>
        <v>64</v>
      </c>
      <c r="AU34" s="70">
        <f ca="1">ROUND(AS34/A34,4)</f>
        <v>2.1999999999999999E-2</v>
      </c>
      <c r="AV34" s="9">
        <f ca="1">ROUND((AW34+其他表格!K6+基本公式!$B$84)*OFFSET(其他表格!$N$1,兵攻防!O34,0)+OFFSET(其他表格!$P$1,M34/100,0),4)</f>
        <v>0.17849999999999999</v>
      </c>
      <c r="AW34" s="59">
        <v>0.1</v>
      </c>
      <c r="AX34" s="13">
        <v>90</v>
      </c>
      <c r="AY34">
        <f t="shared" si="23"/>
        <v>11</v>
      </c>
      <c r="AZ34">
        <f t="shared" si="23"/>
        <v>92</v>
      </c>
      <c r="BA34">
        <f>ROUND(POWER(AX34/10*(BE34*2+BG34),2)/BH34*(A34+A34)/AQ34,0)</f>
        <v>9</v>
      </c>
      <c r="BB34" s="21">
        <f>ROUND(POWER(AX34/10*(BF34*2+BG34),2)/BH34*(A34+A34)/AQ34,0)</f>
        <v>24</v>
      </c>
      <c r="BC34">
        <f>ROUND(POWER(AX34/10*(BE34-BF34+BI34),2)/BJ34*(A34+A34)/AQ34,0)</f>
        <v>2</v>
      </c>
      <c r="BD34" s="21">
        <f>ROUND(POWER(AX34/10*(BF34*2-BE34*2+BI34),2)/BJ34*(A34+A34)/AQ34,0)</f>
        <v>68</v>
      </c>
      <c r="BE34">
        <f>基本公式!$B$183</f>
        <v>30</v>
      </c>
      <c r="BF34">
        <f>基本公式!$B$182</f>
        <v>150</v>
      </c>
      <c r="BG34" s="57">
        <v>300</v>
      </c>
      <c r="BH34" s="57">
        <v>60000</v>
      </c>
      <c r="BI34" s="57">
        <v>200</v>
      </c>
      <c r="BJ34" s="57">
        <v>11500</v>
      </c>
    </row>
    <row r="35" spans="1:62">
      <c r="A35">
        <v>1000</v>
      </c>
      <c r="B35" s="53">
        <f ca="1">ROUND(((U35-$U$29)+($V$29-V35)),0)</f>
        <v>5</v>
      </c>
      <c r="C35" s="54">
        <f ca="1">B35</f>
        <v>5</v>
      </c>
      <c r="D35" s="13">
        <v>5</v>
      </c>
      <c r="E35">
        <f>ROUND(POWER(A35*D35/100,AM35),0)</f>
        <v>7</v>
      </c>
      <c r="F35" s="55">
        <f>ROUND(G35*0.35+H35*0.65,0)</f>
        <v>2963</v>
      </c>
      <c r="G35">
        <f>ROUND((E35+(30+30)/2)*AN35*兵攻防!A35/基本公式!$B$50,0)</f>
        <v>1110</v>
      </c>
      <c r="H35" s="56">
        <f>ROUND((E35+(基本公式!$B$180+基本公式!$B$28)/2)*AN35*兵攻防!A35/基本公式!$B$50,0)</f>
        <v>3960</v>
      </c>
      <c r="I35" s="13">
        <v>3</v>
      </c>
      <c r="J35">
        <f>ROUND(POWER($A$27*I35/100,$AM$27),0)</f>
        <v>5</v>
      </c>
      <c r="K35" s="2">
        <v>3</v>
      </c>
      <c r="L35">
        <f ca="1">ROUND(30/K35*P35*N35,2)</f>
        <v>14.18</v>
      </c>
      <c r="M35" s="13">
        <v>250</v>
      </c>
      <c r="N35" s="16">
        <f ca="1">OFFSET(其他表格!$G$2,M35/100,0)</f>
        <v>1.05</v>
      </c>
      <c r="O35" s="13">
        <v>5</v>
      </c>
      <c r="P35" s="16">
        <f ca="1">OFFSET(其他表格!$B$1,O35,0)</f>
        <v>1.35</v>
      </c>
      <c r="Q35">
        <f>ROUND((E35+200)*AN35,2)</f>
        <v>31.05</v>
      </c>
      <c r="R35">
        <f>ROUND(($E$27+200)*$AN$27,2)</f>
        <v>30</v>
      </c>
      <c r="S35">
        <f>ROUND(POWER((E35+200-$J$27-200+AP35),2)/AO35,2)</f>
        <v>42.84</v>
      </c>
      <c r="T35">
        <f>ROUND(POWER(($E$27+200-J35-200+AP35),2)/AO35,2)</f>
        <v>40.840000000000003</v>
      </c>
      <c r="U35">
        <f ca="1">ROUND((Q35+S35)*(A35+A35)/AQ35*L35,0)</f>
        <v>105</v>
      </c>
      <c r="V35">
        <f ca="1">ROUND((R35+T35)*(A35+A35)/AQ35*L35,0)</f>
        <v>100</v>
      </c>
      <c r="W35" s="70">
        <f ca="1">MIN(ROUND(U35/A35,4),1)</f>
        <v>0.105</v>
      </c>
      <c r="X35" s="70">
        <f ca="1">MIN(ROUND(V35/A35,4),1)</f>
        <v>0.1</v>
      </c>
      <c r="Y35"/>
      <c r="Z35"/>
      <c r="AA35"/>
      <c r="AB35" s="70"/>
      <c r="AC35"/>
      <c r="AD35" s="71"/>
      <c r="AE35" s="71"/>
      <c r="AF35" s="70"/>
      <c r="AG35" s="71"/>
      <c r="AH35" s="71"/>
      <c r="AI35" s="70"/>
      <c r="AJ35" s="71"/>
      <c r="AK35" s="71"/>
      <c r="AL35" s="70"/>
      <c r="AM35" s="57">
        <v>0.5</v>
      </c>
      <c r="AN35" s="57">
        <v>0.15</v>
      </c>
      <c r="AO35" s="57">
        <v>6000</v>
      </c>
      <c r="AP35" s="57">
        <v>500</v>
      </c>
      <c r="AQ35" s="57">
        <v>20000</v>
      </c>
      <c r="AS35">
        <f ca="1">ROUND(AT35*AV35,0)</f>
        <v>26</v>
      </c>
      <c r="AT35">
        <f>ROUND(AY35*0.35+AZ35*0.65,0)</f>
        <v>128</v>
      </c>
      <c r="AU35" s="70">
        <f ca="1">ROUND(AS35/A35,4)</f>
        <v>2.5999999999999999E-2</v>
      </c>
      <c r="AV35" s="9">
        <f ca="1">ROUND((AW35+其他表格!K7+基本公式!$B$84)*OFFSET(其他表格!$N$1,兵攻防!O35,0)+OFFSET(其他表格!$P$1,M35/100,0),4)</f>
        <v>0.20380000000000001</v>
      </c>
      <c r="AW35" s="59">
        <v>0.1</v>
      </c>
      <c r="AX35" s="13">
        <v>90</v>
      </c>
      <c r="AY35">
        <f t="shared" si="23"/>
        <v>22</v>
      </c>
      <c r="AZ35">
        <f t="shared" si="23"/>
        <v>185</v>
      </c>
      <c r="BA35">
        <f>ROUND(POWER(AX35/10*(BE35*2+BG35),2)/BH35*(A35+A35)/AQ35,0)</f>
        <v>17</v>
      </c>
      <c r="BB35" s="21">
        <f>ROUND(POWER(AX35/10*(BF35*2+BG35),2)/BH35*(A35+A35)/AQ35,0)</f>
        <v>49</v>
      </c>
      <c r="BC35">
        <f>ROUND(POWER(AX35/10*(BE35-BF35+BI35),2)/BJ35*(A35+A35)/AQ35,0)</f>
        <v>5</v>
      </c>
      <c r="BD35" s="21">
        <f>ROUND(POWER(AX35/10*(BF35*2-BE35*2+BI35),2)/BJ35*(A35+A35)/AQ35,0)</f>
        <v>136</v>
      </c>
      <c r="BE35">
        <f>基本公式!$B$183</f>
        <v>30</v>
      </c>
      <c r="BF35">
        <f>基本公式!$B$182</f>
        <v>150</v>
      </c>
      <c r="BG35" s="57">
        <v>300</v>
      </c>
      <c r="BH35" s="57">
        <v>60000</v>
      </c>
      <c r="BI35" s="57">
        <v>200</v>
      </c>
      <c r="BJ35" s="57">
        <v>11500</v>
      </c>
    </row>
    <row r="36" spans="1:62">
      <c r="A36">
        <v>2000</v>
      </c>
      <c r="B36" s="53">
        <f ca="1">ROUND(((U36-$U$29)+($V$29-V36)),0)</f>
        <v>13</v>
      </c>
      <c r="C36" s="54">
        <f ca="1">B36</f>
        <v>13</v>
      </c>
      <c r="D36" s="13">
        <v>5</v>
      </c>
      <c r="E36">
        <f>ROUND(POWER(A36*D36/100,AM36),0)</f>
        <v>10</v>
      </c>
      <c r="F36" s="55">
        <f>ROUND(G36*0.35+H36*0.65,0)</f>
        <v>6105</v>
      </c>
      <c r="G36">
        <f>ROUND((E36+(30+30)/2)*AN36*兵攻防!A36/基本公式!$B$50,0)</f>
        <v>2400</v>
      </c>
      <c r="H36" s="56">
        <f>ROUND((E36+(基本公式!$B$180+基本公式!$B$28)/2)*AN36*兵攻防!A36/基本公式!$B$50,0)</f>
        <v>8100</v>
      </c>
      <c r="I36" s="13">
        <v>3</v>
      </c>
      <c r="J36">
        <f>ROUND(POWER($A$28*I36/100,$AM$28),0)</f>
        <v>8</v>
      </c>
      <c r="K36" s="2">
        <v>3</v>
      </c>
      <c r="L36">
        <f ca="1">ROUND(30/K36*P36*N36,2)</f>
        <v>14.18</v>
      </c>
      <c r="M36" s="13">
        <v>250</v>
      </c>
      <c r="N36" s="16">
        <f ca="1">OFFSET(其他表格!$G$2,M36/100,0)</f>
        <v>1.05</v>
      </c>
      <c r="O36" s="13">
        <v>5</v>
      </c>
      <c r="P36" s="16">
        <f ca="1">OFFSET(其他表格!$B$1,O36,0)</f>
        <v>1.35</v>
      </c>
      <c r="Q36">
        <f>ROUND((E36+200)*AN36,2)</f>
        <v>31.5</v>
      </c>
      <c r="R36">
        <f>ROUND(($E$28+200)*$AN$28,2)</f>
        <v>30</v>
      </c>
      <c r="S36">
        <f>ROUND(POWER((E36+200-$J$28-200+AP36),2)/AO36,2)</f>
        <v>43.35</v>
      </c>
      <c r="T36">
        <f>ROUND(POWER(($E$28+200-J36-200+AP36),2)/AO36,2)</f>
        <v>40.340000000000003</v>
      </c>
      <c r="U36">
        <f ca="1">ROUND((Q36+S36)*(A36+A36)/AQ36*L36,0)</f>
        <v>212</v>
      </c>
      <c r="V36">
        <f ca="1">ROUND((R36+T36)*(A36+A36)/AQ36*L36,0)</f>
        <v>199</v>
      </c>
      <c r="W36" s="70">
        <f ca="1">MIN(ROUND(U36/A36,4),1)</f>
        <v>0.106</v>
      </c>
      <c r="X36" s="70">
        <f ca="1">MIN(ROUND(V36/A36,4),1)</f>
        <v>9.9500000000000005E-2</v>
      </c>
      <c r="Y36"/>
      <c r="Z36"/>
      <c r="AA36"/>
      <c r="AB36" s="70"/>
      <c r="AC36"/>
      <c r="AD36" s="71"/>
      <c r="AE36" s="71"/>
      <c r="AF36" s="70"/>
      <c r="AG36" s="71"/>
      <c r="AH36" s="71"/>
      <c r="AI36" s="70"/>
      <c r="AJ36" s="71"/>
      <c r="AK36" s="71"/>
      <c r="AL36" s="70"/>
      <c r="AM36" s="57">
        <v>0.5</v>
      </c>
      <c r="AN36" s="57">
        <v>0.15</v>
      </c>
      <c r="AO36" s="57">
        <v>6000</v>
      </c>
      <c r="AP36" s="57">
        <v>500</v>
      </c>
      <c r="AQ36" s="57">
        <v>20000</v>
      </c>
      <c r="AS36">
        <f ca="1">ROUND(AT36*AV36,0)</f>
        <v>60</v>
      </c>
      <c r="AT36">
        <f>ROUND(AY36*0.35+AZ36*0.65,0)</f>
        <v>256</v>
      </c>
      <c r="AU36" s="70">
        <f ca="1">ROUND(AS36/A36,4)</f>
        <v>0.03</v>
      </c>
      <c r="AV36" s="9">
        <f ca="1">ROUND((AW36+其他表格!K8+基本公式!$B$84)*OFFSET(其他表格!$N$1,兵攻防!O36,0)+OFFSET(其他表格!$P$1,M36/100,0),4)</f>
        <v>0.23330000000000001</v>
      </c>
      <c r="AW36" s="59">
        <v>0.1</v>
      </c>
      <c r="AX36" s="13">
        <v>90</v>
      </c>
      <c r="AY36">
        <f t="shared" si="23"/>
        <v>44</v>
      </c>
      <c r="AZ36">
        <f t="shared" si="23"/>
        <v>370</v>
      </c>
      <c r="BA36">
        <f>ROUND(POWER(AX36/10*(BE36*2+BG36),2)/BH36*(A36+A36)/AQ36,0)</f>
        <v>35</v>
      </c>
      <c r="BB36" s="21">
        <f>ROUND(POWER(AX36/10*(BF36*2+BG36),2)/BH36*(A36+A36)/AQ36,0)</f>
        <v>97</v>
      </c>
      <c r="BC36">
        <f>ROUND(POWER(AX36/10*(BE36-BF36+BI36),2)/BJ36*(A36+A36)/AQ36,0)</f>
        <v>9</v>
      </c>
      <c r="BD36" s="21">
        <f>ROUND(POWER(AX36/10*(BF36*2-BE36*2+BI36),2)/BJ36*(A36+A36)/AQ36,0)</f>
        <v>273</v>
      </c>
      <c r="BE36">
        <f>基本公式!$B$183</f>
        <v>30</v>
      </c>
      <c r="BF36">
        <f>基本公式!$B$182</f>
        <v>150</v>
      </c>
      <c r="BG36" s="57">
        <v>300</v>
      </c>
      <c r="BH36" s="57">
        <v>60000</v>
      </c>
      <c r="BI36" s="57">
        <v>200</v>
      </c>
      <c r="BJ36" s="57">
        <v>11500</v>
      </c>
    </row>
    <row r="37" spans="1:62">
      <c r="A37">
        <v>5000</v>
      </c>
      <c r="B37" s="53">
        <f ca="1">ROUND(((U37-$U$29)+($V$29-V37)),0)</f>
        <v>50</v>
      </c>
      <c r="C37" s="54">
        <f ca="1">B37</f>
        <v>50</v>
      </c>
      <c r="D37" s="13">
        <v>5</v>
      </c>
      <c r="E37">
        <f>ROUND(POWER(A37*D37/100,AM37),0)</f>
        <v>16</v>
      </c>
      <c r="F37" s="55">
        <f>ROUND(G37*0.35+H37*0.65,0)</f>
        <v>16163</v>
      </c>
      <c r="G37">
        <f>ROUND((E37+(30+30)/2)*AN37*兵攻防!A37/基本公式!$B$50,0)</f>
        <v>6900</v>
      </c>
      <c r="H37" s="56">
        <f>ROUND((E37+(基本公式!$B$180+基本公式!$B$28)/2)*AN37*兵攻防!A37/基本公式!$B$50,0)</f>
        <v>21150</v>
      </c>
      <c r="I37" s="13">
        <v>3</v>
      </c>
      <c r="J37">
        <f>ROUND(POWER($A$29*I37/100,$AM$29),0)</f>
        <v>12</v>
      </c>
      <c r="K37" s="2">
        <v>3</v>
      </c>
      <c r="L37">
        <f ca="1">ROUND(30/K37*P37*N37,2)</f>
        <v>14.18</v>
      </c>
      <c r="M37" s="13">
        <v>250</v>
      </c>
      <c r="N37" s="16">
        <f ca="1">OFFSET(其他表格!$G$2,M37/100,0)</f>
        <v>1.05</v>
      </c>
      <c r="O37" s="13">
        <v>5</v>
      </c>
      <c r="P37" s="16">
        <f ca="1">OFFSET(其他表格!$B$1,O37,0)</f>
        <v>1.35</v>
      </c>
      <c r="Q37">
        <f>ROUND((E37+200)*AN37,2)</f>
        <v>32.4</v>
      </c>
      <c r="R37">
        <f>ROUND(($E$29+200)*$AN$29,2)</f>
        <v>30</v>
      </c>
      <c r="S37">
        <f>ROUND(POWER((E37+200-$J$29-200+AP37),2)/AO37,2)</f>
        <v>44.38</v>
      </c>
      <c r="T37">
        <f>ROUND(POWER(($E$29+200-J37-200+AP37),2)/AO37,2)</f>
        <v>39.69</v>
      </c>
      <c r="U37">
        <f ca="1">ROUND((Q37+S37)*(A37+A37)/AQ37*L37,0)</f>
        <v>544</v>
      </c>
      <c r="V37">
        <f ca="1">ROUND((R37+T37)*(A37+A37)/AQ37*L37,0)</f>
        <v>494</v>
      </c>
      <c r="W37" s="70">
        <f ca="1">MIN(ROUND(U37/A37,4),1)</f>
        <v>0.10879999999999999</v>
      </c>
      <c r="X37" s="70">
        <f ca="1">MIN(ROUND(V37/A37,4),1)</f>
        <v>9.8799999999999999E-2</v>
      </c>
      <c r="Y37"/>
      <c r="Z37"/>
      <c r="AA37"/>
      <c r="AB37" s="70"/>
      <c r="AC37"/>
      <c r="AD37" s="71"/>
      <c r="AE37" s="71"/>
      <c r="AF37" s="70"/>
      <c r="AG37" s="71"/>
      <c r="AH37" s="71"/>
      <c r="AI37" s="70"/>
      <c r="AJ37" s="71"/>
      <c r="AK37" s="71"/>
      <c r="AL37" s="70"/>
      <c r="AM37" s="57">
        <v>0.5</v>
      </c>
      <c r="AN37" s="57">
        <v>0.15</v>
      </c>
      <c r="AO37" s="57">
        <v>6000</v>
      </c>
      <c r="AP37" s="57">
        <v>500</v>
      </c>
      <c r="AQ37" s="57">
        <v>20000</v>
      </c>
      <c r="AS37">
        <f ca="1">ROUND(AT37*AV37,0)</f>
        <v>171</v>
      </c>
      <c r="AT37">
        <f>ROUND(AY37*0.35+AZ37*0.65,0)</f>
        <v>640</v>
      </c>
      <c r="AU37" s="70">
        <f ca="1">ROUND(AS37/A37,4)</f>
        <v>3.4200000000000001E-2</v>
      </c>
      <c r="AV37" s="9">
        <f ca="1">ROUND((AW37+其他表格!K9+基本公式!$B$84)*OFFSET(其他表格!$N$1,兵攻防!O37,0)+OFFSET(其他表格!$P$1,M37/100,0),4)</f>
        <v>0.26700000000000002</v>
      </c>
      <c r="AW37" s="59">
        <v>0.1</v>
      </c>
      <c r="AX37" s="13">
        <v>90</v>
      </c>
      <c r="AY37">
        <f t="shared" si="23"/>
        <v>110</v>
      </c>
      <c r="AZ37">
        <f t="shared" si="23"/>
        <v>925</v>
      </c>
      <c r="BA37">
        <f>ROUND(POWER(AX37/10*(BE37*2+BG37),2)/BH37*(A37+A37)/AQ37,0)</f>
        <v>87</v>
      </c>
      <c r="BB37" s="21">
        <f>ROUND(POWER(AX37/10*(BF37*2+BG37),2)/BH37*(A37+A37)/AQ37,0)</f>
        <v>243</v>
      </c>
      <c r="BC37">
        <f>ROUND(POWER(AX37/10*(BE37-BF37+BI37),2)/BJ37*(A37+A37)/AQ37,0)</f>
        <v>23</v>
      </c>
      <c r="BD37" s="21">
        <f>ROUND(POWER(AX37/10*(BF37*2-BE37*2+BI37),2)/BJ37*(A37+A37)/AQ37,0)</f>
        <v>682</v>
      </c>
      <c r="BE37">
        <f>基本公式!$B$183</f>
        <v>30</v>
      </c>
      <c r="BF37">
        <f>基本公式!$B$182</f>
        <v>150</v>
      </c>
      <c r="BG37" s="57">
        <v>300</v>
      </c>
      <c r="BH37" s="57">
        <v>60000</v>
      </c>
      <c r="BI37" s="57">
        <v>200</v>
      </c>
      <c r="BJ37" s="57">
        <v>11500</v>
      </c>
    </row>
    <row r="39" spans="1:62" s="52" customFormat="1">
      <c r="A39" s="52" t="s">
        <v>166</v>
      </c>
      <c r="B39" s="66" t="s">
        <v>164</v>
      </c>
      <c r="C39" s="66" t="s">
        <v>167</v>
      </c>
      <c r="F39" s="67"/>
      <c r="H39" s="68"/>
      <c r="K39" s="69"/>
      <c r="AR39" s="74"/>
      <c r="AV39" s="54"/>
      <c r="AW39" s="77"/>
      <c r="AX39" s="78"/>
      <c r="BB39" s="79"/>
      <c r="BD39" s="79"/>
      <c r="BG39" s="57"/>
      <c r="BH39" s="57"/>
    </row>
    <row r="40" spans="1:62">
      <c r="A40">
        <v>100</v>
      </c>
      <c r="B40" s="53">
        <f t="shared" ref="B40" ca="1" si="24">ROUND(((U40-$U$29)+($V$29-V40)),0)</f>
        <v>0</v>
      </c>
      <c r="C40" s="54">
        <v>13</v>
      </c>
      <c r="D40" s="13">
        <v>14</v>
      </c>
      <c r="E40">
        <f t="shared" ref="E40" si="25">ROUND(POWER(A40*D40/100,AM40),0)</f>
        <v>4</v>
      </c>
      <c r="F40" s="55">
        <f>ROUND(G40*0.35+H40*0.65,0)</f>
        <v>287</v>
      </c>
      <c r="G40">
        <f>ROUND((E40+(30+30)/2)*AN40*兵攻防!A40/基本公式!$B$50,0)</f>
        <v>102</v>
      </c>
      <c r="H40" s="56">
        <f>ROUND((E40+(基本公式!$B$180+基本公式!$B$28)/2)*AN40*兵攻防!A40/基本公式!$B$50,0)</f>
        <v>387</v>
      </c>
      <c r="I40" s="13">
        <v>7</v>
      </c>
      <c r="J40">
        <f>ROUND(POWER($A$24*I40/100,$AM$24),0)</f>
        <v>3</v>
      </c>
      <c r="K40" s="2">
        <v>3</v>
      </c>
      <c r="L40">
        <f t="shared" ref="L40" ca="1" si="26">ROUND(30/K40*P40*N40,2)</f>
        <v>15</v>
      </c>
      <c r="M40" s="13">
        <v>190</v>
      </c>
      <c r="N40" s="16">
        <f ca="1">OFFSET(其他表格!$G$2,M40/100,0)</f>
        <v>1</v>
      </c>
      <c r="O40" s="13">
        <v>8</v>
      </c>
      <c r="P40" s="16">
        <f ca="1">OFFSET(其他表格!$B$1,O40,0)</f>
        <v>1.5</v>
      </c>
      <c r="Q40">
        <f t="shared" ref="Q40" si="27">ROUND((E40+200)*AN40,2)</f>
        <v>30.6</v>
      </c>
      <c r="R40">
        <f>ROUND(($E$24+200)*$AN$24,2)</f>
        <v>30</v>
      </c>
      <c r="S40">
        <f>ROUND(POWER((E40+200-$J$24-200+AP40),2)/AO40,2)</f>
        <v>42.34</v>
      </c>
      <c r="T40">
        <f>ROUND(POWER(($E$24+200-J40-200+AP40),2)/AO40,2)</f>
        <v>41.17</v>
      </c>
      <c r="U40">
        <f t="shared" ref="U40" ca="1" si="28">ROUND((Q40+S40)*(A40+A40)/AQ40*L40,0)</f>
        <v>11</v>
      </c>
      <c r="V40">
        <f t="shared" ref="V40" ca="1" si="29">ROUND((R40+T40)*(A40+A40)/AQ40*L40,0)</f>
        <v>11</v>
      </c>
      <c r="W40" s="70">
        <f t="shared" ref="W40" ca="1" si="30">MIN(ROUND(U40/A40,4),1)</f>
        <v>0.11</v>
      </c>
      <c r="X40" s="70">
        <f t="shared" ref="X40" ca="1" si="31">MIN(ROUND(V40/A40,4),1)</f>
        <v>0.11</v>
      </c>
      <c r="Y40"/>
      <c r="Z40"/>
      <c r="AA40"/>
      <c r="AB40" s="70"/>
      <c r="AC40"/>
      <c r="AD40" s="71"/>
      <c r="AE40" s="71"/>
      <c r="AF40" s="70"/>
      <c r="AG40" s="71"/>
      <c r="AH40" s="71"/>
      <c r="AI40" s="70"/>
      <c r="AJ40" s="71"/>
      <c r="AK40" s="71"/>
      <c r="AL40" s="70"/>
      <c r="AM40" s="57">
        <v>0.5</v>
      </c>
      <c r="AN40" s="57">
        <v>0.15</v>
      </c>
      <c r="AO40" s="57">
        <v>6000</v>
      </c>
      <c r="AP40" s="57">
        <v>500</v>
      </c>
      <c r="AQ40" s="57">
        <v>20000</v>
      </c>
      <c r="AS40">
        <f t="shared" ref="AS40" ca="1" si="32">ROUND(AT40*AV40,0)</f>
        <v>4</v>
      </c>
      <c r="AT40">
        <f t="shared" ref="AT40" si="33">ROUND(AY40*0.35+AZ40*0.65,0)</f>
        <v>21</v>
      </c>
      <c r="AU40" s="70">
        <f t="shared" ref="AU40" ca="1" si="34">ROUND(AS40/A40,4)</f>
        <v>0.04</v>
      </c>
      <c r="AV40" s="9">
        <f ca="1">ROUND((AW40+其他表格!K4+基本公式!$B$84)*OFFSET(其他表格!$N$1,兵攻防!O40,0)+OFFSET(其他表格!$P$1,M40/100,0),4)</f>
        <v>0.1757</v>
      </c>
      <c r="AW40" s="59">
        <v>0.1</v>
      </c>
      <c r="AX40" s="13">
        <v>115</v>
      </c>
      <c r="AY40">
        <f t="shared" ref="AY40" si="35">BA40+BC40</f>
        <v>4</v>
      </c>
      <c r="AZ40">
        <f t="shared" ref="AZ40" si="36">BB40+BD40</f>
        <v>30</v>
      </c>
      <c r="BA40">
        <f t="shared" ref="BA40" si="37">ROUND(POWER(AX40/10*(BE40*2+BG40),2)/BH40*(A40+A40)/AQ40,0)</f>
        <v>3</v>
      </c>
      <c r="BB40" s="21">
        <f t="shared" ref="BB40" si="38">ROUND(POWER(AX40/10*(BF40*2+BG40),2)/BH40*(A40+A40)/AQ40,0)</f>
        <v>8</v>
      </c>
      <c r="BC40">
        <f t="shared" ref="BC40" si="39">ROUND(POWER(AX40/10*(BE40-BF40+BI40),2)/BJ40*(A40+A40)/AQ40,0)</f>
        <v>1</v>
      </c>
      <c r="BD40" s="21">
        <f t="shared" ref="BD40" si="40">ROUND(POWER(AX40/10*(BF40*2-BE40*2+BI40),2)/BJ40*(A40+A40)/AQ40,0)</f>
        <v>22</v>
      </c>
      <c r="BE40">
        <f>基本公式!$B$183</f>
        <v>30</v>
      </c>
      <c r="BF40">
        <f>基本公式!$B$182</f>
        <v>150</v>
      </c>
      <c r="BG40" s="57">
        <v>300</v>
      </c>
      <c r="BH40" s="57">
        <v>60000</v>
      </c>
      <c r="BI40" s="57">
        <v>200</v>
      </c>
      <c r="BJ40" s="57">
        <v>11500</v>
      </c>
    </row>
    <row r="41" spans="1:62">
      <c r="A41">
        <v>200</v>
      </c>
      <c r="B41" s="53">
        <f ca="1">ROUND(((U41-$U$29)+($V$29-V41)),0)</f>
        <v>1</v>
      </c>
      <c r="C41" s="54">
        <f ca="1">ROUND(C33*基本公式!$B$83,0)</f>
        <v>2</v>
      </c>
      <c r="D41" s="13">
        <v>14</v>
      </c>
      <c r="E41">
        <f>ROUND(POWER(A41*D41/100,AM41),0)</f>
        <v>5</v>
      </c>
      <c r="F41" s="55">
        <f t="shared" ref="F41" si="41">ROUND(G41*0.35+H41*0.65,0)</f>
        <v>581</v>
      </c>
      <c r="G41">
        <f>ROUND((E41+(30+30)/2)*AN41*兵攻防!A41/基本公式!$B$50,0)</f>
        <v>210</v>
      </c>
      <c r="H41" s="56">
        <f>ROUND((E41+(基本公式!$B$180+基本公式!$B$28)/2)*AN41*兵攻防!A41/基本公式!$B$50,0)</f>
        <v>780</v>
      </c>
      <c r="I41" s="13">
        <v>7</v>
      </c>
      <c r="J41">
        <f>ROUND(POWER($A$25*I41/100,$AM$25),0)</f>
        <v>4</v>
      </c>
      <c r="K41" s="2">
        <v>3</v>
      </c>
      <c r="L41">
        <f ca="1">ROUND(30/K41*P41*N41,2)</f>
        <v>15</v>
      </c>
      <c r="M41" s="13">
        <v>190</v>
      </c>
      <c r="N41" s="16">
        <f ca="1">OFFSET(其他表格!$G$2,M41/100,0)</f>
        <v>1</v>
      </c>
      <c r="O41" s="13">
        <v>8</v>
      </c>
      <c r="P41" s="16">
        <f ca="1">OFFSET(其他表格!$B$1,O41,0)</f>
        <v>1.5</v>
      </c>
      <c r="Q41">
        <f>ROUND((E41+200)*AN41,2)</f>
        <v>30.75</v>
      </c>
      <c r="R41">
        <f>ROUND(($E$25+200)*$AN$25,2)</f>
        <v>30</v>
      </c>
      <c r="S41">
        <f>ROUND(POWER((E41+200-$J$25-200+AP41),2)/AO41,2)</f>
        <v>42.5</v>
      </c>
      <c r="T41">
        <f>ROUND(POWER(($E$25+200-J41-200+AP41),2)/AO41,2)</f>
        <v>41</v>
      </c>
      <c r="U41">
        <f ca="1">ROUND((Q41+S41)*(A41+A41)/AQ41*L41,0)</f>
        <v>22</v>
      </c>
      <c r="V41">
        <f ca="1">ROUND((R41+T41)*(A41+A41)/AQ41*L41,0)</f>
        <v>21</v>
      </c>
      <c r="W41" s="70">
        <f ca="1">MIN(ROUND(U41/A41,4),1)</f>
        <v>0.11</v>
      </c>
      <c r="X41" s="70">
        <f ca="1">MIN(ROUND(V41/A41,4),1)</f>
        <v>0.105</v>
      </c>
      <c r="Y41"/>
      <c r="Z41"/>
      <c r="AA41"/>
      <c r="AB41" s="70"/>
      <c r="AC41"/>
      <c r="AD41" s="71"/>
      <c r="AE41" s="71"/>
      <c r="AF41" s="70"/>
      <c r="AG41" s="71"/>
      <c r="AH41" s="71"/>
      <c r="AI41" s="70"/>
      <c r="AJ41" s="71"/>
      <c r="AK41" s="71"/>
      <c r="AL41" s="70"/>
      <c r="AM41" s="57">
        <v>0.5</v>
      </c>
      <c r="AN41" s="57">
        <v>0.15</v>
      </c>
      <c r="AO41" s="57">
        <v>6000</v>
      </c>
      <c r="AP41" s="57">
        <v>500</v>
      </c>
      <c r="AQ41" s="57">
        <v>20000</v>
      </c>
      <c r="AS41">
        <f ca="1">ROUND(AT41*AV41,0)</f>
        <v>9</v>
      </c>
      <c r="AT41">
        <f>ROUND(AY41*0.35+AZ41*0.65,0)</f>
        <v>42</v>
      </c>
      <c r="AU41" s="70">
        <f ca="1">ROUND(AS41/A41,4)</f>
        <v>4.4999999999999998E-2</v>
      </c>
      <c r="AV41" s="9">
        <f ca="1">ROUND((AW41+其他表格!K5+基本公式!$B$84)*OFFSET(其他表格!$N$1,兵攻防!O41,0)+OFFSET(其他表格!$P$1,M41/100,0),4)</f>
        <v>0.21329999999999999</v>
      </c>
      <c r="AW41" s="59">
        <v>0.1</v>
      </c>
      <c r="AX41" s="13">
        <v>115</v>
      </c>
      <c r="AY41">
        <f t="shared" ref="AY41:AZ45" si="42">BA41+BC41</f>
        <v>7</v>
      </c>
      <c r="AZ41">
        <f t="shared" si="42"/>
        <v>61</v>
      </c>
      <c r="BA41">
        <f>ROUND(POWER(AX41/10*(BE41*2+BG41),2)/BH41*(A41+A41)/AQ41,0)</f>
        <v>6</v>
      </c>
      <c r="BB41" s="21">
        <f>ROUND(POWER(AX41/10*(BF41*2+BG41),2)/BH41*(A41+A41)/AQ41,0)</f>
        <v>16</v>
      </c>
      <c r="BC41">
        <f>ROUND(POWER(AX41/10*(BE41-BF41+BI41),2)/BJ41*(A41+A41)/AQ41,0)</f>
        <v>1</v>
      </c>
      <c r="BD41" s="21">
        <f>ROUND(POWER(AX41/10*(BF41*2-BE41*2+BI41),2)/BJ41*(A41+A41)/AQ41,0)</f>
        <v>45</v>
      </c>
      <c r="BE41">
        <f>基本公式!$B$183</f>
        <v>30</v>
      </c>
      <c r="BF41">
        <f>基本公式!$B$182</f>
        <v>150</v>
      </c>
      <c r="BG41" s="57">
        <v>300</v>
      </c>
      <c r="BH41" s="57">
        <v>60000</v>
      </c>
      <c r="BI41" s="57">
        <v>200</v>
      </c>
      <c r="BJ41" s="57">
        <v>11500</v>
      </c>
    </row>
    <row r="42" spans="1:62">
      <c r="A42">
        <v>500</v>
      </c>
      <c r="B42" s="53">
        <f ca="1">ROUND(((U42-$U$29)+($V$29-V42)),0)</f>
        <v>3</v>
      </c>
      <c r="C42" s="54">
        <f ca="1">ROUND(C34*基本公式!$B$83,0)</f>
        <v>3</v>
      </c>
      <c r="D42" s="13">
        <v>14</v>
      </c>
      <c r="E42">
        <f>ROUND(POWER(A42*D42/100,AM42),0)</f>
        <v>8</v>
      </c>
      <c r="F42" s="55">
        <f>ROUND(G42*0.35+H42*0.65,0)</f>
        <v>1496</v>
      </c>
      <c r="G42">
        <f>ROUND((E42+(30+30)/2)*AN42*兵攻防!A42/基本公式!$B$50,0)</f>
        <v>570</v>
      </c>
      <c r="H42" s="56">
        <f>ROUND((E42+(基本公式!$B$180+基本公式!$B$28)/2)*AN42*兵攻防!A42/基本公式!$B$50,0)</f>
        <v>1995</v>
      </c>
      <c r="I42" s="13">
        <v>7</v>
      </c>
      <c r="J42">
        <f>ROUND(POWER($A$26*I42/100,$AM$26),0)</f>
        <v>6</v>
      </c>
      <c r="K42" s="2">
        <v>3</v>
      </c>
      <c r="L42">
        <f ca="1">ROUND(30/K42*P42*N42,2)</f>
        <v>15</v>
      </c>
      <c r="M42" s="13">
        <v>190</v>
      </c>
      <c r="N42" s="16">
        <f ca="1">OFFSET(其他表格!$G$2,M42/100,0)</f>
        <v>1</v>
      </c>
      <c r="O42" s="13">
        <v>8</v>
      </c>
      <c r="P42" s="16">
        <f ca="1">OFFSET(其他表格!$B$1,O42,0)</f>
        <v>1.5</v>
      </c>
      <c r="Q42">
        <f>ROUND((E42+200)*AN42,2)</f>
        <v>31.2</v>
      </c>
      <c r="R42">
        <f>ROUND(($E$26+200)*$AN$26,2)</f>
        <v>30</v>
      </c>
      <c r="S42">
        <f>ROUND(POWER((E42+200-$J$26-200+AP42),2)/AO42,2)</f>
        <v>43.01</v>
      </c>
      <c r="T42">
        <f>ROUND(POWER(($E$26+200-J42-200+AP42),2)/AO42,2)</f>
        <v>40.67</v>
      </c>
      <c r="U42">
        <f ca="1">ROUND((Q42+S42)*(A42+A42)/AQ42*L42,0)</f>
        <v>56</v>
      </c>
      <c r="V42">
        <f ca="1">ROUND((R42+T42)*(A42+A42)/AQ42*L42,0)</f>
        <v>53</v>
      </c>
      <c r="W42" s="70">
        <f ca="1">MIN(ROUND(U42/A42,4),1)</f>
        <v>0.112</v>
      </c>
      <c r="X42" s="70">
        <f ca="1">MIN(ROUND(V42/A42,4),1)</f>
        <v>0.106</v>
      </c>
      <c r="Y42"/>
      <c r="Z42"/>
      <c r="AA42"/>
      <c r="AB42" s="70"/>
      <c r="AC42"/>
      <c r="AD42" s="71"/>
      <c r="AE42" s="71"/>
      <c r="AF42" s="70"/>
      <c r="AG42" s="71"/>
      <c r="AH42" s="71"/>
      <c r="AI42" s="70"/>
      <c r="AJ42" s="71"/>
      <c r="AK42" s="71"/>
      <c r="AL42" s="70"/>
      <c r="AM42" s="57">
        <v>0.5</v>
      </c>
      <c r="AN42" s="57">
        <v>0.15</v>
      </c>
      <c r="AO42" s="57">
        <v>6000</v>
      </c>
      <c r="AP42" s="57">
        <v>500</v>
      </c>
      <c r="AQ42" s="57">
        <v>20000</v>
      </c>
      <c r="AS42">
        <f ca="1">ROUND(AT42*AV42,0)</f>
        <v>26</v>
      </c>
      <c r="AT42">
        <f>ROUND(AY42*0.35+AZ42*0.65,0)</f>
        <v>104</v>
      </c>
      <c r="AU42" s="70">
        <f ca="1">ROUND(AS42/A42,4)</f>
        <v>5.1999999999999998E-2</v>
      </c>
      <c r="AV42" s="9">
        <f ca="1">ROUND((AW42+其他表格!K6+基本公式!$B$84)*OFFSET(其他表格!$N$1,兵攻防!O42,0)+OFFSET(其他表格!$P$1,M42/100,0),4)</f>
        <v>0.251</v>
      </c>
      <c r="AW42" s="59">
        <v>0.1</v>
      </c>
      <c r="AX42" s="13">
        <v>115</v>
      </c>
      <c r="AY42">
        <f t="shared" si="42"/>
        <v>18</v>
      </c>
      <c r="AZ42">
        <f t="shared" si="42"/>
        <v>151</v>
      </c>
      <c r="BA42">
        <f>ROUND(POWER(AX42/10*(BE42*2+BG42),2)/BH42*(A42+A42)/AQ42,0)</f>
        <v>14</v>
      </c>
      <c r="BB42" s="21">
        <f>ROUND(POWER(AX42/10*(BF42*2+BG42),2)/BH42*(A42+A42)/AQ42,0)</f>
        <v>40</v>
      </c>
      <c r="BC42">
        <f>ROUND(POWER(AX42/10*(BE42-BF42+BI42),2)/BJ42*(A42+A42)/AQ42,0)</f>
        <v>4</v>
      </c>
      <c r="BD42" s="21">
        <f>ROUND(POWER(AX42/10*(BF42*2-BE42*2+BI42),2)/BJ42*(A42+A42)/AQ42,0)</f>
        <v>111</v>
      </c>
      <c r="BE42">
        <f>基本公式!$B$183</f>
        <v>30</v>
      </c>
      <c r="BF42">
        <f>基本公式!$B$182</f>
        <v>150</v>
      </c>
      <c r="BG42" s="57">
        <v>300</v>
      </c>
      <c r="BH42" s="57">
        <v>60000</v>
      </c>
      <c r="BI42" s="57">
        <v>200</v>
      </c>
      <c r="BJ42" s="57">
        <v>11500</v>
      </c>
    </row>
    <row r="43" spans="1:62">
      <c r="A43">
        <v>1000</v>
      </c>
      <c r="B43" s="53">
        <f ca="1">ROUND(((U43-$U$29)+($V$29-V43)),0)</f>
        <v>7</v>
      </c>
      <c r="C43" s="54">
        <f ca="1">ROUND(C35*基本公式!$B$83,0)</f>
        <v>9</v>
      </c>
      <c r="D43" s="13">
        <v>14</v>
      </c>
      <c r="E43">
        <f>ROUND(POWER(A43*D43/100,AM43),0)</f>
        <v>12</v>
      </c>
      <c r="F43" s="55">
        <f>ROUND(G43*0.35+H43*0.65,0)</f>
        <v>3113</v>
      </c>
      <c r="G43">
        <f>ROUND((E43+(30+30)/2)*AN43*兵攻防!A43/基本公式!$B$50,0)</f>
        <v>1260</v>
      </c>
      <c r="H43" s="56">
        <f>ROUND((E43+(基本公式!$B$180+基本公式!$B$28)/2)*AN43*兵攻防!A43/基本公式!$B$50,0)</f>
        <v>4110</v>
      </c>
      <c r="I43" s="13">
        <v>7</v>
      </c>
      <c r="J43">
        <f>ROUND(POWER($A$27*I43/100,$AM$27),0)</f>
        <v>8</v>
      </c>
      <c r="K43" s="2">
        <v>3</v>
      </c>
      <c r="L43">
        <f ca="1">ROUND(30/K43*P43*N43,2)</f>
        <v>15</v>
      </c>
      <c r="M43" s="13">
        <v>190</v>
      </c>
      <c r="N43" s="16">
        <f ca="1">OFFSET(其他表格!$G$2,M43/100,0)</f>
        <v>1</v>
      </c>
      <c r="O43" s="13">
        <v>8</v>
      </c>
      <c r="P43" s="16">
        <f ca="1">OFFSET(其他表格!$B$1,O43,0)</f>
        <v>1.5</v>
      </c>
      <c r="Q43">
        <f>ROUND((E43+200)*AN43,2)</f>
        <v>31.8</v>
      </c>
      <c r="R43">
        <f>ROUND(($E$27+200)*$AN$27,2)</f>
        <v>30</v>
      </c>
      <c r="S43">
        <f>ROUND(POWER((E43+200-$J$27-200+AP43),2)/AO43,2)</f>
        <v>43.69</v>
      </c>
      <c r="T43">
        <f>ROUND(POWER(($E$27+200-J43-200+AP43),2)/AO43,2)</f>
        <v>40.340000000000003</v>
      </c>
      <c r="U43">
        <f ca="1">ROUND((Q43+S43)*(A43+A43)/AQ43*L43,0)</f>
        <v>113</v>
      </c>
      <c r="V43">
        <f ca="1">ROUND((R43+T43)*(A43+A43)/AQ43*L43,0)</f>
        <v>106</v>
      </c>
      <c r="W43" s="70">
        <f ca="1">MIN(ROUND(U43/A43,4),1)</f>
        <v>0.113</v>
      </c>
      <c r="X43" s="70">
        <f ca="1">MIN(ROUND(V43/A43,4),1)</f>
        <v>0.106</v>
      </c>
      <c r="Y43"/>
      <c r="Z43"/>
      <c r="AA43"/>
      <c r="AB43" s="70"/>
      <c r="AC43"/>
      <c r="AD43" s="71"/>
      <c r="AE43" s="71"/>
      <c r="AF43" s="70"/>
      <c r="AG43" s="71"/>
      <c r="AH43" s="71"/>
      <c r="AI43" s="70"/>
      <c r="AJ43" s="71"/>
      <c r="AK43" s="71"/>
      <c r="AL43" s="70"/>
      <c r="AM43" s="57">
        <v>0.5</v>
      </c>
      <c r="AN43" s="57">
        <v>0.15</v>
      </c>
      <c r="AO43" s="57">
        <v>6000</v>
      </c>
      <c r="AP43" s="57">
        <v>500</v>
      </c>
      <c r="AQ43" s="57">
        <v>20000</v>
      </c>
      <c r="AS43">
        <f ca="1">ROUND(AT43*AV43,0)</f>
        <v>60</v>
      </c>
      <c r="AT43">
        <f>ROUND(AY43*0.35+AZ43*0.65,0)</f>
        <v>209</v>
      </c>
      <c r="AU43" s="70">
        <f ca="1">ROUND(AS43/A43,4)</f>
        <v>0.06</v>
      </c>
      <c r="AV43" s="9">
        <f ca="1">ROUND((AW43+其他表格!K7+基本公式!$B$84)*OFFSET(其他表格!$N$1,兵攻防!O43,0)+OFFSET(其他表格!$P$1,M43/100,0),4)</f>
        <v>0.28860000000000002</v>
      </c>
      <c r="AW43" s="59">
        <v>0.1</v>
      </c>
      <c r="AX43" s="13">
        <v>115</v>
      </c>
      <c r="AY43">
        <f t="shared" si="42"/>
        <v>36</v>
      </c>
      <c r="AZ43">
        <f t="shared" si="42"/>
        <v>302</v>
      </c>
      <c r="BA43">
        <f>ROUND(POWER(AX43/10*(BE43*2+BG43),2)/BH43*(A43+A43)/AQ43,0)</f>
        <v>29</v>
      </c>
      <c r="BB43" s="21">
        <f>ROUND(POWER(AX43/10*(BF43*2+BG43),2)/BH43*(A43+A43)/AQ43,0)</f>
        <v>79</v>
      </c>
      <c r="BC43">
        <f>ROUND(POWER(AX43/10*(BE43-BF43+BI43),2)/BJ43*(A43+A43)/AQ43,0)</f>
        <v>7</v>
      </c>
      <c r="BD43" s="21">
        <f>ROUND(POWER(AX43/10*(BF43*2-BE43*2+BI43),2)/BJ43*(A43+A43)/AQ43,0)</f>
        <v>223</v>
      </c>
      <c r="BE43">
        <f>基本公式!$B$183</f>
        <v>30</v>
      </c>
      <c r="BF43">
        <f>基本公式!$B$182</f>
        <v>150</v>
      </c>
      <c r="BG43" s="57">
        <v>300</v>
      </c>
      <c r="BH43" s="57">
        <v>60000</v>
      </c>
      <c r="BI43" s="57">
        <v>200</v>
      </c>
      <c r="BJ43" s="57">
        <v>11500</v>
      </c>
    </row>
    <row r="44" spans="1:62">
      <c r="A44">
        <v>2000</v>
      </c>
      <c r="B44" s="53">
        <f ca="1">ROUND(((U44-$U$29)+($V$29-V44)),0)</f>
        <v>22</v>
      </c>
      <c r="C44" s="54">
        <f ca="1">ROUND(C36*基本公式!$B$83,0)</f>
        <v>22</v>
      </c>
      <c r="D44" s="13">
        <v>14</v>
      </c>
      <c r="E44">
        <f>ROUND(POWER(A44*D44/100,AM44),0)</f>
        <v>17</v>
      </c>
      <c r="F44" s="55">
        <f>ROUND(G44*0.35+H44*0.65,0)</f>
        <v>6525</v>
      </c>
      <c r="G44">
        <f>ROUND((E44+(30+30)/2)*AN44*兵攻防!A44/基本公式!$B$50,0)</f>
        <v>2820</v>
      </c>
      <c r="H44" s="56">
        <f>ROUND((E44+(基本公式!$B$180+基本公式!$B$28)/2)*AN44*兵攻防!A44/基本公式!$B$50,0)</f>
        <v>8520</v>
      </c>
      <c r="I44" s="13">
        <v>7</v>
      </c>
      <c r="J44">
        <f>ROUND(POWER($A$28*I44/100,$AM$28),0)</f>
        <v>12</v>
      </c>
      <c r="K44" s="2">
        <v>3</v>
      </c>
      <c r="L44">
        <f ca="1">ROUND(30/K44*P44*N44,2)</f>
        <v>15</v>
      </c>
      <c r="M44" s="13">
        <v>190</v>
      </c>
      <c r="N44" s="16">
        <f ca="1">OFFSET(其他表格!$G$2,M44/100,0)</f>
        <v>1</v>
      </c>
      <c r="O44" s="13">
        <v>8</v>
      </c>
      <c r="P44" s="16">
        <f ca="1">OFFSET(其他表格!$B$1,O44,0)</f>
        <v>1.5</v>
      </c>
      <c r="Q44">
        <f>ROUND((E44+200)*AN44,2)</f>
        <v>32.549999999999997</v>
      </c>
      <c r="R44">
        <f>ROUND(($E$28+200)*$AN$28,2)</f>
        <v>30</v>
      </c>
      <c r="S44">
        <f>ROUND(POWER((E44+200-$J$28-200+AP44),2)/AO44,2)</f>
        <v>44.55</v>
      </c>
      <c r="T44">
        <f>ROUND(POWER(($E$28+200-J44-200+AP44),2)/AO44,2)</f>
        <v>39.69</v>
      </c>
      <c r="U44">
        <f ca="1">ROUND((Q44+S44)*(A44+A44)/AQ44*L44,0)</f>
        <v>231</v>
      </c>
      <c r="V44">
        <f ca="1">ROUND((R44+T44)*(A44+A44)/AQ44*L44,0)</f>
        <v>209</v>
      </c>
      <c r="W44" s="70">
        <f ca="1">MIN(ROUND(U44/A44,4),1)</f>
        <v>0.11550000000000001</v>
      </c>
      <c r="X44" s="70">
        <f ca="1">MIN(ROUND(V44/A44,4),1)</f>
        <v>0.1045</v>
      </c>
      <c r="Y44"/>
      <c r="Z44"/>
      <c r="AA44"/>
      <c r="AB44" s="70"/>
      <c r="AC44"/>
      <c r="AD44" s="71"/>
      <c r="AE44" s="71"/>
      <c r="AF44" s="70"/>
      <c r="AG44" s="71"/>
      <c r="AH44" s="71"/>
      <c r="AI44" s="70"/>
      <c r="AJ44" s="71"/>
      <c r="AK44" s="71"/>
      <c r="AL44" s="70"/>
      <c r="AM44" s="57">
        <v>0.5</v>
      </c>
      <c r="AN44" s="57">
        <v>0.15</v>
      </c>
      <c r="AO44" s="57">
        <v>6000</v>
      </c>
      <c r="AP44" s="57">
        <v>500</v>
      </c>
      <c r="AQ44" s="57">
        <v>20000</v>
      </c>
      <c r="AS44">
        <f ca="1">ROUND(AT44*AV44,0)</f>
        <v>139</v>
      </c>
      <c r="AT44">
        <f>ROUND(AY44*0.35+AZ44*0.65,0)</f>
        <v>418</v>
      </c>
      <c r="AU44" s="70">
        <f ca="1">ROUND(AS44/A44,4)</f>
        <v>6.9500000000000006E-2</v>
      </c>
      <c r="AV44" s="9">
        <f ca="1">ROUND((AW44+其他表格!K8+基本公式!$B$84)*OFFSET(其他表格!$N$1,兵攻防!O44,0)+OFFSET(其他表格!$P$1,M44/100,0),4)</f>
        <v>0.33250000000000002</v>
      </c>
      <c r="AW44" s="59">
        <v>0.1</v>
      </c>
      <c r="AX44" s="13">
        <v>115</v>
      </c>
      <c r="AY44">
        <f t="shared" si="42"/>
        <v>72</v>
      </c>
      <c r="AZ44">
        <f t="shared" si="42"/>
        <v>604</v>
      </c>
      <c r="BA44">
        <f>ROUND(POWER(AX44/10*(BE44*2+BG44),2)/BH44*(A44+A44)/AQ44,0)</f>
        <v>57</v>
      </c>
      <c r="BB44" s="21">
        <f>ROUND(POWER(AX44/10*(BF44*2+BG44),2)/BH44*(A44+A44)/AQ44,0)</f>
        <v>159</v>
      </c>
      <c r="BC44">
        <f>ROUND(POWER(AX44/10*(BE44-BF44+BI44),2)/BJ44*(A44+A44)/AQ44,0)</f>
        <v>15</v>
      </c>
      <c r="BD44" s="21">
        <f>ROUND(POWER(AX44/10*(BF44*2-BE44*2+BI44),2)/BJ44*(A44+A44)/AQ44,0)</f>
        <v>445</v>
      </c>
      <c r="BE44">
        <f>基本公式!$B$183</f>
        <v>30</v>
      </c>
      <c r="BF44">
        <f>基本公式!$B$182</f>
        <v>150</v>
      </c>
      <c r="BG44" s="57">
        <v>300</v>
      </c>
      <c r="BH44" s="57">
        <v>60000</v>
      </c>
      <c r="BI44" s="57">
        <v>200</v>
      </c>
      <c r="BJ44" s="57">
        <v>11500</v>
      </c>
    </row>
    <row r="45" spans="1:62">
      <c r="A45">
        <v>5000</v>
      </c>
      <c r="B45" s="53">
        <f ca="1">ROUND(((U45-$U$29)+($V$29-V45)),0)</f>
        <v>86</v>
      </c>
      <c r="C45" s="54">
        <f ca="1">ROUND(C37*基本公式!$B$83,0)</f>
        <v>85</v>
      </c>
      <c r="D45" s="13">
        <v>14</v>
      </c>
      <c r="E45">
        <f>ROUND(POWER(A45*D45/100,AM45),0)</f>
        <v>26</v>
      </c>
      <c r="F45" s="55">
        <f>ROUND(G45*0.35+H45*0.65,0)</f>
        <v>17663</v>
      </c>
      <c r="G45">
        <f>ROUND((E45+(30+30)/2)*AN45*兵攻防!A45/基本公式!$B$50,0)</f>
        <v>8400</v>
      </c>
      <c r="H45" s="56">
        <f>ROUND((E45+(基本公式!$B$180+基本公式!$B$28)/2)*AN45*兵攻防!A45/基本公式!$B$50,0)</f>
        <v>22650</v>
      </c>
      <c r="I45" s="13">
        <v>7</v>
      </c>
      <c r="J45">
        <f>ROUND(POWER($A$29*I45/100,$AM$29),0)</f>
        <v>19</v>
      </c>
      <c r="K45" s="2">
        <v>3</v>
      </c>
      <c r="L45">
        <f ca="1">ROUND(30/K45*P45*N45,2)</f>
        <v>15</v>
      </c>
      <c r="M45" s="13">
        <v>190</v>
      </c>
      <c r="N45" s="16">
        <f ca="1">OFFSET(其他表格!$G$2,M45/100,0)</f>
        <v>1</v>
      </c>
      <c r="O45" s="13">
        <v>8</v>
      </c>
      <c r="P45" s="16">
        <f ca="1">OFFSET(其他表格!$B$1,O45,0)</f>
        <v>1.5</v>
      </c>
      <c r="Q45">
        <f>ROUND((E45+200)*AN45,2)</f>
        <v>33.9</v>
      </c>
      <c r="R45">
        <f>ROUND(($E$29+200)*$AN$29,2)</f>
        <v>30</v>
      </c>
      <c r="S45">
        <f>ROUND(POWER((E45+200-$J$29-200+AP45),2)/AO45,2)</f>
        <v>46.11</v>
      </c>
      <c r="T45">
        <f>ROUND(POWER(($E$29+200-J45-200+AP45),2)/AO45,2)</f>
        <v>38.56</v>
      </c>
      <c r="U45">
        <f ca="1">ROUND((Q45+S45)*(A45+A45)/AQ45*L45,0)</f>
        <v>600</v>
      </c>
      <c r="V45">
        <f ca="1">ROUND((R45+T45)*(A45+A45)/AQ45*L45,0)</f>
        <v>514</v>
      </c>
      <c r="W45" s="70">
        <f ca="1">MIN(ROUND(U45/A45,4),1)</f>
        <v>0.12</v>
      </c>
      <c r="X45" s="70">
        <f ca="1">MIN(ROUND(V45/A45,4),1)</f>
        <v>0.1028</v>
      </c>
      <c r="Y45"/>
      <c r="Z45"/>
      <c r="AA45"/>
      <c r="AB45" s="70"/>
      <c r="AC45"/>
      <c r="AD45" s="71"/>
      <c r="AE45" s="71"/>
      <c r="AF45" s="70"/>
      <c r="AG45" s="71"/>
      <c r="AH45" s="71"/>
      <c r="AI45" s="70"/>
      <c r="AJ45" s="71"/>
      <c r="AK45" s="71"/>
      <c r="AL45" s="70"/>
      <c r="AM45" s="57">
        <v>0.5</v>
      </c>
      <c r="AN45" s="57">
        <v>0.15</v>
      </c>
      <c r="AO45" s="57">
        <v>6000</v>
      </c>
      <c r="AP45" s="57">
        <v>500</v>
      </c>
      <c r="AQ45" s="57">
        <v>20000</v>
      </c>
      <c r="AS45">
        <f ca="1">ROUND(AT45*AV45,0)</f>
        <v>400</v>
      </c>
      <c r="AT45">
        <f>ROUND(AY45*0.35+AZ45*0.65,0)</f>
        <v>1045</v>
      </c>
      <c r="AU45" s="70">
        <f ca="1">ROUND(AS45/A45,4)</f>
        <v>0.08</v>
      </c>
      <c r="AV45" s="9">
        <f ca="1">ROUND((AW45+其他表格!K9+基本公式!$B$84)*OFFSET(其他表格!$N$1,兵攻防!O45,0)+OFFSET(其他表格!$P$1,M45/100,0),4)</f>
        <v>0.38269999999999998</v>
      </c>
      <c r="AW45" s="59">
        <v>0.1</v>
      </c>
      <c r="AX45" s="13">
        <v>115</v>
      </c>
      <c r="AY45">
        <f t="shared" si="42"/>
        <v>180</v>
      </c>
      <c r="AZ45">
        <f t="shared" si="42"/>
        <v>1510</v>
      </c>
      <c r="BA45">
        <f>ROUND(POWER(AX45/10*(BE45*2+BG45),2)/BH45*(A45+A45)/AQ45,0)</f>
        <v>143</v>
      </c>
      <c r="BB45" s="21">
        <f>ROUND(POWER(AX45/10*(BF45*2+BG45),2)/BH45*(A45+A45)/AQ45,0)</f>
        <v>397</v>
      </c>
      <c r="BC45">
        <f>ROUND(POWER(AX45/10*(BE45-BF45+BI45),2)/BJ45*(A45+A45)/AQ45,0)</f>
        <v>37</v>
      </c>
      <c r="BD45" s="21">
        <f>ROUND(POWER(AX45/10*(BF45*2-BE45*2+BI45),2)/BJ45*(A45+A45)/AQ45,0)</f>
        <v>1113</v>
      </c>
      <c r="BE45">
        <f>基本公式!$B$183</f>
        <v>30</v>
      </c>
      <c r="BF45">
        <f>基本公式!$B$182</f>
        <v>150</v>
      </c>
      <c r="BG45" s="57">
        <v>300</v>
      </c>
      <c r="BH45" s="57">
        <v>60000</v>
      </c>
      <c r="BI45" s="57">
        <v>200</v>
      </c>
      <c r="BJ45" s="57">
        <v>11500</v>
      </c>
    </row>
    <row r="47" spans="1:62" s="52" customFormat="1">
      <c r="A47" s="52" t="s">
        <v>168</v>
      </c>
      <c r="B47" s="66" t="s">
        <v>164</v>
      </c>
      <c r="C47" s="66" t="s">
        <v>169</v>
      </c>
      <c r="F47" s="67"/>
      <c r="H47" s="68"/>
      <c r="K47" s="69"/>
      <c r="AR47" s="74"/>
      <c r="AV47" s="54"/>
      <c r="AW47" s="77"/>
      <c r="AX47" s="78"/>
      <c r="BB47" s="79"/>
      <c r="BD47" s="79"/>
      <c r="BG47" s="57"/>
      <c r="BH47" s="57"/>
    </row>
    <row r="48" spans="1:62">
      <c r="A48">
        <v>100</v>
      </c>
      <c r="B48" s="53">
        <f t="shared" ref="B48" ca="1" si="43">ROUND(((U48-$U$29)+($V$29-V48)),0)</f>
        <v>0</v>
      </c>
      <c r="C48" s="54">
        <f>ROUND(C40*基本公式!$B$83,0)</f>
        <v>22</v>
      </c>
      <c r="D48" s="13">
        <v>32</v>
      </c>
      <c r="E48">
        <f t="shared" ref="E48" si="44">ROUND(POWER(A48*D48/100,AM48),0)</f>
        <v>6</v>
      </c>
      <c r="F48" s="55">
        <f>ROUND(G48*0.35+H48*0.65,0)</f>
        <v>293</v>
      </c>
      <c r="G48">
        <f>ROUND((E48+(30+30)/2)*AN48*兵攻防!A48/基本公式!$B$50,0)</f>
        <v>108</v>
      </c>
      <c r="H48" s="56">
        <f>ROUND((E48+(基本公式!$B$180+基本公式!$B$28)/2)*AN48*兵攻防!A48/基本公式!$B$50,0)</f>
        <v>393</v>
      </c>
      <c r="I48" s="13">
        <v>15</v>
      </c>
      <c r="J48">
        <f>ROUND(POWER($A$24*I48/100,$AM$24),0)</f>
        <v>4</v>
      </c>
      <c r="K48" s="2">
        <v>3</v>
      </c>
      <c r="L48">
        <f t="shared" ref="L48" ca="1" si="45">ROUND(30/K48*P48*N48,2)</f>
        <v>16.68</v>
      </c>
      <c r="M48" s="13">
        <v>400</v>
      </c>
      <c r="N48" s="16">
        <f ca="1">OFFSET(其他表格!$G$2,M48/100,0)</f>
        <v>1.1499999999999999</v>
      </c>
      <c r="O48" s="13">
        <v>7</v>
      </c>
      <c r="P48" s="16">
        <f ca="1">OFFSET(其他表格!$B$1,O48,0)</f>
        <v>1.45</v>
      </c>
      <c r="Q48">
        <f t="shared" ref="Q48" si="46">ROUND((E48+200)*AN48,2)</f>
        <v>30.9</v>
      </c>
      <c r="R48">
        <f>ROUND(($E$24+200)*$AN$24,2)</f>
        <v>30</v>
      </c>
      <c r="S48">
        <f>ROUND(POWER((E48+200-$J$24-200+AP48),2)/AO48,2)</f>
        <v>42.67</v>
      </c>
      <c r="T48">
        <f>ROUND(POWER(($E$24+200-J48-200+AP48),2)/AO48,2)</f>
        <v>41</v>
      </c>
      <c r="U48">
        <f t="shared" ref="U48" ca="1" si="47">ROUND((Q48+S48)*(A48+A48)/AQ48*L48,0)</f>
        <v>12</v>
      </c>
      <c r="V48">
        <f t="shared" ref="V48" ca="1" si="48">ROUND((R48+T48)*(A48+A48)/AQ48*L48,0)</f>
        <v>12</v>
      </c>
      <c r="W48" s="70">
        <f t="shared" ref="W48" ca="1" si="49">MIN(ROUND(U48/A48,4),1)</f>
        <v>0.12</v>
      </c>
      <c r="X48" s="70">
        <f t="shared" ref="X48" ca="1" si="50">MIN(ROUND(V48/A48,4),1)</f>
        <v>0.12</v>
      </c>
      <c r="Y48"/>
      <c r="Z48"/>
      <c r="AA48"/>
      <c r="AB48" s="70"/>
      <c r="AC48"/>
      <c r="AD48" s="71"/>
      <c r="AE48" s="71"/>
      <c r="AF48" s="70"/>
      <c r="AG48" s="71"/>
      <c r="AH48" s="71"/>
      <c r="AI48" s="70"/>
      <c r="AJ48" s="71"/>
      <c r="AK48" s="71"/>
      <c r="AL48" s="70"/>
      <c r="AM48" s="57">
        <v>0.5</v>
      </c>
      <c r="AN48" s="57">
        <v>0.15</v>
      </c>
      <c r="AO48" s="57">
        <v>6000</v>
      </c>
      <c r="AP48" s="57">
        <v>500</v>
      </c>
      <c r="AQ48" s="57">
        <v>20000</v>
      </c>
      <c r="AS48">
        <f t="shared" ref="AS48" ca="1" si="51">ROUND(AT48*AV48,0)</f>
        <v>8</v>
      </c>
      <c r="AT48">
        <f t="shared" ref="AT48" si="52">ROUND(AY48*0.35+AZ48*0.65,0)</f>
        <v>36</v>
      </c>
      <c r="AU48" s="70">
        <f t="shared" ref="AU48" ca="1" si="53">ROUND(AS48/A48,4)</f>
        <v>0.08</v>
      </c>
      <c r="AV48" s="9">
        <f ca="1">ROUND((AW48+其他表格!K4+基本公式!$B$84)*OFFSET(其他表格!$N$1,兵攻防!O48,0)+OFFSET(其他表格!$P$1,M48/100,0),4)</f>
        <v>0.2157</v>
      </c>
      <c r="AW48" s="59">
        <v>0.1</v>
      </c>
      <c r="AX48" s="13">
        <v>150</v>
      </c>
      <c r="AY48">
        <f t="shared" ref="AY48" si="54">BA48+BC48</f>
        <v>6</v>
      </c>
      <c r="AZ48">
        <f t="shared" ref="AZ48" si="55">BB48+BD48</f>
        <v>52</v>
      </c>
      <c r="BA48">
        <f t="shared" ref="BA48" si="56">ROUND(POWER(AX48/10*(BE48*2+BG48),2)/BH48*(A48+A48)/AQ48,0)</f>
        <v>5</v>
      </c>
      <c r="BB48" s="21">
        <f t="shared" ref="BB48" si="57">ROUND(POWER(AX48/10*(BF48*2+BG48),2)/BH48*(A48+A48)/AQ48,0)</f>
        <v>14</v>
      </c>
      <c r="BC48">
        <f t="shared" ref="BC48" si="58">ROUND(POWER(AX48/10*(BE48-BF48+BI48),2)/BJ48*(A48+A48)/AQ48,0)</f>
        <v>1</v>
      </c>
      <c r="BD48" s="21">
        <f t="shared" ref="BD48" si="59">ROUND(POWER(AX48/10*(BF48*2-BE48*2+BI48),2)/BJ48*(A48+A48)/AQ48,0)</f>
        <v>38</v>
      </c>
      <c r="BE48">
        <f>基本公式!$B$183</f>
        <v>30</v>
      </c>
      <c r="BF48">
        <f>基本公式!$B$182</f>
        <v>150</v>
      </c>
      <c r="BG48" s="57">
        <v>300</v>
      </c>
      <c r="BH48" s="57">
        <v>60000</v>
      </c>
      <c r="BI48" s="57">
        <v>200</v>
      </c>
      <c r="BJ48" s="57">
        <v>11500</v>
      </c>
    </row>
    <row r="49" spans="1:62">
      <c r="A49">
        <v>200</v>
      </c>
      <c r="B49" s="53">
        <f ca="1">ROUND(((U49-$U$29)+($V$29-V49)),0)</f>
        <v>1</v>
      </c>
      <c r="C49" s="54">
        <f ca="1">ROUND(C41*基本公式!$B$83,0)</f>
        <v>3</v>
      </c>
      <c r="D49" s="13">
        <v>32</v>
      </c>
      <c r="E49">
        <f>ROUND(POWER(A49*D49/100,AM49),0)</f>
        <v>8</v>
      </c>
      <c r="F49" s="55">
        <f t="shared" ref="F49" si="60">ROUND(G49*0.35+H49*0.65,0)</f>
        <v>599</v>
      </c>
      <c r="G49">
        <f>ROUND((E49+(30+30)/2)*AN49*兵攻防!A49/基本公式!$B$50,0)</f>
        <v>228</v>
      </c>
      <c r="H49" s="56">
        <f>ROUND((E49+(基本公式!$B$180+基本公式!$B$28)/2)*AN49*兵攻防!A49/基本公式!$B$50,0)</f>
        <v>798</v>
      </c>
      <c r="I49" s="13">
        <v>15</v>
      </c>
      <c r="J49">
        <f>ROUND(POWER($A$25*I49/100,$AM$25),0)</f>
        <v>5</v>
      </c>
      <c r="K49" s="2">
        <v>3</v>
      </c>
      <c r="L49">
        <f ca="1">ROUND(30/K49*P49*N49,2)</f>
        <v>16.68</v>
      </c>
      <c r="M49" s="13">
        <v>400</v>
      </c>
      <c r="N49" s="16">
        <f ca="1">OFFSET(其他表格!$G$2,M49/100,0)</f>
        <v>1.1499999999999999</v>
      </c>
      <c r="O49" s="13">
        <v>7</v>
      </c>
      <c r="P49" s="16">
        <f ca="1">OFFSET(其他表格!$B$1,O49,0)</f>
        <v>1.45</v>
      </c>
      <c r="Q49">
        <f>ROUND((E49+200)*AN49,2)</f>
        <v>31.2</v>
      </c>
      <c r="R49">
        <f>ROUND(($E$25+200)*$AN$25,2)</f>
        <v>30</v>
      </c>
      <c r="S49">
        <f>ROUND(POWER((E49+200-$J$25-200+AP49),2)/AO49,2)</f>
        <v>43.01</v>
      </c>
      <c r="T49">
        <f>ROUND(POWER(($E$25+200-J49-200+AP49),2)/AO49,2)</f>
        <v>40.840000000000003</v>
      </c>
      <c r="U49">
        <f ca="1">ROUND((Q49+S49)*(A49+A49)/AQ49*L49,0)</f>
        <v>25</v>
      </c>
      <c r="V49">
        <f ca="1">ROUND((R49+T49)*(A49+A49)/AQ49*L49,0)</f>
        <v>24</v>
      </c>
      <c r="W49" s="70">
        <f ca="1">MIN(ROUND(U49/A49,4),1)</f>
        <v>0.125</v>
      </c>
      <c r="X49" s="70">
        <f ca="1">MIN(ROUND(V49/A49,4),1)</f>
        <v>0.12</v>
      </c>
      <c r="Y49"/>
      <c r="Z49"/>
      <c r="AA49"/>
      <c r="AB49" s="70"/>
      <c r="AC49"/>
      <c r="AD49" s="71"/>
      <c r="AE49" s="71"/>
      <c r="AF49" s="70"/>
      <c r="AG49" s="71"/>
      <c r="AH49" s="71"/>
      <c r="AI49" s="70"/>
      <c r="AJ49" s="71"/>
      <c r="AK49" s="71"/>
      <c r="AL49" s="70"/>
      <c r="AM49" s="57">
        <v>0.5</v>
      </c>
      <c r="AN49" s="57">
        <v>0.15</v>
      </c>
      <c r="AO49" s="57">
        <v>6000</v>
      </c>
      <c r="AP49" s="57">
        <v>500</v>
      </c>
      <c r="AQ49" s="57">
        <v>20000</v>
      </c>
      <c r="AS49">
        <f ca="1">ROUND(AT49*AV49,0)</f>
        <v>18</v>
      </c>
      <c r="AT49">
        <f>ROUND(AY49*0.35+AZ49*0.65,0)</f>
        <v>72</v>
      </c>
      <c r="AU49" s="70">
        <f ca="1">ROUND(AS49/A49,4)</f>
        <v>0.09</v>
      </c>
      <c r="AV49" s="9">
        <f ca="1">ROUND((AW49+其他表格!K5+基本公式!$B$84)*OFFSET(其他表格!$N$1,兵攻防!O49,0)+OFFSET(其他表格!$P$1,M49/100,0),4)</f>
        <v>0.24909999999999999</v>
      </c>
      <c r="AW49" s="59">
        <v>0.1</v>
      </c>
      <c r="AX49" s="13">
        <v>150</v>
      </c>
      <c r="AY49">
        <f t="shared" ref="AY49:AZ53" si="61">BA49+BC49</f>
        <v>13</v>
      </c>
      <c r="AZ49">
        <f t="shared" si="61"/>
        <v>103</v>
      </c>
      <c r="BA49">
        <f>ROUND(POWER(AX49/10*(BE49*2+BG49),2)/BH49*(A49+A49)/AQ49,0)</f>
        <v>10</v>
      </c>
      <c r="BB49" s="21">
        <f>ROUND(POWER(AX49/10*(BF49*2+BG49),2)/BH49*(A49+A49)/AQ49,0)</f>
        <v>27</v>
      </c>
      <c r="BC49">
        <f>ROUND(POWER(AX49/10*(BE49-BF49+BI49),2)/BJ49*(A49+A49)/AQ49,0)</f>
        <v>3</v>
      </c>
      <c r="BD49" s="21">
        <f>ROUND(POWER(AX49/10*(BF49*2-BE49*2+BI49),2)/BJ49*(A49+A49)/AQ49,0)</f>
        <v>76</v>
      </c>
      <c r="BE49">
        <f>基本公式!$B$183</f>
        <v>30</v>
      </c>
      <c r="BF49">
        <f>基本公式!$B$182</f>
        <v>150</v>
      </c>
      <c r="BG49" s="57">
        <v>300</v>
      </c>
      <c r="BH49" s="57">
        <v>60000</v>
      </c>
      <c r="BI49" s="57">
        <v>200</v>
      </c>
      <c r="BJ49" s="57">
        <v>11500</v>
      </c>
    </row>
    <row r="50" spans="1:62">
      <c r="A50">
        <v>500</v>
      </c>
      <c r="B50" s="53">
        <f ca="1">ROUND(((U50-$U$29)+($V$29-V50)),0)</f>
        <v>4</v>
      </c>
      <c r="C50" s="54">
        <f ca="1">ROUND(C42*基本公式!$B$83,0)</f>
        <v>5</v>
      </c>
      <c r="D50" s="13">
        <v>32</v>
      </c>
      <c r="E50">
        <f>ROUND(POWER(A50*D50/100,AM50),0)</f>
        <v>13</v>
      </c>
      <c r="F50" s="55">
        <f>ROUND(G50*0.35+H50*0.65,0)</f>
        <v>1571</v>
      </c>
      <c r="G50">
        <f>ROUND((E50+(30+30)/2)*AN50*兵攻防!A50/基本公式!$B$50,0)</f>
        <v>645</v>
      </c>
      <c r="H50" s="56">
        <f>ROUND((E50+(基本公式!$B$180+基本公式!$B$28)/2)*AN50*兵攻防!A50/基本公式!$B$50,0)</f>
        <v>2070</v>
      </c>
      <c r="I50" s="13">
        <v>15</v>
      </c>
      <c r="J50">
        <f>ROUND(POWER($A$26*I50/100,$AM$26),0)</f>
        <v>9</v>
      </c>
      <c r="K50" s="2">
        <v>3</v>
      </c>
      <c r="L50">
        <f ca="1">ROUND(30/K50*P50*N50,2)</f>
        <v>16.68</v>
      </c>
      <c r="M50" s="13">
        <v>400</v>
      </c>
      <c r="N50" s="16">
        <f ca="1">OFFSET(其他表格!$G$2,M50/100,0)</f>
        <v>1.1499999999999999</v>
      </c>
      <c r="O50" s="13">
        <v>7</v>
      </c>
      <c r="P50" s="16">
        <f ca="1">OFFSET(其他表格!$B$1,O50,0)</f>
        <v>1.45</v>
      </c>
      <c r="Q50">
        <f>ROUND((E50+200)*AN50,2)</f>
        <v>31.95</v>
      </c>
      <c r="R50">
        <f>ROUND(($E$26+200)*$AN$26,2)</f>
        <v>30</v>
      </c>
      <c r="S50">
        <f>ROUND(POWER((E50+200-$J$26-200+AP50),2)/AO50,2)</f>
        <v>43.86</v>
      </c>
      <c r="T50">
        <f>ROUND(POWER(($E$26+200-J50-200+AP50),2)/AO50,2)</f>
        <v>40.18</v>
      </c>
      <c r="U50">
        <f ca="1">ROUND((Q50+S50)*(A50+A50)/AQ50*L50,0)</f>
        <v>63</v>
      </c>
      <c r="V50">
        <f ca="1">ROUND((R50+T50)*(A50+A50)/AQ50*L50,0)</f>
        <v>59</v>
      </c>
      <c r="W50" s="70">
        <f ca="1">MIN(ROUND(U50/A50,4),1)</f>
        <v>0.126</v>
      </c>
      <c r="X50" s="70">
        <f ca="1">MIN(ROUND(V50/A50,4),1)</f>
        <v>0.11799999999999999</v>
      </c>
      <c r="Y50"/>
      <c r="Z50"/>
      <c r="AA50"/>
      <c r="AB50" s="70"/>
      <c r="AC50"/>
      <c r="AD50" s="71"/>
      <c r="AE50" s="71"/>
      <c r="AF50" s="70"/>
      <c r="AG50" s="71"/>
      <c r="AH50" s="71"/>
      <c r="AI50" s="70"/>
      <c r="AJ50" s="71"/>
      <c r="AK50" s="71"/>
      <c r="AL50" s="70"/>
      <c r="AM50" s="57">
        <v>0.5</v>
      </c>
      <c r="AN50" s="57">
        <v>0.15</v>
      </c>
      <c r="AO50" s="57">
        <v>6000</v>
      </c>
      <c r="AP50" s="57">
        <v>500</v>
      </c>
      <c r="AQ50" s="57">
        <v>20000</v>
      </c>
      <c r="AS50">
        <f ca="1">ROUND(AT50*AV50,0)</f>
        <v>50</v>
      </c>
      <c r="AT50">
        <f>ROUND(AY50*0.35+AZ50*0.65,0)</f>
        <v>178</v>
      </c>
      <c r="AU50" s="70">
        <f ca="1">ROUND(AS50/A50,4)</f>
        <v>0.1</v>
      </c>
      <c r="AV50" s="9">
        <f ca="1">ROUND((AW50+其他表格!K6+基本公式!$B$84)*OFFSET(其他表格!$N$1,兵攻防!O50,0)+OFFSET(其他表格!$P$1,M50/100,0),4)</f>
        <v>0.28249999999999997</v>
      </c>
      <c r="AW50" s="59">
        <v>0.1</v>
      </c>
      <c r="AX50" s="13">
        <v>150</v>
      </c>
      <c r="AY50">
        <f t="shared" si="61"/>
        <v>30</v>
      </c>
      <c r="AZ50">
        <f t="shared" si="61"/>
        <v>257</v>
      </c>
      <c r="BA50">
        <f>ROUND(POWER(AX50/10*(BE50*2+BG50),2)/BH50*(A50+A50)/AQ50,0)</f>
        <v>24</v>
      </c>
      <c r="BB50" s="21">
        <f>ROUND(POWER(AX50/10*(BF50*2+BG50),2)/BH50*(A50+A50)/AQ50,0)</f>
        <v>68</v>
      </c>
      <c r="BC50">
        <f>ROUND(POWER(AX50/10*(BE50-BF50+BI50),2)/BJ50*(A50+A50)/AQ50,0)</f>
        <v>6</v>
      </c>
      <c r="BD50" s="21">
        <f>ROUND(POWER(AX50/10*(BF50*2-BE50*2+BI50),2)/BJ50*(A50+A50)/AQ50,0)</f>
        <v>189</v>
      </c>
      <c r="BE50">
        <f>基本公式!$B$183</f>
        <v>30</v>
      </c>
      <c r="BF50">
        <f>基本公式!$B$182</f>
        <v>150</v>
      </c>
      <c r="BG50" s="57">
        <v>300</v>
      </c>
      <c r="BH50" s="57">
        <v>60000</v>
      </c>
      <c r="BI50" s="57">
        <v>200</v>
      </c>
      <c r="BJ50" s="57">
        <v>11500</v>
      </c>
    </row>
    <row r="51" spans="1:62">
      <c r="A51">
        <v>1000</v>
      </c>
      <c r="B51" s="53">
        <f ca="1">ROUND(((U51-$U$29)+($V$29-V51)),0)</f>
        <v>13</v>
      </c>
      <c r="C51" s="54">
        <f ca="1">ROUND(C43*基本公式!$B$83,0)</f>
        <v>15</v>
      </c>
      <c r="D51" s="13">
        <v>32</v>
      </c>
      <c r="E51">
        <f>ROUND(POWER(A51*D51/100,AM51),0)</f>
        <v>18</v>
      </c>
      <c r="F51" s="55">
        <f>ROUND(G51*0.35+H51*0.65,0)</f>
        <v>3293</v>
      </c>
      <c r="G51">
        <f>ROUND((E51+(30+30)/2)*AN51*兵攻防!A51/基本公式!$B$50,0)</f>
        <v>1440</v>
      </c>
      <c r="H51" s="56">
        <f>ROUND((E51+(基本公式!$B$180+基本公式!$B$28)/2)*AN51*兵攻防!A51/基本公式!$B$50,0)</f>
        <v>4290</v>
      </c>
      <c r="I51" s="13">
        <v>15</v>
      </c>
      <c r="J51">
        <f>ROUND(POWER($A$27*I51/100,$AM$27),0)</f>
        <v>12</v>
      </c>
      <c r="K51" s="2">
        <v>3</v>
      </c>
      <c r="L51">
        <f ca="1">ROUND(30/K51*P51*N51,2)</f>
        <v>16.68</v>
      </c>
      <c r="M51" s="13">
        <v>400</v>
      </c>
      <c r="N51" s="16">
        <f ca="1">OFFSET(其他表格!$G$2,M51/100,0)</f>
        <v>1.1499999999999999</v>
      </c>
      <c r="O51" s="13">
        <v>7</v>
      </c>
      <c r="P51" s="16">
        <f ca="1">OFFSET(其他表格!$B$1,O51,0)</f>
        <v>1.45</v>
      </c>
      <c r="Q51">
        <f>ROUND((E51+200)*AN51,2)</f>
        <v>32.700000000000003</v>
      </c>
      <c r="R51">
        <f>ROUND(($E$27+200)*$AN$27,2)</f>
        <v>30</v>
      </c>
      <c r="S51">
        <f>ROUND(POWER((E51+200-$J$27-200+AP51),2)/AO51,2)</f>
        <v>44.72</v>
      </c>
      <c r="T51">
        <f>ROUND(POWER(($E$27+200-J51-200+AP51),2)/AO51,2)</f>
        <v>39.69</v>
      </c>
      <c r="U51">
        <f ca="1">ROUND((Q51+S51)*(A51+A51)/AQ51*L51,0)</f>
        <v>129</v>
      </c>
      <c r="V51">
        <f ca="1">ROUND((R51+T51)*(A51+A51)/AQ51*L51,0)</f>
        <v>116</v>
      </c>
      <c r="W51" s="70">
        <f ca="1">MIN(ROUND(U51/A51,4),1)</f>
        <v>0.129</v>
      </c>
      <c r="X51" s="70">
        <f ca="1">MIN(ROUND(V51/A51,4),1)</f>
        <v>0.11600000000000001</v>
      </c>
      <c r="Y51"/>
      <c r="Z51"/>
      <c r="AA51"/>
      <c r="AB51" s="70"/>
      <c r="AC51"/>
      <c r="AD51" s="71"/>
      <c r="AE51" s="71"/>
      <c r="AF51" s="70"/>
      <c r="AG51" s="71"/>
      <c r="AH51" s="71"/>
      <c r="AI51" s="70"/>
      <c r="AJ51" s="71"/>
      <c r="AK51" s="71"/>
      <c r="AL51" s="70"/>
      <c r="AM51" s="57">
        <v>0.5</v>
      </c>
      <c r="AN51" s="57">
        <v>0.15</v>
      </c>
      <c r="AO51" s="57">
        <v>6000</v>
      </c>
      <c r="AP51" s="57">
        <v>500</v>
      </c>
      <c r="AQ51" s="57">
        <v>20000</v>
      </c>
      <c r="AS51">
        <f ca="1">ROUND(AT51*AV51,0)</f>
        <v>112</v>
      </c>
      <c r="AT51">
        <f>ROUND(AY51*0.35+AZ51*0.65,0)</f>
        <v>356</v>
      </c>
      <c r="AU51" s="70">
        <f ca="1">ROUND(AS51/A51,4)</f>
        <v>0.112</v>
      </c>
      <c r="AV51" s="9">
        <f ca="1">ROUND((AW51+其他表格!K7+基本公式!$B$84)*OFFSET(其他表格!$N$1,兵攻防!O51,0)+OFFSET(其他表格!$P$1,M51/100,0),4)</f>
        <v>0.31590000000000001</v>
      </c>
      <c r="AW51" s="59">
        <v>0.1</v>
      </c>
      <c r="AX51" s="13">
        <v>150</v>
      </c>
      <c r="AY51">
        <f t="shared" si="61"/>
        <v>62</v>
      </c>
      <c r="AZ51">
        <f t="shared" si="61"/>
        <v>514</v>
      </c>
      <c r="BA51">
        <f>ROUND(POWER(AX51/10*(BE51*2+BG51),2)/BH51*(A51+A51)/AQ51,0)</f>
        <v>49</v>
      </c>
      <c r="BB51" s="21">
        <f>ROUND(POWER(AX51/10*(BF51*2+BG51),2)/BH51*(A51+A51)/AQ51,0)</f>
        <v>135</v>
      </c>
      <c r="BC51">
        <f>ROUND(POWER(AX51/10*(BE51-BF51+BI51),2)/BJ51*(A51+A51)/AQ51,0)</f>
        <v>13</v>
      </c>
      <c r="BD51" s="21">
        <f>ROUND(POWER(AX51/10*(BF51*2-BE51*2+BI51),2)/BJ51*(A51+A51)/AQ51,0)</f>
        <v>379</v>
      </c>
      <c r="BE51">
        <f>基本公式!$B$183</f>
        <v>30</v>
      </c>
      <c r="BF51">
        <f>基本公式!$B$182</f>
        <v>150</v>
      </c>
      <c r="BG51" s="57">
        <v>300</v>
      </c>
      <c r="BH51" s="57">
        <v>60000</v>
      </c>
      <c r="BI51" s="57">
        <v>200</v>
      </c>
      <c r="BJ51" s="57">
        <v>11500</v>
      </c>
    </row>
    <row r="52" spans="1:62">
      <c r="A52">
        <v>2000</v>
      </c>
      <c r="B52" s="53">
        <f ca="1">ROUND(((U52-$U$29)+($V$29-V52)),0)</f>
        <v>36</v>
      </c>
      <c r="C52" s="54">
        <f ca="1">ROUND(C44*基本公式!$B$83,0)</f>
        <v>37</v>
      </c>
      <c r="D52" s="13">
        <v>32</v>
      </c>
      <c r="E52">
        <f>ROUND(POWER(A52*D52/100,AM52),0)</f>
        <v>25</v>
      </c>
      <c r="F52" s="55">
        <f>ROUND(G52*0.35+H52*0.65,0)</f>
        <v>7005</v>
      </c>
      <c r="G52">
        <f>ROUND((E52+(30+30)/2)*AN52*兵攻防!A52/基本公式!$B$50,0)</f>
        <v>3300</v>
      </c>
      <c r="H52" s="56">
        <f>ROUND((E52+(基本公式!$B$180+基本公式!$B$28)/2)*AN52*兵攻防!A52/基本公式!$B$50,0)</f>
        <v>9000</v>
      </c>
      <c r="I52" s="13">
        <v>15</v>
      </c>
      <c r="J52">
        <f>ROUND(POWER($A$28*I52/100,$AM$28),0)</f>
        <v>17</v>
      </c>
      <c r="K52" s="2">
        <v>3</v>
      </c>
      <c r="L52">
        <f ca="1">ROUND(30/K52*P52*N52,2)</f>
        <v>16.68</v>
      </c>
      <c r="M52" s="13">
        <v>400</v>
      </c>
      <c r="N52" s="16">
        <f ca="1">OFFSET(其他表格!$G$2,M52/100,0)</f>
        <v>1.1499999999999999</v>
      </c>
      <c r="O52" s="13">
        <v>7</v>
      </c>
      <c r="P52" s="16">
        <f ca="1">OFFSET(其他表格!$B$1,O52,0)</f>
        <v>1.45</v>
      </c>
      <c r="Q52">
        <f>ROUND((E52+200)*AN52,2)</f>
        <v>33.75</v>
      </c>
      <c r="R52">
        <f>ROUND(($E$28+200)*$AN$28,2)</f>
        <v>30</v>
      </c>
      <c r="S52">
        <f>ROUND(POWER((E52+200-$J$28-200+AP52),2)/AO52,2)</f>
        <v>45.94</v>
      </c>
      <c r="T52">
        <f>ROUND(POWER(($E$28+200-J52-200+AP52),2)/AO52,2)</f>
        <v>38.880000000000003</v>
      </c>
      <c r="U52">
        <f ca="1">ROUND((Q52+S52)*(A52+A52)/AQ52*L52,0)</f>
        <v>266</v>
      </c>
      <c r="V52">
        <f ca="1">ROUND((R52+T52)*(A52+A52)/AQ52*L52,0)</f>
        <v>230</v>
      </c>
      <c r="W52" s="70">
        <f ca="1">MIN(ROUND(U52/A52,4),1)</f>
        <v>0.13300000000000001</v>
      </c>
      <c r="X52" s="70">
        <f ca="1">MIN(ROUND(V52/A52,4),1)</f>
        <v>0.115</v>
      </c>
      <c r="Y52"/>
      <c r="Z52"/>
      <c r="AA52"/>
      <c r="AB52" s="70"/>
      <c r="AC52"/>
      <c r="AD52" s="71"/>
      <c r="AE52" s="71"/>
      <c r="AF52" s="70"/>
      <c r="AG52" s="71"/>
      <c r="AH52" s="71"/>
      <c r="AI52" s="70"/>
      <c r="AJ52" s="71"/>
      <c r="AK52" s="71"/>
      <c r="AL52" s="70"/>
      <c r="AM52" s="57">
        <v>0.5</v>
      </c>
      <c r="AN52" s="57">
        <v>0.15</v>
      </c>
      <c r="AO52" s="57">
        <v>6000</v>
      </c>
      <c r="AP52" s="57">
        <v>500</v>
      </c>
      <c r="AQ52" s="57">
        <v>20000</v>
      </c>
      <c r="AS52">
        <f ca="1">ROUND(AT52*AV52,0)</f>
        <v>252</v>
      </c>
      <c r="AT52">
        <f>ROUND(AY52*0.35+AZ52*0.65,0)</f>
        <v>711</v>
      </c>
      <c r="AU52" s="70">
        <f ca="1">ROUND(AS52/A52,4)</f>
        <v>0.126</v>
      </c>
      <c r="AV52" s="9">
        <f ca="1">ROUND((AW52+其他表格!K8+基本公式!$B$84)*OFFSET(其他表格!$N$1,兵攻防!O52,0)+OFFSET(其他表格!$P$1,M52/100,0),4)</f>
        <v>0.3548</v>
      </c>
      <c r="AW52" s="59">
        <v>0.1</v>
      </c>
      <c r="AX52" s="13">
        <v>150</v>
      </c>
      <c r="AY52">
        <f t="shared" si="61"/>
        <v>122</v>
      </c>
      <c r="AZ52">
        <f t="shared" si="61"/>
        <v>1028</v>
      </c>
      <c r="BA52">
        <f>ROUND(POWER(AX52/10*(BE52*2+BG52),2)/BH52*(A52+A52)/AQ52,0)</f>
        <v>97</v>
      </c>
      <c r="BB52" s="21">
        <f>ROUND(POWER(AX52/10*(BF52*2+BG52),2)/BH52*(A52+A52)/AQ52,0)</f>
        <v>270</v>
      </c>
      <c r="BC52">
        <f>ROUND(POWER(AX52/10*(BE52-BF52+BI52),2)/BJ52*(A52+A52)/AQ52,0)</f>
        <v>25</v>
      </c>
      <c r="BD52" s="21">
        <f>ROUND(POWER(AX52/10*(BF52*2-BE52*2+BI52),2)/BJ52*(A52+A52)/AQ52,0)</f>
        <v>758</v>
      </c>
      <c r="BE52">
        <f>基本公式!$B$183</f>
        <v>30</v>
      </c>
      <c r="BF52">
        <f>基本公式!$B$182</f>
        <v>150</v>
      </c>
      <c r="BG52" s="57">
        <v>300</v>
      </c>
      <c r="BH52" s="57">
        <v>60000</v>
      </c>
      <c r="BI52" s="57">
        <v>200</v>
      </c>
      <c r="BJ52" s="57">
        <v>11500</v>
      </c>
    </row>
    <row r="53" spans="1:62">
      <c r="A53">
        <v>5000</v>
      </c>
      <c r="B53" s="53">
        <f ca="1">ROUND(((U53-$U$29)+($V$29-V53)),0)</f>
        <v>145</v>
      </c>
      <c r="C53" s="54">
        <f ca="1">ROUND(C45*基本公式!$B$83,0)</f>
        <v>145</v>
      </c>
      <c r="D53" s="13">
        <v>32</v>
      </c>
      <c r="E53">
        <f>ROUND(POWER(A53*D53/100,AM53),0)</f>
        <v>40</v>
      </c>
      <c r="F53" s="55">
        <f>ROUND(G53*0.35+H53*0.65,0)</f>
        <v>19763</v>
      </c>
      <c r="G53">
        <f>ROUND((E53+(30+30)/2)*AN53*兵攻防!A53/基本公式!$B$50,0)</f>
        <v>10500</v>
      </c>
      <c r="H53" s="56">
        <f>ROUND((E53+(基本公式!$B$180+基本公式!$B$28)/2)*AN53*兵攻防!A53/基本公式!$B$50,0)</f>
        <v>24750</v>
      </c>
      <c r="I53" s="13">
        <v>15</v>
      </c>
      <c r="J53">
        <f>ROUND(POWER($A$29*I53/100,$AM$29),0)</f>
        <v>27</v>
      </c>
      <c r="K53" s="2">
        <v>3</v>
      </c>
      <c r="L53">
        <f ca="1">ROUND(30/K53*P53*N53,2)</f>
        <v>16.68</v>
      </c>
      <c r="M53" s="13">
        <v>400</v>
      </c>
      <c r="N53" s="16">
        <f ca="1">OFFSET(其他表格!$G$2,M53/100,0)</f>
        <v>1.1499999999999999</v>
      </c>
      <c r="O53" s="13">
        <v>7</v>
      </c>
      <c r="P53" s="16">
        <f ca="1">OFFSET(其他表格!$B$1,O53,0)</f>
        <v>1.45</v>
      </c>
      <c r="Q53">
        <f>ROUND((E53+200)*AN53,2)</f>
        <v>36</v>
      </c>
      <c r="R53">
        <f>ROUND(($E$29+200)*$AN$29,2)</f>
        <v>30</v>
      </c>
      <c r="S53">
        <f>ROUND(POWER((E53+200-$J$29-200+AP53),2)/AO53,2)</f>
        <v>48.6</v>
      </c>
      <c r="T53">
        <f>ROUND(POWER(($E$29+200-J53-200+AP53),2)/AO53,2)</f>
        <v>37.29</v>
      </c>
      <c r="U53">
        <f ca="1">ROUND((Q53+S53)*(A53+A53)/AQ53*L53,0)</f>
        <v>706</v>
      </c>
      <c r="V53">
        <f ca="1">ROUND((R53+T53)*(A53+A53)/AQ53*L53,0)</f>
        <v>561</v>
      </c>
      <c r="W53" s="70">
        <f ca="1">MIN(ROUND(U53/A53,4),1)</f>
        <v>0.14119999999999999</v>
      </c>
      <c r="X53" s="70">
        <f ca="1">MIN(ROUND(V53/A53,4),1)</f>
        <v>0.11219999999999999</v>
      </c>
      <c r="Y53"/>
      <c r="Z53"/>
      <c r="AA53"/>
      <c r="AB53" s="70"/>
      <c r="AC53"/>
      <c r="AD53" s="71"/>
      <c r="AE53" s="71"/>
      <c r="AF53" s="70"/>
      <c r="AG53" s="71"/>
      <c r="AH53" s="71"/>
      <c r="AI53" s="70"/>
      <c r="AJ53" s="71"/>
      <c r="AK53" s="71"/>
      <c r="AL53" s="70"/>
      <c r="AM53" s="57">
        <v>0.5</v>
      </c>
      <c r="AN53" s="57">
        <v>0.15</v>
      </c>
      <c r="AO53" s="57">
        <v>6000</v>
      </c>
      <c r="AP53" s="57">
        <v>500</v>
      </c>
      <c r="AQ53" s="57">
        <v>20000</v>
      </c>
      <c r="AS53">
        <f ca="1">ROUND(AT53*AV53,0)</f>
        <v>710</v>
      </c>
      <c r="AT53">
        <f>ROUND(AY53*0.35+AZ53*0.65,0)</f>
        <v>1777</v>
      </c>
      <c r="AU53" s="70">
        <f ca="1">ROUND(AS53/A53,4)</f>
        <v>0.14199999999999999</v>
      </c>
      <c r="AV53" s="9">
        <f ca="1">ROUND((AW53+其他表格!K9+基本公式!$B$84)*OFFSET(其他表格!$N$1,兵攻防!O53,0)+OFFSET(其他表格!$P$1,M53/100,0),4)</f>
        <v>0.39929999999999999</v>
      </c>
      <c r="AW53" s="59">
        <v>0.1</v>
      </c>
      <c r="AX53" s="13">
        <v>150</v>
      </c>
      <c r="AY53">
        <f t="shared" si="61"/>
        <v>306</v>
      </c>
      <c r="AZ53">
        <f t="shared" si="61"/>
        <v>2569</v>
      </c>
      <c r="BA53">
        <f>ROUND(POWER(AX53/10*(BE53*2+BG53),2)/BH53*(A53+A53)/AQ53,0)</f>
        <v>243</v>
      </c>
      <c r="BB53" s="21">
        <f>ROUND(POWER(AX53/10*(BF53*2+BG53),2)/BH53*(A53+A53)/AQ53,0)</f>
        <v>675</v>
      </c>
      <c r="BC53">
        <f>ROUND(POWER(AX53/10*(BE53-BF53+BI53),2)/BJ53*(A53+A53)/AQ53,0)</f>
        <v>63</v>
      </c>
      <c r="BD53" s="21">
        <f>ROUND(POWER(AX53/10*(BF53*2-BE53*2+BI53),2)/BJ53*(A53+A53)/AQ53,0)</f>
        <v>1894</v>
      </c>
      <c r="BE53">
        <f>基本公式!$B$183</f>
        <v>30</v>
      </c>
      <c r="BF53">
        <f>基本公式!$B$182</f>
        <v>150</v>
      </c>
      <c r="BG53" s="57">
        <v>300</v>
      </c>
      <c r="BH53" s="57">
        <v>60000</v>
      </c>
      <c r="BI53" s="57">
        <v>200</v>
      </c>
      <c r="BJ53" s="57">
        <v>11500</v>
      </c>
    </row>
    <row r="55" spans="1:62" s="52" customFormat="1">
      <c r="A55" s="52" t="s">
        <v>170</v>
      </c>
      <c r="B55" s="66" t="s">
        <v>164</v>
      </c>
      <c r="C55" s="66" t="s">
        <v>171</v>
      </c>
      <c r="F55" s="67"/>
      <c r="H55" s="68"/>
      <c r="K55" s="69"/>
      <c r="AR55" s="74"/>
      <c r="AV55" s="54"/>
      <c r="AW55" s="77"/>
      <c r="AX55" s="78"/>
      <c r="BB55" s="79"/>
      <c r="BD55" s="79"/>
      <c r="BG55" s="57"/>
      <c r="BH55" s="57"/>
    </row>
    <row r="56" spans="1:62">
      <c r="A56">
        <v>100</v>
      </c>
      <c r="B56" s="53">
        <f t="shared" ref="B56" ca="1" si="62">ROUND(((U56-$U$29)+($V$29-V56)),0)</f>
        <v>0</v>
      </c>
      <c r="C56" s="54">
        <f t="shared" ref="C56" ca="1" si="63">C32</f>
        <v>0</v>
      </c>
      <c r="D56" s="13">
        <v>7</v>
      </c>
      <c r="E56">
        <f t="shared" ref="E56" si="64">ROUND(POWER(A56*D56/100,AM56),0)</f>
        <v>3</v>
      </c>
      <c r="F56" s="55">
        <f>ROUND(G56*0.35+H56*0.65,0)</f>
        <v>284</v>
      </c>
      <c r="G56">
        <f>ROUND((E56+(30+30)/2)*AN56*兵攻防!A56/基本公式!$B$50,0)</f>
        <v>99</v>
      </c>
      <c r="H56" s="56">
        <f>ROUND((E56+(基本公式!$B$180+基本公式!$B$28)/2)*AN56*兵攻防!A56/基本公式!$B$50,0)</f>
        <v>384</v>
      </c>
      <c r="I56" s="13">
        <v>5</v>
      </c>
      <c r="J56">
        <f>ROUND(POWER($A$24*I56/100,$AM$24),0)</f>
        <v>2</v>
      </c>
      <c r="K56" s="2">
        <v>3</v>
      </c>
      <c r="L56">
        <f t="shared" ref="L56" ca="1" si="65">ROUND(30/K56*P56*N56,2)</f>
        <v>11.55</v>
      </c>
      <c r="M56" s="13">
        <v>280</v>
      </c>
      <c r="N56" s="16">
        <f ca="1">OFFSET(其他表格!$G$2,M56/100,0)</f>
        <v>1.05</v>
      </c>
      <c r="O56" s="13">
        <v>2</v>
      </c>
      <c r="P56" s="16">
        <f ca="1">OFFSET(其他表格!$B$1,O56,0)</f>
        <v>1.1000000000000001</v>
      </c>
      <c r="Q56">
        <f t="shared" ref="Q56" si="66">ROUND((E56+200)*AN56,2)</f>
        <v>30.45</v>
      </c>
      <c r="R56">
        <f>ROUND(($E$24+200)*$AN$24,2)</f>
        <v>30</v>
      </c>
      <c r="S56">
        <f>ROUND(POWER((E56+200-$J$24-200+AP56),2)/AO56,2)</f>
        <v>42.17</v>
      </c>
      <c r="T56">
        <f>ROUND(POWER(($E$24+200-J56-200+AP56),2)/AO56,2)</f>
        <v>41.33</v>
      </c>
      <c r="U56">
        <f t="shared" ref="U56" ca="1" si="67">ROUND((Q56+S56)*(A56+A56)/AQ56*L56,0)</f>
        <v>8</v>
      </c>
      <c r="V56">
        <f t="shared" ref="V56" ca="1" si="68">ROUND((R56+T56)*(A56+A56)/AQ56*L56,0)</f>
        <v>8</v>
      </c>
      <c r="W56" s="70">
        <f t="shared" ref="W56" ca="1" si="69">MIN(ROUND(U56/A56,4),1)</f>
        <v>0.08</v>
      </c>
      <c r="X56" s="70">
        <f t="shared" ref="X56" ca="1" si="70">MIN(ROUND(V56/A56,4),1)</f>
        <v>0.08</v>
      </c>
      <c r="Y56"/>
      <c r="Z56"/>
      <c r="AA56"/>
      <c r="AB56" s="70"/>
      <c r="AC56"/>
      <c r="AD56" s="71"/>
      <c r="AE56" s="71"/>
      <c r="AF56" s="70"/>
      <c r="AG56" s="71"/>
      <c r="AH56" s="71"/>
      <c r="AI56" s="70"/>
      <c r="AJ56" s="71"/>
      <c r="AK56" s="71"/>
      <c r="AL56" s="70"/>
      <c r="AM56" s="57">
        <v>0.5</v>
      </c>
      <c r="AN56" s="57">
        <v>0.15</v>
      </c>
      <c r="AO56" s="57">
        <v>6000</v>
      </c>
      <c r="AP56" s="57">
        <v>500</v>
      </c>
      <c r="AQ56" s="57">
        <v>20000</v>
      </c>
      <c r="AS56">
        <f t="shared" ref="AS56" ca="1" si="71">ROUND(AT56*AV56,0)</f>
        <v>2</v>
      </c>
      <c r="AT56">
        <f t="shared" ref="AT56" si="72">ROUND(AY56*0.35+AZ56*0.65,0)</f>
        <v>27</v>
      </c>
      <c r="AU56" s="70">
        <f t="shared" ref="AU56" ca="1" si="73">ROUND(AS56/A56,4)</f>
        <v>0.02</v>
      </c>
      <c r="AV56" s="9">
        <f ca="1">ROUND((AW56+其他表格!K4+基本公式!$B$84)*OFFSET(其他表格!$N$1,兵攻防!O56,0)+OFFSET(其他表格!$P$1,M56/100,0),4)</f>
        <v>6.1800000000000001E-2</v>
      </c>
      <c r="AW56" s="59">
        <v>0.1</v>
      </c>
      <c r="AX56" s="13">
        <v>131</v>
      </c>
      <c r="AY56">
        <f t="shared" ref="AY56" si="74">BA56+BC56</f>
        <v>4</v>
      </c>
      <c r="AZ56">
        <f t="shared" ref="AZ56" si="75">BB56+BD56</f>
        <v>39</v>
      </c>
      <c r="BA56">
        <f t="shared" ref="BA56" si="76">ROUND(POWER(AX56/10*(BE56+BG56),2)/BH56*(A56+A56)/AQ56,0)</f>
        <v>3</v>
      </c>
      <c r="BB56" s="21">
        <f t="shared" ref="BB56" si="77">ROUND(POWER(AX56/10*(BF56*2+BG56),2)/BH56*(A56+A56)/AQ56,0)</f>
        <v>10</v>
      </c>
      <c r="BC56">
        <f t="shared" ref="BC56" si="78">ROUND(POWER(AX56/10*(BE56-BF56+BI56),2)/BJ56*(A56+A56)/AQ56,0)</f>
        <v>1</v>
      </c>
      <c r="BD56" s="21">
        <f t="shared" ref="BD56" si="79">ROUND(POWER(AX56/10*(BF56*2-BE56*2+BI56),2)/BJ56*(A56+A56)/AQ56,0)</f>
        <v>29</v>
      </c>
      <c r="BE56">
        <f>基本公式!$B$183</f>
        <v>30</v>
      </c>
      <c r="BF56">
        <f>基本公式!$B$182</f>
        <v>150</v>
      </c>
      <c r="BG56" s="57">
        <v>300</v>
      </c>
      <c r="BH56" s="57">
        <v>60000</v>
      </c>
      <c r="BI56" s="57">
        <v>200</v>
      </c>
      <c r="BJ56" s="57">
        <v>11500</v>
      </c>
    </row>
    <row r="57" spans="1:62">
      <c r="A57">
        <v>200</v>
      </c>
      <c r="B57" s="53">
        <f ca="1">ROUND(((U57-$U$29)+($V$29-V57)),0)</f>
        <v>1</v>
      </c>
      <c r="C57" s="54">
        <f ca="1">C33</f>
        <v>1</v>
      </c>
      <c r="D57" s="13">
        <v>7</v>
      </c>
      <c r="E57">
        <f>ROUND(POWER(A57*D57/100,AM57),0)</f>
        <v>4</v>
      </c>
      <c r="F57" s="55">
        <f t="shared" ref="F57" si="80">ROUND(G57*0.35+H57*0.65,0)</f>
        <v>575</v>
      </c>
      <c r="G57">
        <f>ROUND((E57+(30+30)/2)*AN57*兵攻防!A57/基本公式!$B$50,0)</f>
        <v>204</v>
      </c>
      <c r="H57" s="56">
        <f>ROUND((E57+(基本公式!$B$180+基本公式!$B$28)/2)*AN57*兵攻防!A57/基本公式!$B$50,0)</f>
        <v>774</v>
      </c>
      <c r="I57" s="13">
        <v>5</v>
      </c>
      <c r="J57">
        <f>ROUND(POWER($A$25*I57/100,$AM$25),0)</f>
        <v>3</v>
      </c>
      <c r="K57" s="2">
        <v>3</v>
      </c>
      <c r="L57">
        <f ca="1">ROUND(30/K57*P57*N57,2)</f>
        <v>11.55</v>
      </c>
      <c r="M57" s="13">
        <v>280</v>
      </c>
      <c r="N57" s="16">
        <f ca="1">OFFSET(其他表格!$G$2,M57/100,0)</f>
        <v>1.05</v>
      </c>
      <c r="O57" s="13">
        <v>2</v>
      </c>
      <c r="P57" s="16">
        <f ca="1">OFFSET(其他表格!$B$1,O57,0)</f>
        <v>1.1000000000000001</v>
      </c>
      <c r="Q57">
        <f>ROUND((E57+200)*AN57,2)</f>
        <v>30.6</v>
      </c>
      <c r="R57">
        <f>ROUND(($E$25+200)*$AN$25,2)</f>
        <v>30</v>
      </c>
      <c r="S57">
        <f>ROUND(POWER((E57+200-$J$25-200+AP57),2)/AO57,2)</f>
        <v>42.34</v>
      </c>
      <c r="T57">
        <f>ROUND(POWER(($E$25+200-J57-200+AP57),2)/AO57,2)</f>
        <v>41.17</v>
      </c>
      <c r="U57">
        <f ca="1">ROUND((Q57+S57)*(A57+A57)/AQ57*L57,0)</f>
        <v>17</v>
      </c>
      <c r="V57">
        <f ca="1">ROUND((R57+T57)*(A57+A57)/AQ57*L57,0)</f>
        <v>16</v>
      </c>
      <c r="W57" s="70">
        <f ca="1">MIN(ROUND(U57/A57,4),1)</f>
        <v>8.5000000000000006E-2</v>
      </c>
      <c r="X57" s="70">
        <f ca="1">MIN(ROUND(V57/A57,4),1)</f>
        <v>0.08</v>
      </c>
      <c r="Y57"/>
      <c r="Z57"/>
      <c r="AA57"/>
      <c r="AB57" s="70"/>
      <c r="AC57"/>
      <c r="AD57" s="71"/>
      <c r="AE57" s="71"/>
      <c r="AF57" s="70"/>
      <c r="AG57" s="71"/>
      <c r="AH57" s="71"/>
      <c r="AI57" s="70"/>
      <c r="AJ57" s="71"/>
      <c r="AK57" s="71"/>
      <c r="AL57" s="70"/>
      <c r="AM57" s="57">
        <v>0.5</v>
      </c>
      <c r="AN57" s="57">
        <v>0.15</v>
      </c>
      <c r="AO57" s="57">
        <v>6000</v>
      </c>
      <c r="AP57" s="57">
        <v>500</v>
      </c>
      <c r="AQ57" s="57">
        <v>20000</v>
      </c>
      <c r="AS57">
        <f ca="1">ROUND(AT57*AV57,0)</f>
        <v>4</v>
      </c>
      <c r="AT57">
        <f>ROUND(AY57*0.35+AZ57*0.65,0)</f>
        <v>54</v>
      </c>
      <c r="AU57" s="70">
        <f ca="1">ROUND(AS57/A57,4)</f>
        <v>0.02</v>
      </c>
      <c r="AV57" s="9">
        <f ca="1">ROUND((AW57+其他表格!K5+基本公式!$B$84)*OFFSET(其他表格!$N$1,兵攻防!O57,0)+OFFSET(其他表格!$P$1,M57/100,0),4)</f>
        <v>7.2900000000000006E-2</v>
      </c>
      <c r="AW57" s="59">
        <v>0.1</v>
      </c>
      <c r="AX57" s="13">
        <v>131</v>
      </c>
      <c r="AY57">
        <f t="shared" ref="AY57:AZ61" si="81">BA57+BC57</f>
        <v>8</v>
      </c>
      <c r="AZ57">
        <f t="shared" si="81"/>
        <v>79</v>
      </c>
      <c r="BA57">
        <f>ROUND(POWER(AX57/10*(BE57+BG57),2)/BH57*(A57+A57)/AQ57,0)</f>
        <v>6</v>
      </c>
      <c r="BB57" s="21">
        <f>ROUND(POWER(AX57/10*(BF57*2+BG57),2)/BH57*(A57+A57)/AQ57,0)</f>
        <v>21</v>
      </c>
      <c r="BC57">
        <f>ROUND(POWER(AX57/10*(BE57-BF57+BI57),2)/BJ57*(A57+A57)/AQ57,0)</f>
        <v>2</v>
      </c>
      <c r="BD57" s="21">
        <f>ROUND(POWER(AX57/10*(BF57*2-BE57*2+BI57),2)/BJ57*(A57+A57)/AQ57,0)</f>
        <v>58</v>
      </c>
      <c r="BE57">
        <f>基本公式!$B$183</f>
        <v>30</v>
      </c>
      <c r="BF57">
        <f>基本公式!$B$182</f>
        <v>150</v>
      </c>
      <c r="BG57" s="57">
        <v>300</v>
      </c>
      <c r="BH57" s="57">
        <v>60000</v>
      </c>
      <c r="BI57" s="57">
        <v>200</v>
      </c>
      <c r="BJ57" s="57">
        <v>11500</v>
      </c>
    </row>
    <row r="58" spans="1:62">
      <c r="A58">
        <v>500</v>
      </c>
      <c r="B58" s="53">
        <f ca="1">ROUND(((U58-$U$29)+($V$29-V58)),0)</f>
        <v>1</v>
      </c>
      <c r="C58" s="54">
        <f ca="1">C34</f>
        <v>2</v>
      </c>
      <c r="D58" s="13">
        <v>7</v>
      </c>
      <c r="E58">
        <f>ROUND(POWER(A58*D58/100,AM58),0)</f>
        <v>6</v>
      </c>
      <c r="F58" s="55">
        <f>ROUND(G58*0.35+H58*0.65,0)</f>
        <v>1466</v>
      </c>
      <c r="G58">
        <f>ROUND((E58+(30+30)/2)*AN58*兵攻防!A58/基本公式!$B$50,0)</f>
        <v>540</v>
      </c>
      <c r="H58" s="56">
        <f>ROUND((E58+(基本公式!$B$180+基本公式!$B$28)/2)*AN58*兵攻防!A58/基本公式!$B$50,0)</f>
        <v>1965</v>
      </c>
      <c r="I58" s="13">
        <v>5</v>
      </c>
      <c r="J58">
        <f>ROUND(POWER($A$26*I58/100,$AM$26),0)</f>
        <v>5</v>
      </c>
      <c r="K58" s="2">
        <v>3</v>
      </c>
      <c r="L58">
        <f ca="1">ROUND(30/K58*P58*N58,2)</f>
        <v>11.55</v>
      </c>
      <c r="M58" s="13">
        <v>280</v>
      </c>
      <c r="N58" s="16">
        <f ca="1">OFFSET(其他表格!$G$2,M58/100,0)</f>
        <v>1.05</v>
      </c>
      <c r="O58" s="13">
        <v>2</v>
      </c>
      <c r="P58" s="16">
        <f ca="1">OFFSET(其他表格!$B$1,O58,0)</f>
        <v>1.1000000000000001</v>
      </c>
      <c r="Q58">
        <f>ROUND((E58+200)*AN58,2)</f>
        <v>30.9</v>
      </c>
      <c r="R58">
        <f>ROUND(($E$26+200)*$AN$26,2)</f>
        <v>30</v>
      </c>
      <c r="S58">
        <f>ROUND(POWER((E58+200-$J$26-200+AP58),2)/AO58,2)</f>
        <v>42.67</v>
      </c>
      <c r="T58">
        <f>ROUND(POWER(($E$26+200-J58-200+AP58),2)/AO58,2)</f>
        <v>40.840000000000003</v>
      </c>
      <c r="U58">
        <f ca="1">ROUND((Q58+S58)*(A58+A58)/AQ58*L58,0)</f>
        <v>42</v>
      </c>
      <c r="V58">
        <f ca="1">ROUND((R58+T58)*(A58+A58)/AQ58*L58,0)</f>
        <v>41</v>
      </c>
      <c r="W58" s="70">
        <f ca="1">MIN(ROUND(U58/A58,4),1)</f>
        <v>8.4000000000000005E-2</v>
      </c>
      <c r="X58" s="70">
        <f ca="1">MIN(ROUND(V58/A58,4),1)</f>
        <v>8.2000000000000003E-2</v>
      </c>
      <c r="Y58"/>
      <c r="Z58"/>
      <c r="AA58"/>
      <c r="AB58" s="70"/>
      <c r="AC58"/>
      <c r="AD58" s="71"/>
      <c r="AE58" s="71"/>
      <c r="AF58" s="70"/>
      <c r="AG58" s="71"/>
      <c r="AH58" s="71"/>
      <c r="AI58" s="70"/>
      <c r="AJ58" s="71"/>
      <c r="AK58" s="71"/>
      <c r="AL58" s="70"/>
      <c r="AM58" s="57">
        <v>0.5</v>
      </c>
      <c r="AN58" s="57">
        <v>0.15</v>
      </c>
      <c r="AO58" s="57">
        <v>6000</v>
      </c>
      <c r="AP58" s="57">
        <v>500</v>
      </c>
      <c r="AQ58" s="57">
        <v>20000</v>
      </c>
      <c r="AS58">
        <f ca="1">ROUND(AT58*AV58,0)</f>
        <v>11</v>
      </c>
      <c r="AT58">
        <f>ROUND(AY58*0.35+AZ58*0.65,0)</f>
        <v>134</v>
      </c>
      <c r="AU58" s="70">
        <f ca="1">ROUND(AS58/A58,4)</f>
        <v>2.1999999999999999E-2</v>
      </c>
      <c r="AV58" s="9">
        <f ca="1">ROUND((AW58+其他表格!K6+基本公式!$B$84)*OFFSET(其他表格!$N$1,兵攻防!O58,0)+OFFSET(其他表格!$P$1,M58/100,0),4)</f>
        <v>8.4000000000000005E-2</v>
      </c>
      <c r="AW58" s="59">
        <v>0.1</v>
      </c>
      <c r="AX58" s="13">
        <v>131</v>
      </c>
      <c r="AY58">
        <f t="shared" si="81"/>
        <v>21</v>
      </c>
      <c r="AZ58">
        <f t="shared" si="81"/>
        <v>195</v>
      </c>
      <c r="BA58">
        <f>ROUND(POWER(AX58/10*(BE58+BG58),2)/BH58*(A58+A58)/AQ58,0)</f>
        <v>16</v>
      </c>
      <c r="BB58" s="21">
        <f>ROUND(POWER(AX58/10*(BF58*2+BG58),2)/BH58*(A58+A58)/AQ58,0)</f>
        <v>51</v>
      </c>
      <c r="BC58">
        <f>ROUND(POWER(AX58/10*(BE58-BF58+BI58),2)/BJ58*(A58+A58)/AQ58,0)</f>
        <v>5</v>
      </c>
      <c r="BD58" s="21">
        <f>ROUND(POWER(AX58/10*(BF58*2-BE58*2+BI58),2)/BJ58*(A58+A58)/AQ58,0)</f>
        <v>144</v>
      </c>
      <c r="BE58">
        <f>基本公式!$B$183</f>
        <v>30</v>
      </c>
      <c r="BF58">
        <f>基本公式!$B$182</f>
        <v>150</v>
      </c>
      <c r="BG58" s="57">
        <v>300</v>
      </c>
      <c r="BH58" s="57">
        <v>60000</v>
      </c>
      <c r="BI58" s="57">
        <v>200</v>
      </c>
      <c r="BJ58" s="57">
        <v>11500</v>
      </c>
    </row>
    <row r="59" spans="1:62">
      <c r="A59">
        <v>1000</v>
      </c>
      <c r="B59" s="53">
        <f ca="1">ROUND(((U59-$U$29)+($V$29-V59)),0)</f>
        <v>5</v>
      </c>
      <c r="C59" s="54">
        <f ca="1">C35</f>
        <v>5</v>
      </c>
      <c r="D59" s="13">
        <v>7</v>
      </c>
      <c r="E59">
        <f>ROUND(POWER(A59*D59/100,AM59),0)</f>
        <v>8</v>
      </c>
      <c r="F59" s="55">
        <f>ROUND(G59*0.35+H59*0.65,0)</f>
        <v>2993</v>
      </c>
      <c r="G59">
        <f>ROUND((E59+(30+30)/2)*AN59*兵攻防!A59/基本公式!$B$50,0)</f>
        <v>1140</v>
      </c>
      <c r="H59" s="56">
        <f>ROUND((E59+(基本公式!$B$180+基本公式!$B$28)/2)*AN59*兵攻防!A59/基本公式!$B$50,0)</f>
        <v>3990</v>
      </c>
      <c r="I59" s="13">
        <v>5</v>
      </c>
      <c r="J59">
        <f>ROUND(POWER($A$27*I59/100,$AM$27),0)</f>
        <v>7</v>
      </c>
      <c r="K59" s="2">
        <v>3</v>
      </c>
      <c r="L59">
        <f ca="1">ROUND(30/K59*P59*N59,2)</f>
        <v>11.55</v>
      </c>
      <c r="M59" s="13">
        <v>280</v>
      </c>
      <c r="N59" s="16">
        <f ca="1">OFFSET(其他表格!$G$2,M59/100,0)</f>
        <v>1.05</v>
      </c>
      <c r="O59" s="13">
        <v>2</v>
      </c>
      <c r="P59" s="16">
        <f ca="1">OFFSET(其他表格!$B$1,O59,0)</f>
        <v>1.1000000000000001</v>
      </c>
      <c r="Q59">
        <f>ROUND((E59+200)*AN59,2)</f>
        <v>31.2</v>
      </c>
      <c r="R59">
        <f>ROUND(($E$27+200)*$AN$27,2)</f>
        <v>30</v>
      </c>
      <c r="S59">
        <f>ROUND(POWER((E59+200-$J$27-200+AP59),2)/AO59,2)</f>
        <v>43.01</v>
      </c>
      <c r="T59">
        <f>ROUND(POWER(($E$27+200-J59-200+AP59),2)/AO59,2)</f>
        <v>40.51</v>
      </c>
      <c r="U59">
        <f ca="1">ROUND((Q59+S59)*(A59+A59)/AQ59*L59,0)</f>
        <v>86</v>
      </c>
      <c r="V59">
        <f ca="1">ROUND((R59+T59)*(A59+A59)/AQ59*L59,0)</f>
        <v>81</v>
      </c>
      <c r="W59" s="70">
        <f ca="1">MIN(ROUND(U59/A59,4),1)</f>
        <v>8.5999999999999993E-2</v>
      </c>
      <c r="X59" s="70">
        <f ca="1">MIN(ROUND(V59/A59,4),1)</f>
        <v>8.1000000000000003E-2</v>
      </c>
      <c r="Y59"/>
      <c r="Z59"/>
      <c r="AA59"/>
      <c r="AB59" s="70"/>
      <c r="AC59"/>
      <c r="AD59" s="71"/>
      <c r="AE59" s="71"/>
      <c r="AF59" s="70"/>
      <c r="AG59" s="71"/>
      <c r="AH59" s="71"/>
      <c r="AI59" s="70"/>
      <c r="AJ59" s="71"/>
      <c r="AK59" s="71"/>
      <c r="AL59" s="70"/>
      <c r="AM59" s="57">
        <v>0.5</v>
      </c>
      <c r="AN59" s="57">
        <v>0.15</v>
      </c>
      <c r="AO59" s="57">
        <v>6000</v>
      </c>
      <c r="AP59" s="57">
        <v>500</v>
      </c>
      <c r="AQ59" s="57">
        <v>20000</v>
      </c>
      <c r="AS59">
        <f ca="1">ROUND(AT59*AV59,0)</f>
        <v>26</v>
      </c>
      <c r="AT59">
        <f>ROUND(AY59*0.35+AZ59*0.65,0)</f>
        <v>269</v>
      </c>
      <c r="AU59" s="70">
        <f ca="1">ROUND(AS59/A59,4)</f>
        <v>2.5999999999999999E-2</v>
      </c>
      <c r="AV59" s="9">
        <f ca="1">ROUND((AW59+其他表格!K7+基本公式!$B$84)*OFFSET(其他表格!$N$1,兵攻防!O59,0)+OFFSET(其他表格!$P$1,M59/100,0),4)</f>
        <v>9.5100000000000004E-2</v>
      </c>
      <c r="AW59" s="59">
        <v>0.1</v>
      </c>
      <c r="AX59" s="13">
        <v>131</v>
      </c>
      <c r="AY59">
        <f t="shared" si="81"/>
        <v>41</v>
      </c>
      <c r="AZ59">
        <f t="shared" si="81"/>
        <v>392</v>
      </c>
      <c r="BA59">
        <f>ROUND(POWER(AX59/10*(BE59+BG59),2)/BH59*(A59+A59)/AQ59,0)</f>
        <v>31</v>
      </c>
      <c r="BB59" s="21">
        <f>ROUND(POWER(AX59/10*(BF59*2+BG59),2)/BH59*(A59+A59)/AQ59,0)</f>
        <v>103</v>
      </c>
      <c r="BC59">
        <f>ROUND(POWER(AX59/10*(BE59-BF59+BI59),2)/BJ59*(A59+A59)/AQ59,0)</f>
        <v>10</v>
      </c>
      <c r="BD59" s="21">
        <f>ROUND(POWER(AX59/10*(BF59*2-BE59*2+BI59),2)/BJ59*(A59+A59)/AQ59,0)</f>
        <v>289</v>
      </c>
      <c r="BE59">
        <f>基本公式!$B$183</f>
        <v>30</v>
      </c>
      <c r="BF59">
        <f>基本公式!$B$182</f>
        <v>150</v>
      </c>
      <c r="BG59" s="57">
        <v>300</v>
      </c>
      <c r="BH59" s="57">
        <v>60000</v>
      </c>
      <c r="BI59" s="57">
        <v>200</v>
      </c>
      <c r="BJ59" s="57">
        <v>11500</v>
      </c>
    </row>
    <row r="60" spans="1:62">
      <c r="A60">
        <v>2000</v>
      </c>
      <c r="B60" s="53">
        <f ca="1">ROUND(((U60-$U$29)+($V$29-V60)),0)</f>
        <v>12</v>
      </c>
      <c r="C60" s="54">
        <f ca="1">C36</f>
        <v>13</v>
      </c>
      <c r="D60" s="13">
        <v>7</v>
      </c>
      <c r="E60">
        <f>ROUND(POWER(A60*D60/100,AM60),0)</f>
        <v>12</v>
      </c>
      <c r="F60" s="55">
        <f>ROUND(G60*0.35+H60*0.65,0)</f>
        <v>6225</v>
      </c>
      <c r="G60">
        <f>ROUND((E60+(30+30)/2)*AN60*兵攻防!A60/基本公式!$B$50,0)</f>
        <v>2520</v>
      </c>
      <c r="H60" s="56">
        <f>ROUND((E60+(基本公式!$B$180+基本公式!$B$28)/2)*AN60*兵攻防!A60/基本公式!$B$50,0)</f>
        <v>8220</v>
      </c>
      <c r="I60" s="13">
        <v>5</v>
      </c>
      <c r="J60">
        <f>ROUND(POWER($A$28*I60/100,$AM$28),0)</f>
        <v>10</v>
      </c>
      <c r="K60" s="2">
        <v>3</v>
      </c>
      <c r="L60">
        <f ca="1">ROUND(30/K60*P60*N60,2)</f>
        <v>11.55</v>
      </c>
      <c r="M60" s="13">
        <v>280</v>
      </c>
      <c r="N60" s="16">
        <f ca="1">OFFSET(其他表格!$G$2,M60/100,0)</f>
        <v>1.05</v>
      </c>
      <c r="O60" s="13">
        <v>2</v>
      </c>
      <c r="P60" s="16">
        <f ca="1">OFFSET(其他表格!$B$1,O60,0)</f>
        <v>1.1000000000000001</v>
      </c>
      <c r="Q60">
        <f>ROUND((E60+200)*AN60,2)</f>
        <v>31.8</v>
      </c>
      <c r="R60">
        <f>ROUND(($E$28+200)*$AN$28,2)</f>
        <v>30</v>
      </c>
      <c r="S60">
        <f>ROUND(POWER((E60+200-$J$28-200+AP60),2)/AO60,2)</f>
        <v>43.69</v>
      </c>
      <c r="T60">
        <f>ROUND(POWER(($E$28+200-J60-200+AP60),2)/AO60,2)</f>
        <v>40.020000000000003</v>
      </c>
      <c r="U60">
        <f ca="1">ROUND((Q60+S60)*(A60+A60)/AQ60*L60,0)</f>
        <v>174</v>
      </c>
      <c r="V60">
        <f ca="1">ROUND((R60+T60)*(A60+A60)/AQ60*L60,0)</f>
        <v>162</v>
      </c>
      <c r="W60" s="70">
        <f ca="1">MIN(ROUND(U60/A60,4),1)</f>
        <v>8.6999999999999994E-2</v>
      </c>
      <c r="X60" s="70">
        <f ca="1">MIN(ROUND(V60/A60,4),1)</f>
        <v>8.1000000000000003E-2</v>
      </c>
      <c r="Y60"/>
      <c r="Z60"/>
      <c r="AA60"/>
      <c r="AB60" s="70"/>
      <c r="AC60"/>
      <c r="AD60" s="71"/>
      <c r="AE60" s="71"/>
      <c r="AF60" s="70"/>
      <c r="AG60" s="71"/>
      <c r="AH60" s="71"/>
      <c r="AI60" s="70"/>
      <c r="AJ60" s="71"/>
      <c r="AK60" s="71"/>
      <c r="AL60" s="70"/>
      <c r="AM60" s="57">
        <v>0.5</v>
      </c>
      <c r="AN60" s="57">
        <v>0.15</v>
      </c>
      <c r="AO60" s="57">
        <v>6000</v>
      </c>
      <c r="AP60" s="57">
        <v>500</v>
      </c>
      <c r="AQ60" s="57">
        <v>20000</v>
      </c>
      <c r="AS60">
        <f ca="1">ROUND(AT60*AV60,0)</f>
        <v>58</v>
      </c>
      <c r="AT60">
        <f>ROUND(AY60*0.35+AZ60*0.65,0)</f>
        <v>538</v>
      </c>
      <c r="AU60" s="70">
        <f ca="1">ROUND(AS60/A60,4)</f>
        <v>2.9000000000000001E-2</v>
      </c>
      <c r="AV60" s="9">
        <f ca="1">ROUND((AW60+其他表格!K8+基本公式!$B$84)*OFFSET(其他表格!$N$1,兵攻防!O60,0)+OFFSET(其他表格!$P$1,M60/100,0),4)</f>
        <v>0.108</v>
      </c>
      <c r="AW60" s="59">
        <v>0.1</v>
      </c>
      <c r="AX60" s="13">
        <v>131</v>
      </c>
      <c r="AY60">
        <f t="shared" si="81"/>
        <v>81</v>
      </c>
      <c r="AZ60">
        <f t="shared" si="81"/>
        <v>784</v>
      </c>
      <c r="BA60">
        <f>ROUND(POWER(AX60/10*(BE60+BG60),2)/BH60*(A60+A60)/AQ60,0)</f>
        <v>62</v>
      </c>
      <c r="BB60" s="21">
        <f>ROUND(POWER(AX60/10*(BF60*2+BG60),2)/BH60*(A60+A60)/AQ60,0)</f>
        <v>206</v>
      </c>
      <c r="BC60">
        <f>ROUND(POWER(AX60/10*(BE60-BF60+BI60),2)/BJ60*(A60+A60)/AQ60,0)</f>
        <v>19</v>
      </c>
      <c r="BD60" s="21">
        <f>ROUND(POWER(AX60/10*(BF60*2-BE60*2+BI60),2)/BJ60*(A60+A60)/AQ60,0)</f>
        <v>578</v>
      </c>
      <c r="BE60">
        <f>基本公式!$B$183</f>
        <v>30</v>
      </c>
      <c r="BF60">
        <f>基本公式!$B$182</f>
        <v>150</v>
      </c>
      <c r="BG60" s="57">
        <v>300</v>
      </c>
      <c r="BH60" s="57">
        <v>60000</v>
      </c>
      <c r="BI60" s="57">
        <v>200</v>
      </c>
      <c r="BJ60" s="57">
        <v>11500</v>
      </c>
    </row>
    <row r="61" spans="1:62">
      <c r="A61">
        <v>5000</v>
      </c>
      <c r="B61" s="53">
        <f ca="1">ROUND(((U61-$U$29)+($V$29-V61)),0)</f>
        <v>50</v>
      </c>
      <c r="C61" s="54">
        <f ca="1">C37</f>
        <v>50</v>
      </c>
      <c r="D61" s="13">
        <v>7</v>
      </c>
      <c r="E61">
        <f>ROUND(POWER(A61*D61/100,AM61),0)</f>
        <v>19</v>
      </c>
      <c r="F61" s="55">
        <f>ROUND(G61*0.35+H61*0.65,0)</f>
        <v>16613</v>
      </c>
      <c r="G61">
        <f>ROUND((E61+(30+30)/2)*AN61*兵攻防!A61/基本公式!$B$50,0)</f>
        <v>7350</v>
      </c>
      <c r="H61" s="56">
        <f>ROUND((E61+(基本公式!$B$180+基本公式!$B$28)/2)*AN61*兵攻防!A61/基本公式!$B$50,0)</f>
        <v>21600</v>
      </c>
      <c r="I61" s="13">
        <v>5</v>
      </c>
      <c r="J61">
        <f>ROUND(POWER($A$29*I61/100,$AM$29),0)</f>
        <v>16</v>
      </c>
      <c r="K61" s="2">
        <v>3</v>
      </c>
      <c r="L61">
        <f ca="1">ROUND(30/K61*P61*N61,2)</f>
        <v>11.55</v>
      </c>
      <c r="M61" s="13">
        <v>280</v>
      </c>
      <c r="N61" s="16">
        <f ca="1">OFFSET(其他表格!$G$2,M61/100,0)</f>
        <v>1.05</v>
      </c>
      <c r="O61" s="13">
        <v>2</v>
      </c>
      <c r="P61" s="16">
        <f ca="1">OFFSET(其他表格!$B$1,O61,0)</f>
        <v>1.1000000000000001</v>
      </c>
      <c r="Q61">
        <f>ROUND((E61+200)*AN61,2)</f>
        <v>32.85</v>
      </c>
      <c r="R61">
        <f>ROUND(($E$29+200)*$AN$29,2)</f>
        <v>30</v>
      </c>
      <c r="S61">
        <f>ROUND(POWER((E61+200-$J$29-200+AP61),2)/AO61,2)</f>
        <v>44.89</v>
      </c>
      <c r="T61">
        <f>ROUND(POWER(($E$29+200-J61-200+AP61),2)/AO61,2)</f>
        <v>39.04</v>
      </c>
      <c r="U61">
        <f ca="1">ROUND((Q61+S61)*(A61+A61)/AQ61*L61,0)</f>
        <v>449</v>
      </c>
      <c r="V61">
        <f ca="1">ROUND((R61+T61)*(A61+A61)/AQ61*L61,0)</f>
        <v>399</v>
      </c>
      <c r="W61" s="70">
        <f ca="1">MIN(ROUND(U61/A61,4),1)</f>
        <v>8.9800000000000005E-2</v>
      </c>
      <c r="X61" s="70">
        <f ca="1">MIN(ROUND(V61/A61,4),1)</f>
        <v>7.9799999999999996E-2</v>
      </c>
      <c r="Y61"/>
      <c r="Z61"/>
      <c r="AA61"/>
      <c r="AB61" s="70"/>
      <c r="AC61"/>
      <c r="AD61" s="71"/>
      <c r="AE61" s="71"/>
      <c r="AF61" s="70"/>
      <c r="AG61" s="71"/>
      <c r="AH61" s="71"/>
      <c r="AI61" s="70"/>
      <c r="AJ61" s="71"/>
      <c r="AK61" s="71"/>
      <c r="AL61" s="70"/>
      <c r="AM61" s="57">
        <v>0.5</v>
      </c>
      <c r="AN61" s="57">
        <v>0.15</v>
      </c>
      <c r="AO61" s="57">
        <v>6000</v>
      </c>
      <c r="AP61" s="57">
        <v>500</v>
      </c>
      <c r="AQ61" s="57">
        <v>20000</v>
      </c>
      <c r="AS61">
        <f ca="1">ROUND(AT61*AV61,0)</f>
        <v>165</v>
      </c>
      <c r="AT61">
        <f>ROUND(AY61*0.35+AZ61*0.65,0)</f>
        <v>1345</v>
      </c>
      <c r="AU61" s="70">
        <f ca="1">ROUND(AS61/A61,4)</f>
        <v>3.3000000000000002E-2</v>
      </c>
      <c r="AV61" s="9">
        <f ca="1">ROUND((AW61+其他表格!K9+基本公式!$B$84)*OFFSET(其他表格!$N$1,兵攻防!O61,0)+OFFSET(其他表格!$P$1,M61/100,0),4)</f>
        <v>0.12280000000000001</v>
      </c>
      <c r="AW61" s="59">
        <v>0.1</v>
      </c>
      <c r="AX61" s="13">
        <v>131</v>
      </c>
      <c r="AY61">
        <f t="shared" si="81"/>
        <v>204</v>
      </c>
      <c r="AZ61">
        <f t="shared" si="81"/>
        <v>1960</v>
      </c>
      <c r="BA61">
        <f>ROUND(POWER(AX61/10*(BE61+BG61),2)/BH61*(A61+A61)/AQ61,0)</f>
        <v>156</v>
      </c>
      <c r="BB61" s="21">
        <f>ROUND(POWER(AX61/10*(BF61*2+BG61),2)/BH61*(A61+A61)/AQ61,0)</f>
        <v>515</v>
      </c>
      <c r="BC61">
        <f>ROUND(POWER(AX61/10*(BE61-BF61+BI61),2)/BJ61*(A61+A61)/AQ61,0)</f>
        <v>48</v>
      </c>
      <c r="BD61" s="21">
        <f>ROUND(POWER(AX61/10*(BF61*2-BE61*2+BI61),2)/BJ61*(A61+A61)/AQ61,0)</f>
        <v>1445</v>
      </c>
      <c r="BE61">
        <f>基本公式!$B$183</f>
        <v>30</v>
      </c>
      <c r="BF61">
        <f>基本公式!$B$182</f>
        <v>150</v>
      </c>
      <c r="BG61" s="57">
        <v>300</v>
      </c>
      <c r="BH61" s="57">
        <v>60000</v>
      </c>
      <c r="BI61" s="57">
        <v>200</v>
      </c>
      <c r="BJ61" s="57">
        <v>11500</v>
      </c>
    </row>
    <row r="63" spans="1:62" s="52" customFormat="1">
      <c r="A63" s="52" t="s">
        <v>172</v>
      </c>
      <c r="B63" s="66" t="s">
        <v>164</v>
      </c>
      <c r="C63" s="66" t="s">
        <v>173</v>
      </c>
      <c r="F63" s="67"/>
      <c r="H63" s="68"/>
      <c r="K63" s="69"/>
      <c r="AR63" s="74"/>
      <c r="AV63" s="54"/>
      <c r="AW63" s="77"/>
      <c r="AX63" s="78"/>
      <c r="BB63" s="79"/>
      <c r="BD63" s="79"/>
      <c r="BG63" s="57"/>
      <c r="BH63" s="57"/>
    </row>
    <row r="64" spans="1:62">
      <c r="A64">
        <v>100</v>
      </c>
      <c r="B64" s="53">
        <f t="shared" ref="B64" ca="1" si="82">ROUND(((U64-$U$29)+($V$29-V64)),0)</f>
        <v>0</v>
      </c>
      <c r="C64" s="54">
        <f t="shared" ref="C64" si="83">C40</f>
        <v>13</v>
      </c>
      <c r="D64" s="13">
        <v>15</v>
      </c>
      <c r="E64">
        <f t="shared" ref="E64" si="84">ROUND(POWER(A64*D64/100,AM64),0)</f>
        <v>4</v>
      </c>
      <c r="F64" s="55">
        <f>ROUND(G64*0.35+H64*0.65,0)</f>
        <v>287</v>
      </c>
      <c r="G64">
        <f>ROUND((E64+(30+30)/2)*AN64*兵攻防!A64/基本公式!$B$50,0)</f>
        <v>102</v>
      </c>
      <c r="H64" s="56">
        <f>ROUND((E64+(基本公式!$B$180+基本公式!$B$28)/2)*AN64*兵攻防!A64/基本公式!$B$50,0)</f>
        <v>387</v>
      </c>
      <c r="I64" s="13">
        <v>12</v>
      </c>
      <c r="J64">
        <f>ROUND(POWER($A$24*I64/100,$AM$24),0)</f>
        <v>3</v>
      </c>
      <c r="K64" s="2">
        <v>3</v>
      </c>
      <c r="L64">
        <f t="shared" ref="L64" ca="1" si="85">ROUND(30/K64*P64*N64,2)</f>
        <v>13.75</v>
      </c>
      <c r="M64" s="13">
        <v>320</v>
      </c>
      <c r="N64" s="16">
        <f ca="1">OFFSET(其他表格!$G$2,M64/100,0)</f>
        <v>1.1000000000000001</v>
      </c>
      <c r="O64" s="13">
        <v>3</v>
      </c>
      <c r="P64" s="16">
        <f ca="1">OFFSET(其他表格!$B$1,O64,0)</f>
        <v>1.25</v>
      </c>
      <c r="Q64">
        <f t="shared" ref="Q64" si="86">ROUND((E64+200)*AN64,2)</f>
        <v>30.6</v>
      </c>
      <c r="R64">
        <f>ROUND(($E$24+200)*$AN$24,2)</f>
        <v>30</v>
      </c>
      <c r="S64">
        <f>ROUND(POWER((E64+200-$J$24-200+AP64),2)/AO64,2)</f>
        <v>42.34</v>
      </c>
      <c r="T64">
        <f>ROUND(POWER(($E$24+200-J64-200+AP64),2)/AO64,2)</f>
        <v>41.17</v>
      </c>
      <c r="U64">
        <f t="shared" ref="U64" ca="1" si="87">ROUND((Q64+S64)*(A64+A64)/AQ64*L64,0)</f>
        <v>10</v>
      </c>
      <c r="V64">
        <f t="shared" ref="V64" ca="1" si="88">ROUND((R64+T64)*(A64+A64)/AQ64*L64,0)</f>
        <v>10</v>
      </c>
      <c r="W64" s="70">
        <f t="shared" ref="W64" ca="1" si="89">MIN(ROUND(U64/A64,4),1)</f>
        <v>0.1</v>
      </c>
      <c r="X64" s="70">
        <f t="shared" ref="X64" ca="1" si="90">MIN(ROUND(V64/A64,4),1)</f>
        <v>0.1</v>
      </c>
      <c r="Y64"/>
      <c r="Z64"/>
      <c r="AA64"/>
      <c r="AB64" s="70"/>
      <c r="AC64"/>
      <c r="AD64" s="71"/>
      <c r="AE64" s="71"/>
      <c r="AF64" s="70"/>
      <c r="AG64" s="71"/>
      <c r="AH64" s="71"/>
      <c r="AI64" s="70"/>
      <c r="AJ64" s="71"/>
      <c r="AK64" s="71"/>
      <c r="AL64" s="70"/>
      <c r="AM64" s="57">
        <v>0.5</v>
      </c>
      <c r="AN64" s="57">
        <v>0.15</v>
      </c>
      <c r="AO64" s="57">
        <v>6000</v>
      </c>
      <c r="AP64" s="57">
        <v>500</v>
      </c>
      <c r="AQ64" s="57">
        <v>20000</v>
      </c>
      <c r="AS64">
        <f t="shared" ref="AS64" ca="1" si="91">ROUND(AT64*AV64,0)</f>
        <v>4</v>
      </c>
      <c r="AT64">
        <f t="shared" ref="AT64" si="92">ROUND(AY64*0.35+AZ64*0.65,0)</f>
        <v>37</v>
      </c>
      <c r="AU64" s="70">
        <f t="shared" ref="AU64" ca="1" si="93">ROUND(AS64/A64,4)</f>
        <v>0.04</v>
      </c>
      <c r="AV64" s="9">
        <f ca="1">ROUND((AW64+其他表格!K4+基本公式!$B$84)*OFFSET(其他表格!$N$1,兵攻防!O64,0)+OFFSET(其他表格!$P$1,M64/100,0),4)</f>
        <v>0.10639999999999999</v>
      </c>
      <c r="AW64" s="59">
        <v>0.1</v>
      </c>
      <c r="AX64" s="13">
        <v>154</v>
      </c>
      <c r="AY64">
        <f t="shared" ref="AY64" si="94">BA64+BC64</f>
        <v>5</v>
      </c>
      <c r="AZ64">
        <f t="shared" ref="AZ64" si="95">BB64+BD64</f>
        <v>54</v>
      </c>
      <c r="BA64">
        <f t="shared" ref="BA64" si="96">ROUND(POWER(AX64/10*(BE64+BG64),2)/BH64*(A64+A64)/AQ64,0)</f>
        <v>4</v>
      </c>
      <c r="BB64" s="21">
        <f t="shared" ref="BB64" si="97">ROUND(POWER(AX64/10*(BF64*2+BG64),2)/BH64*(A64+A64)/AQ64,0)</f>
        <v>14</v>
      </c>
      <c r="BC64">
        <f t="shared" ref="BC64" si="98">ROUND(POWER(AX64/10*(BE64-BF64+BI64),2)/BJ64*(A64+A64)/AQ64,0)</f>
        <v>1</v>
      </c>
      <c r="BD64" s="21">
        <f t="shared" ref="BD64" si="99">ROUND(POWER(AX64/10*(BF64*2-BE64*2+BI64),2)/BJ64*(A64+A64)/AQ64,0)</f>
        <v>40</v>
      </c>
      <c r="BE64">
        <f>基本公式!$B$183</f>
        <v>30</v>
      </c>
      <c r="BF64">
        <f>基本公式!$B$182</f>
        <v>150</v>
      </c>
      <c r="BG64" s="57">
        <v>300</v>
      </c>
      <c r="BH64" s="57">
        <v>60000</v>
      </c>
      <c r="BI64" s="57">
        <v>200</v>
      </c>
      <c r="BJ64" s="57">
        <v>11500</v>
      </c>
    </row>
    <row r="65" spans="1:62">
      <c r="A65">
        <v>200</v>
      </c>
      <c r="B65" s="53">
        <f ca="1">ROUND(((U65-$U$29)+($V$29-V65)),0)</f>
        <v>1</v>
      </c>
      <c r="C65" s="54">
        <f ca="1">C41</f>
        <v>2</v>
      </c>
      <c r="D65" s="13">
        <v>15</v>
      </c>
      <c r="E65">
        <f>ROUND(POWER(A65*D65/100,AM65),0)</f>
        <v>5</v>
      </c>
      <c r="F65" s="55">
        <f t="shared" ref="F65" si="100">ROUND(G65*0.35+H65*0.65,0)</f>
        <v>581</v>
      </c>
      <c r="G65">
        <f>ROUND((E65+(30+30)/2)*AN65*兵攻防!A65/基本公式!$B$50,0)</f>
        <v>210</v>
      </c>
      <c r="H65" s="56">
        <f>ROUND((E65+(基本公式!$B$180+基本公式!$B$28)/2)*AN65*兵攻防!A65/基本公式!$B$50,0)</f>
        <v>780</v>
      </c>
      <c r="I65" s="13">
        <v>12</v>
      </c>
      <c r="J65">
        <f>ROUND(POWER($A$25*I65/100,$AM$25),0)</f>
        <v>5</v>
      </c>
      <c r="K65" s="2">
        <v>3</v>
      </c>
      <c r="L65">
        <f ca="1">ROUND(30/K65*P65*N65,2)</f>
        <v>13.75</v>
      </c>
      <c r="M65" s="13">
        <v>320</v>
      </c>
      <c r="N65" s="16">
        <f ca="1">OFFSET(其他表格!$G$2,M65/100,0)</f>
        <v>1.1000000000000001</v>
      </c>
      <c r="O65" s="13">
        <v>3</v>
      </c>
      <c r="P65" s="16">
        <f ca="1">OFFSET(其他表格!$B$1,O65,0)</f>
        <v>1.25</v>
      </c>
      <c r="Q65">
        <f>ROUND((E65+200)*AN65,2)</f>
        <v>30.75</v>
      </c>
      <c r="R65">
        <f>ROUND(($E$25+200)*$AN$25,2)</f>
        <v>30</v>
      </c>
      <c r="S65">
        <f>ROUND(POWER((E65+200-$J$25-200+AP65),2)/AO65,2)</f>
        <v>42.5</v>
      </c>
      <c r="T65">
        <f>ROUND(POWER(($E$25+200-J65-200+AP65),2)/AO65,2)</f>
        <v>40.840000000000003</v>
      </c>
      <c r="U65">
        <f ca="1">ROUND((Q65+S65)*(A65+A65)/AQ65*L65,0)</f>
        <v>20</v>
      </c>
      <c r="V65">
        <f ca="1">ROUND((R65+T65)*(A65+A65)/AQ65*L65,0)</f>
        <v>19</v>
      </c>
      <c r="W65" s="70">
        <f ca="1">MIN(ROUND(U65/A65,4),1)</f>
        <v>0.1</v>
      </c>
      <c r="X65" s="70">
        <f ca="1">MIN(ROUND(V65/A65,4),1)</f>
        <v>9.5000000000000001E-2</v>
      </c>
      <c r="Y65"/>
      <c r="Z65"/>
      <c r="AA65"/>
      <c r="AB65" s="70"/>
      <c r="AC65"/>
      <c r="AD65" s="71"/>
      <c r="AE65" s="71"/>
      <c r="AF65" s="70"/>
      <c r="AG65" s="71"/>
      <c r="AH65" s="71"/>
      <c r="AI65" s="70"/>
      <c r="AJ65" s="71"/>
      <c r="AK65" s="71"/>
      <c r="AL65" s="70"/>
      <c r="AM65" s="57">
        <v>0.5</v>
      </c>
      <c r="AN65" s="57">
        <v>0.15</v>
      </c>
      <c r="AO65" s="57">
        <v>6000</v>
      </c>
      <c r="AP65" s="57">
        <v>500</v>
      </c>
      <c r="AQ65" s="57">
        <v>20000</v>
      </c>
      <c r="AS65">
        <f ca="1">ROUND(AT65*AV65,0)</f>
        <v>9</v>
      </c>
      <c r="AT65">
        <f>ROUND(AY65*0.35+AZ65*0.65,0)</f>
        <v>74</v>
      </c>
      <c r="AU65" s="70">
        <f ca="1">ROUND(AS65/A65,4)</f>
        <v>4.4999999999999998E-2</v>
      </c>
      <c r="AV65" s="9">
        <f ca="1">ROUND((AW65+其他表格!K5+基本公式!$B$84)*OFFSET(其他表格!$N$1,兵攻防!O65,0)+OFFSET(其他表格!$P$1,M65/100,0),4)</f>
        <v>0.1227</v>
      </c>
      <c r="AW65" s="59">
        <v>0.1</v>
      </c>
      <c r="AX65" s="13">
        <v>154</v>
      </c>
      <c r="AY65">
        <f t="shared" ref="AY65:AZ69" si="101">BA65+BC65</f>
        <v>12</v>
      </c>
      <c r="AZ65">
        <f t="shared" si="101"/>
        <v>108</v>
      </c>
      <c r="BA65">
        <f>ROUND(POWER(AX65/10*(BE65+BG65),2)/BH65*(A65+A65)/AQ65,0)</f>
        <v>9</v>
      </c>
      <c r="BB65" s="21">
        <f>ROUND(POWER(AX65/10*(BF65*2+BG65),2)/BH65*(A65+A65)/AQ65,0)</f>
        <v>28</v>
      </c>
      <c r="BC65">
        <f>ROUND(POWER(AX65/10*(BE65-BF65+BI65),2)/BJ65*(A65+A65)/AQ65,0)</f>
        <v>3</v>
      </c>
      <c r="BD65" s="21">
        <f>ROUND(POWER(AX65/10*(BF65*2-BE65*2+BI65),2)/BJ65*(A65+A65)/AQ65,0)</f>
        <v>80</v>
      </c>
      <c r="BE65">
        <f>基本公式!$B$183</f>
        <v>30</v>
      </c>
      <c r="BF65">
        <f>基本公式!$B$182</f>
        <v>150</v>
      </c>
      <c r="BG65" s="57">
        <v>300</v>
      </c>
      <c r="BH65" s="57">
        <v>60000</v>
      </c>
      <c r="BI65" s="57">
        <v>200</v>
      </c>
      <c r="BJ65" s="57">
        <v>11500</v>
      </c>
    </row>
    <row r="66" spans="1:62">
      <c r="A66">
        <v>500</v>
      </c>
      <c r="B66" s="53">
        <f ca="1">ROUND(((U66-$U$29)+($V$29-V66)),0)</f>
        <v>3</v>
      </c>
      <c r="C66" s="54">
        <f ca="1">C42</f>
        <v>3</v>
      </c>
      <c r="D66" s="13">
        <v>15</v>
      </c>
      <c r="E66">
        <f>ROUND(POWER(A66*D66/100,AM66),0)</f>
        <v>9</v>
      </c>
      <c r="F66" s="55">
        <f>ROUND(G66*0.35+H66*0.65,0)</f>
        <v>1511</v>
      </c>
      <c r="G66">
        <f>ROUND((E66+(30+30)/2)*AN66*兵攻防!A66/基本公式!$B$50,0)</f>
        <v>585</v>
      </c>
      <c r="H66" s="56">
        <f>ROUND((E66+(基本公式!$B$180+基本公式!$B$28)/2)*AN66*兵攻防!A66/基本公式!$B$50,0)</f>
        <v>2010</v>
      </c>
      <c r="I66" s="13">
        <v>12</v>
      </c>
      <c r="J66">
        <f>ROUND(POWER($A$26*I66/100,$AM$26),0)</f>
        <v>8</v>
      </c>
      <c r="K66" s="2">
        <v>3</v>
      </c>
      <c r="L66">
        <f ca="1">ROUND(30/K66*P66*N66,2)</f>
        <v>13.75</v>
      </c>
      <c r="M66" s="13">
        <v>320</v>
      </c>
      <c r="N66" s="16">
        <f ca="1">OFFSET(其他表格!$G$2,M66/100,0)</f>
        <v>1.1000000000000001</v>
      </c>
      <c r="O66" s="13">
        <v>3</v>
      </c>
      <c r="P66" s="16">
        <f ca="1">OFFSET(其他表格!$B$1,O66,0)</f>
        <v>1.25</v>
      </c>
      <c r="Q66">
        <f>ROUND((E66+200)*AN66,2)</f>
        <v>31.35</v>
      </c>
      <c r="R66">
        <f>ROUND(($E$26+200)*$AN$26,2)</f>
        <v>30</v>
      </c>
      <c r="S66">
        <f>ROUND(POWER((E66+200-$J$26-200+AP66),2)/AO66,2)</f>
        <v>43.18</v>
      </c>
      <c r="T66">
        <f>ROUND(POWER(($E$26+200-J66-200+AP66),2)/AO66,2)</f>
        <v>40.340000000000003</v>
      </c>
      <c r="U66">
        <f ca="1">ROUND((Q66+S66)*(A66+A66)/AQ66*L66,0)</f>
        <v>51</v>
      </c>
      <c r="V66">
        <f ca="1">ROUND((R66+T66)*(A66+A66)/AQ66*L66,0)</f>
        <v>48</v>
      </c>
      <c r="W66" s="70">
        <f ca="1">MIN(ROUND(U66/A66,4),1)</f>
        <v>0.10199999999999999</v>
      </c>
      <c r="X66" s="70">
        <f ca="1">MIN(ROUND(V66/A66,4),1)</f>
        <v>9.6000000000000002E-2</v>
      </c>
      <c r="Y66"/>
      <c r="Z66"/>
      <c r="AA66"/>
      <c r="AB66" s="70"/>
      <c r="AC66"/>
      <c r="AD66" s="71"/>
      <c r="AE66" s="71"/>
      <c r="AF66" s="70"/>
      <c r="AG66" s="71"/>
      <c r="AH66" s="71"/>
      <c r="AI66" s="70"/>
      <c r="AJ66" s="71"/>
      <c r="AK66" s="71"/>
      <c r="AL66" s="70"/>
      <c r="AM66" s="57">
        <v>0.5</v>
      </c>
      <c r="AN66" s="57">
        <v>0.15</v>
      </c>
      <c r="AO66" s="57">
        <v>6000</v>
      </c>
      <c r="AP66" s="57">
        <v>500</v>
      </c>
      <c r="AQ66" s="57">
        <v>20000</v>
      </c>
      <c r="AS66">
        <f ca="1">ROUND(AT66*AV66,0)</f>
        <v>26</v>
      </c>
      <c r="AT66">
        <f>ROUND(AY66*0.35+AZ66*0.65,0)</f>
        <v>186</v>
      </c>
      <c r="AU66" s="70">
        <f ca="1">ROUND(AS66/A66,4)</f>
        <v>5.1999999999999998E-2</v>
      </c>
      <c r="AV66" s="9">
        <f ca="1">ROUND((AW66+其他表格!K6+基本公式!$B$84)*OFFSET(其他表格!$N$1,兵攻防!O66,0)+OFFSET(其他表格!$P$1,M66/100,0),4)</f>
        <v>0.1391</v>
      </c>
      <c r="AW66" s="59">
        <v>0.1</v>
      </c>
      <c r="AX66" s="13">
        <v>154</v>
      </c>
      <c r="AY66">
        <f t="shared" si="101"/>
        <v>29</v>
      </c>
      <c r="AZ66">
        <f t="shared" si="101"/>
        <v>271</v>
      </c>
      <c r="BA66">
        <f>ROUND(POWER(AX66/10*(BE66+BG66),2)/BH66*(A66+A66)/AQ66,0)</f>
        <v>22</v>
      </c>
      <c r="BB66" s="21">
        <f>ROUND(POWER(AX66/10*(BF66*2+BG66),2)/BH66*(A66+A66)/AQ66,0)</f>
        <v>71</v>
      </c>
      <c r="BC66">
        <f>ROUND(POWER(AX66/10*(BE66-BF66+BI66),2)/BJ66*(A66+A66)/AQ66,0)</f>
        <v>7</v>
      </c>
      <c r="BD66" s="21">
        <f>ROUND(POWER(AX66/10*(BF66*2-BE66*2+BI66),2)/BJ66*(A66+A66)/AQ66,0)</f>
        <v>200</v>
      </c>
      <c r="BE66">
        <f>基本公式!$B$183</f>
        <v>30</v>
      </c>
      <c r="BF66">
        <f>基本公式!$B$182</f>
        <v>150</v>
      </c>
      <c r="BG66" s="57">
        <v>300</v>
      </c>
      <c r="BH66" s="57">
        <v>60000</v>
      </c>
      <c r="BI66" s="57">
        <v>200</v>
      </c>
      <c r="BJ66" s="57">
        <v>11500</v>
      </c>
    </row>
    <row r="67" spans="1:62">
      <c r="A67">
        <v>1000</v>
      </c>
      <c r="B67" s="53">
        <f ca="1">ROUND(((U67-$U$29)+($V$29-V67)),0)</f>
        <v>8</v>
      </c>
      <c r="C67" s="54">
        <f ca="1">C43</f>
        <v>9</v>
      </c>
      <c r="D67" s="13">
        <v>15</v>
      </c>
      <c r="E67">
        <f>ROUND(POWER(A67*D67/100,AM67),0)</f>
        <v>12</v>
      </c>
      <c r="F67" s="55">
        <f>ROUND(G67*0.35+H67*0.65,0)</f>
        <v>3113</v>
      </c>
      <c r="G67">
        <f>ROUND((E67+(30+30)/2)*AN67*兵攻防!A67/基本公式!$B$50,0)</f>
        <v>1260</v>
      </c>
      <c r="H67" s="56">
        <f>ROUND((E67+(基本公式!$B$180+基本公式!$B$28)/2)*AN67*兵攻防!A67/基本公式!$B$50,0)</f>
        <v>4110</v>
      </c>
      <c r="I67" s="13">
        <v>12</v>
      </c>
      <c r="J67">
        <f>ROUND(POWER($A$27*I67/100,$AM$27),0)</f>
        <v>11</v>
      </c>
      <c r="K67" s="2">
        <v>3</v>
      </c>
      <c r="L67">
        <f ca="1">ROUND(30/K67*P67*N67,2)</f>
        <v>13.75</v>
      </c>
      <c r="M67" s="13">
        <v>320</v>
      </c>
      <c r="N67" s="16">
        <f ca="1">OFFSET(其他表格!$G$2,M67/100,0)</f>
        <v>1.1000000000000001</v>
      </c>
      <c r="O67" s="13">
        <v>3</v>
      </c>
      <c r="P67" s="16">
        <f ca="1">OFFSET(其他表格!$B$1,O67,0)</f>
        <v>1.25</v>
      </c>
      <c r="Q67">
        <f>ROUND((E67+200)*AN67,2)</f>
        <v>31.8</v>
      </c>
      <c r="R67">
        <f>ROUND(($E$27+200)*$AN$27,2)</f>
        <v>30</v>
      </c>
      <c r="S67">
        <f>ROUND(POWER((E67+200-$J$27-200+AP67),2)/AO67,2)</f>
        <v>43.69</v>
      </c>
      <c r="T67">
        <f>ROUND(POWER(($E$27+200-J67-200+AP67),2)/AO67,2)</f>
        <v>39.85</v>
      </c>
      <c r="U67">
        <f ca="1">ROUND((Q67+S67)*(A67+A67)/AQ67*L67,0)</f>
        <v>104</v>
      </c>
      <c r="V67">
        <f ca="1">ROUND((R67+T67)*(A67+A67)/AQ67*L67,0)</f>
        <v>96</v>
      </c>
      <c r="W67" s="70">
        <f ca="1">MIN(ROUND(U67/A67,4),1)</f>
        <v>0.104</v>
      </c>
      <c r="X67" s="70">
        <f ca="1">MIN(ROUND(V67/A67,4),1)</f>
        <v>9.6000000000000002E-2</v>
      </c>
      <c r="Y67"/>
      <c r="Z67"/>
      <c r="AA67"/>
      <c r="AB67" s="70"/>
      <c r="AC67"/>
      <c r="AD67" s="71"/>
      <c r="AE67" s="71"/>
      <c r="AF67" s="70"/>
      <c r="AG67" s="71"/>
      <c r="AH67" s="71"/>
      <c r="AI67" s="70"/>
      <c r="AJ67" s="71"/>
      <c r="AK67" s="71"/>
      <c r="AL67" s="70"/>
      <c r="AM67" s="57">
        <v>0.5</v>
      </c>
      <c r="AN67" s="57">
        <v>0.15</v>
      </c>
      <c r="AO67" s="57">
        <v>6000</v>
      </c>
      <c r="AP67" s="57">
        <v>500</v>
      </c>
      <c r="AQ67" s="57">
        <v>20000</v>
      </c>
      <c r="AS67">
        <f ca="1">ROUND(AT67*AV67,0)</f>
        <v>58</v>
      </c>
      <c r="AT67">
        <f>ROUND(AY67*0.35+AZ67*0.65,0)</f>
        <v>371</v>
      </c>
      <c r="AU67" s="70">
        <f ca="1">ROUND(AS67/A67,4)</f>
        <v>5.8000000000000003E-2</v>
      </c>
      <c r="AV67" s="9">
        <f ca="1">ROUND((AW67+其他表格!K7+基本公式!$B$84)*OFFSET(其他表格!$N$1,兵攻防!O67,0)+OFFSET(其他表格!$P$1,M67/100,0),4)</f>
        <v>0.1555</v>
      </c>
      <c r="AW67" s="59">
        <v>0.1</v>
      </c>
      <c r="AX67" s="13">
        <v>154</v>
      </c>
      <c r="AY67">
        <f t="shared" si="101"/>
        <v>56</v>
      </c>
      <c r="AZ67">
        <f t="shared" si="101"/>
        <v>541</v>
      </c>
      <c r="BA67">
        <f>ROUND(POWER(AX67/10*(BE67+BG67),2)/BH67*(A67+A67)/AQ67,0)</f>
        <v>43</v>
      </c>
      <c r="BB67" s="21">
        <f>ROUND(POWER(AX67/10*(BF67*2+BG67),2)/BH67*(A67+A67)/AQ67,0)</f>
        <v>142</v>
      </c>
      <c r="BC67">
        <f>ROUND(POWER(AX67/10*(BE67-BF67+BI67),2)/BJ67*(A67+A67)/AQ67,0)</f>
        <v>13</v>
      </c>
      <c r="BD67" s="21">
        <f>ROUND(POWER(AX67/10*(BF67*2-BE67*2+BI67),2)/BJ67*(A67+A67)/AQ67,0)</f>
        <v>399</v>
      </c>
      <c r="BE67">
        <f>基本公式!$B$183</f>
        <v>30</v>
      </c>
      <c r="BF67">
        <f>基本公式!$B$182</f>
        <v>150</v>
      </c>
      <c r="BG67" s="57">
        <v>300</v>
      </c>
      <c r="BH67" s="57">
        <v>60000</v>
      </c>
      <c r="BI67" s="57">
        <v>200</v>
      </c>
      <c r="BJ67" s="57">
        <v>11500</v>
      </c>
    </row>
    <row r="68" spans="1:62">
      <c r="A68">
        <v>2000</v>
      </c>
      <c r="B68" s="53">
        <f ca="1">ROUND(((U68-$U$29)+($V$29-V68)),0)</f>
        <v>22</v>
      </c>
      <c r="C68" s="54">
        <f ca="1">C44</f>
        <v>22</v>
      </c>
      <c r="D68" s="13">
        <v>15</v>
      </c>
      <c r="E68">
        <f>ROUND(POWER(A68*D68/100,AM68),0)</f>
        <v>17</v>
      </c>
      <c r="F68" s="55">
        <f>ROUND(G68*0.35+H68*0.65,0)</f>
        <v>6525</v>
      </c>
      <c r="G68">
        <f>ROUND((E68+(30+30)/2)*AN68*兵攻防!A68/基本公式!$B$50,0)</f>
        <v>2820</v>
      </c>
      <c r="H68" s="56">
        <f>ROUND((E68+(基本公式!$B$180+基本公式!$B$28)/2)*AN68*兵攻防!A68/基本公式!$B$50,0)</f>
        <v>8520</v>
      </c>
      <c r="I68" s="13">
        <v>12</v>
      </c>
      <c r="J68">
        <f>ROUND(POWER($A$28*I68/100,$AM$28),0)</f>
        <v>15</v>
      </c>
      <c r="K68" s="2">
        <v>3</v>
      </c>
      <c r="L68">
        <f ca="1">ROUND(30/K68*P68*N68,2)</f>
        <v>13.75</v>
      </c>
      <c r="M68" s="13">
        <v>320</v>
      </c>
      <c r="N68" s="16">
        <f ca="1">OFFSET(其他表格!$G$2,M68/100,0)</f>
        <v>1.1000000000000001</v>
      </c>
      <c r="O68" s="13">
        <v>3</v>
      </c>
      <c r="P68" s="16">
        <f ca="1">OFFSET(其他表格!$B$1,O68,0)</f>
        <v>1.25</v>
      </c>
      <c r="Q68">
        <f>ROUND((E68+200)*AN68,2)</f>
        <v>32.549999999999997</v>
      </c>
      <c r="R68">
        <f>ROUND(($E$28+200)*$AN$28,2)</f>
        <v>30</v>
      </c>
      <c r="S68">
        <f>ROUND(POWER((E68+200-$J$28-200+AP68),2)/AO68,2)</f>
        <v>44.55</v>
      </c>
      <c r="T68">
        <f>ROUND(POWER(($E$28+200-J68-200+AP68),2)/AO68,2)</f>
        <v>39.200000000000003</v>
      </c>
      <c r="U68">
        <f ca="1">ROUND((Q68+S68)*(A68+A68)/AQ68*L68,0)</f>
        <v>212</v>
      </c>
      <c r="V68">
        <f ca="1">ROUND((R68+T68)*(A68+A68)/AQ68*L68,0)</f>
        <v>190</v>
      </c>
      <c r="W68" s="70">
        <f ca="1">MIN(ROUND(U68/A68,4),1)</f>
        <v>0.106</v>
      </c>
      <c r="X68" s="70">
        <f ca="1">MIN(ROUND(V68/A68,4),1)</f>
        <v>9.5000000000000001E-2</v>
      </c>
      <c r="Y68"/>
      <c r="Z68"/>
      <c r="AA68"/>
      <c r="AB68" s="70"/>
      <c r="AC68"/>
      <c r="AD68" s="71"/>
      <c r="AE68" s="71"/>
      <c r="AF68" s="70"/>
      <c r="AG68" s="71"/>
      <c r="AH68" s="71"/>
      <c r="AI68" s="70"/>
      <c r="AJ68" s="71"/>
      <c r="AK68" s="71"/>
      <c r="AL68" s="70"/>
      <c r="AM68" s="57">
        <v>0.5</v>
      </c>
      <c r="AN68" s="57">
        <v>0.15</v>
      </c>
      <c r="AO68" s="57">
        <v>6000</v>
      </c>
      <c r="AP68" s="57">
        <v>500</v>
      </c>
      <c r="AQ68" s="57">
        <v>20000</v>
      </c>
      <c r="AS68">
        <f ca="1">ROUND(AT68*AV68,0)</f>
        <v>130</v>
      </c>
      <c r="AT68">
        <f>ROUND(AY68*0.35+AZ68*0.65,0)</f>
        <v>744</v>
      </c>
      <c r="AU68" s="70">
        <f ca="1">ROUND(AS68/A68,4)</f>
        <v>6.5000000000000002E-2</v>
      </c>
      <c r="AV68" s="9">
        <f ca="1">ROUND((AW68+其他表格!K8+基本公式!$B$84)*OFFSET(其他表格!$N$1,兵攻防!O68,0)+OFFSET(其他表格!$P$1,M68/100,0),4)</f>
        <v>0.17449999999999999</v>
      </c>
      <c r="AW68" s="59">
        <v>0.1</v>
      </c>
      <c r="AX68" s="13">
        <v>154</v>
      </c>
      <c r="AY68">
        <f t="shared" si="101"/>
        <v>112</v>
      </c>
      <c r="AZ68">
        <f t="shared" si="101"/>
        <v>1084</v>
      </c>
      <c r="BA68">
        <f>ROUND(POWER(AX68/10*(BE68+BG68),2)/BH68*(A68+A68)/AQ68,0)</f>
        <v>86</v>
      </c>
      <c r="BB68" s="21">
        <f>ROUND(POWER(AX68/10*(BF68*2+BG68),2)/BH68*(A68+A68)/AQ68,0)</f>
        <v>285</v>
      </c>
      <c r="BC68">
        <f>ROUND(POWER(AX68/10*(BE68-BF68+BI68),2)/BJ68*(A68+A68)/AQ68,0)</f>
        <v>26</v>
      </c>
      <c r="BD68" s="21">
        <f>ROUND(POWER(AX68/10*(BF68*2-BE68*2+BI68),2)/BJ68*(A68+A68)/AQ68,0)</f>
        <v>799</v>
      </c>
      <c r="BE68">
        <f>基本公式!$B$183</f>
        <v>30</v>
      </c>
      <c r="BF68">
        <f>基本公式!$B$182</f>
        <v>150</v>
      </c>
      <c r="BG68" s="57">
        <v>300</v>
      </c>
      <c r="BH68" s="57">
        <v>60000</v>
      </c>
      <c r="BI68" s="57">
        <v>200</v>
      </c>
      <c r="BJ68" s="57">
        <v>11500</v>
      </c>
    </row>
    <row r="69" spans="1:62">
      <c r="A69">
        <v>5000</v>
      </c>
      <c r="B69" s="53">
        <f ca="1">ROUND(((U69-$U$29)+($V$29-V69)),0)</f>
        <v>86</v>
      </c>
      <c r="C69" s="54">
        <f ca="1">C45</f>
        <v>85</v>
      </c>
      <c r="D69" s="13">
        <v>15</v>
      </c>
      <c r="E69">
        <f>ROUND(POWER(A69*D69/100,AM69),0)</f>
        <v>27</v>
      </c>
      <c r="F69" s="55">
        <f>ROUND(G69*0.35+H69*0.65,0)</f>
        <v>17813</v>
      </c>
      <c r="G69">
        <f>ROUND((E69+(30+30)/2)*AN69*兵攻防!A69/基本公式!$B$50,0)</f>
        <v>8550</v>
      </c>
      <c r="H69" s="56">
        <f>ROUND((E69+(基本公式!$B$180+基本公式!$B$28)/2)*AN69*兵攻防!A69/基本公式!$B$50,0)</f>
        <v>22800</v>
      </c>
      <c r="I69" s="13">
        <v>12</v>
      </c>
      <c r="J69">
        <f>ROUND(POWER($A$29*I69/100,$AM$29),0)</f>
        <v>24</v>
      </c>
      <c r="K69" s="2">
        <v>3</v>
      </c>
      <c r="L69">
        <f ca="1">ROUND(30/K69*P69*N69,2)</f>
        <v>13.75</v>
      </c>
      <c r="M69" s="13">
        <v>320</v>
      </c>
      <c r="N69" s="16">
        <f ca="1">OFFSET(其他表格!$G$2,M69/100,0)</f>
        <v>1.1000000000000001</v>
      </c>
      <c r="O69" s="13">
        <v>3</v>
      </c>
      <c r="P69" s="16">
        <f ca="1">OFFSET(其他表格!$B$1,O69,0)</f>
        <v>1.25</v>
      </c>
      <c r="Q69">
        <f>ROUND((E69+200)*AN69,2)</f>
        <v>34.049999999999997</v>
      </c>
      <c r="R69">
        <f>ROUND(($E$29+200)*$AN$29,2)</f>
        <v>30</v>
      </c>
      <c r="S69">
        <f>ROUND(POWER((E69+200-$J$29-200+AP69),2)/AO69,2)</f>
        <v>46.29</v>
      </c>
      <c r="T69">
        <f>ROUND(POWER(($E$29+200-J69-200+AP69),2)/AO69,2)</f>
        <v>37.76</v>
      </c>
      <c r="U69">
        <f ca="1">ROUND((Q69+S69)*(A69+A69)/AQ69*L69,0)</f>
        <v>552</v>
      </c>
      <c r="V69">
        <f ca="1">ROUND((R69+T69)*(A69+A69)/AQ69*L69,0)</f>
        <v>466</v>
      </c>
      <c r="W69" s="70">
        <f ca="1">MIN(ROUND(U69/A69,4),1)</f>
        <v>0.1104</v>
      </c>
      <c r="X69" s="70">
        <f ca="1">MIN(ROUND(V69/A69,4),1)</f>
        <v>9.3200000000000005E-2</v>
      </c>
      <c r="Y69"/>
      <c r="Z69"/>
      <c r="AA69"/>
      <c r="AB69" s="70"/>
      <c r="AC69"/>
      <c r="AD69" s="71"/>
      <c r="AE69" s="71"/>
      <c r="AF69" s="70"/>
      <c r="AG69" s="71"/>
      <c r="AH69" s="71"/>
      <c r="AI69" s="70"/>
      <c r="AJ69" s="71"/>
      <c r="AK69" s="71"/>
      <c r="AL69" s="70"/>
      <c r="AM69" s="57">
        <v>0.5</v>
      </c>
      <c r="AN69" s="57">
        <v>0.15</v>
      </c>
      <c r="AO69" s="57">
        <v>6000</v>
      </c>
      <c r="AP69" s="57">
        <v>500</v>
      </c>
      <c r="AQ69" s="57">
        <v>20000</v>
      </c>
      <c r="AS69">
        <f ca="1">ROUND(AT69*AV69,0)</f>
        <v>365</v>
      </c>
      <c r="AT69">
        <f>ROUND(AY69*0.35+AZ69*0.65,0)</f>
        <v>1858</v>
      </c>
      <c r="AU69" s="70">
        <f ca="1">ROUND(AS69/A69,4)</f>
        <v>7.2999999999999995E-2</v>
      </c>
      <c r="AV69" s="9">
        <f ca="1">ROUND((AW69+其他表格!K9+基本公式!$B$84)*OFFSET(其他表格!$N$1,兵攻防!O69,0)+OFFSET(其他表格!$P$1,M69/100,0),4)</f>
        <v>0.19639999999999999</v>
      </c>
      <c r="AW69" s="59">
        <v>0.1</v>
      </c>
      <c r="AX69" s="13">
        <v>154</v>
      </c>
      <c r="AY69">
        <f t="shared" si="101"/>
        <v>281</v>
      </c>
      <c r="AZ69">
        <f t="shared" si="101"/>
        <v>2707</v>
      </c>
      <c r="BA69">
        <f>ROUND(POWER(AX69/10*(BE69+BG69),2)/BH69*(A69+A69)/AQ69,0)</f>
        <v>215</v>
      </c>
      <c r="BB69" s="21">
        <f>ROUND(POWER(AX69/10*(BF69*2+BG69),2)/BH69*(A69+A69)/AQ69,0)</f>
        <v>711</v>
      </c>
      <c r="BC69">
        <f>ROUND(POWER(AX69/10*(BE69-BF69+BI69),2)/BJ69*(A69+A69)/AQ69,0)</f>
        <v>66</v>
      </c>
      <c r="BD69" s="21">
        <f>ROUND(POWER(AX69/10*(BF69*2-BE69*2+BI69),2)/BJ69*(A69+A69)/AQ69,0)</f>
        <v>1996</v>
      </c>
      <c r="BE69">
        <f>基本公式!$B$183</f>
        <v>30</v>
      </c>
      <c r="BF69">
        <f>基本公式!$B$182</f>
        <v>150</v>
      </c>
      <c r="BG69" s="57">
        <v>300</v>
      </c>
      <c r="BH69" s="57">
        <v>60000</v>
      </c>
      <c r="BI69" s="57">
        <v>200</v>
      </c>
      <c r="BJ69" s="57">
        <v>11500</v>
      </c>
    </row>
    <row r="71" spans="1:62" s="52" customFormat="1">
      <c r="A71" s="52" t="s">
        <v>174</v>
      </c>
      <c r="B71" s="66" t="s">
        <v>164</v>
      </c>
      <c r="C71" s="66" t="s">
        <v>175</v>
      </c>
      <c r="F71" s="67"/>
      <c r="H71" s="68"/>
      <c r="K71" s="69"/>
      <c r="AR71" s="74"/>
      <c r="AV71" s="54"/>
      <c r="AW71" s="77"/>
      <c r="AX71" s="78"/>
      <c r="BB71" s="79"/>
      <c r="BD71" s="79"/>
      <c r="BG71" s="57"/>
      <c r="BH71" s="57"/>
    </row>
    <row r="72" spans="1:62">
      <c r="A72">
        <v>100</v>
      </c>
      <c r="B72" s="53">
        <f t="shared" ref="B72" ca="1" si="102">ROUND(((U72-$U$29)+($V$29-V72)),0)</f>
        <v>0</v>
      </c>
      <c r="C72" s="54">
        <f t="shared" ref="C72" si="103">C48</f>
        <v>22</v>
      </c>
      <c r="D72" s="13">
        <v>108</v>
      </c>
      <c r="E72">
        <f t="shared" ref="E72" si="104">ROUND(POWER(A72*D72/100,AM72),0)</f>
        <v>10</v>
      </c>
      <c r="F72" s="55">
        <f>ROUND(G72*0.35+H72*0.65,0)</f>
        <v>305</v>
      </c>
      <c r="G72">
        <f>ROUND((E72+(30+30)/2)*AN72*兵攻防!A72/基本公式!$B$50,0)</f>
        <v>120</v>
      </c>
      <c r="H72" s="56">
        <f>ROUND((E72+(基本公式!$B$180+基本公式!$B$28)/2)*AN72*兵攻防!A72/基本公式!$B$50,0)</f>
        <v>405</v>
      </c>
      <c r="I72" s="13">
        <v>90</v>
      </c>
      <c r="J72">
        <f>ROUND(POWER($A$24*I72/100,$AM$24),0)</f>
        <v>9</v>
      </c>
      <c r="K72" s="2">
        <v>3</v>
      </c>
      <c r="L72">
        <f t="shared" ref="L72" ca="1" si="105">ROUND(30/K72*P72*N72,2)</f>
        <v>8.4</v>
      </c>
      <c r="M72" s="13">
        <v>500</v>
      </c>
      <c r="N72" s="16">
        <f ca="1">OFFSET(其他表格!$G$2,M72/100,0)</f>
        <v>1.2</v>
      </c>
      <c r="O72" s="13">
        <v>1</v>
      </c>
      <c r="P72" s="16">
        <f ca="1">OFFSET(其他表格!$B$1,O72,0)</f>
        <v>0.7</v>
      </c>
      <c r="Q72">
        <f t="shared" ref="Q72" si="106">ROUND((E72+200)*AN72,2)</f>
        <v>31.5</v>
      </c>
      <c r="R72">
        <f>ROUND(($E$24+200)*$AN$24,2)</f>
        <v>30</v>
      </c>
      <c r="S72">
        <f>ROUND(POWER((E72+200-$J$24-200+AP72),2)/AO72,2)</f>
        <v>43.35</v>
      </c>
      <c r="T72">
        <f>ROUND(POWER(($E$24+200-J72-200+AP72),2)/AO72,2)</f>
        <v>40.18</v>
      </c>
      <c r="U72">
        <f t="shared" ref="U72" ca="1" si="107">ROUND((Q72+S72)*(A72+A72)/AQ72*L72,0)</f>
        <v>6</v>
      </c>
      <c r="V72">
        <f t="shared" ref="V72" ca="1" si="108">ROUND((R72+T72)*(A72+A72)/AQ72*L72,0)</f>
        <v>6</v>
      </c>
      <c r="W72" s="70">
        <f t="shared" ref="W72" ca="1" si="109">MIN(ROUND(U72/A72,4),1)</f>
        <v>0.06</v>
      </c>
      <c r="X72" s="70">
        <f t="shared" ref="X72" ca="1" si="110">MIN(ROUND(V72/A72,4),1)</f>
        <v>0.06</v>
      </c>
      <c r="Y72"/>
      <c r="Z72"/>
      <c r="AA72"/>
      <c r="AB72" s="70"/>
      <c r="AC72"/>
      <c r="AD72" s="71"/>
      <c r="AE72" s="71"/>
      <c r="AF72" s="70"/>
      <c r="AG72" s="71"/>
      <c r="AH72" s="71"/>
      <c r="AI72" s="70"/>
      <c r="AJ72" s="71"/>
      <c r="AK72" s="71"/>
      <c r="AL72" s="70"/>
      <c r="AM72" s="57">
        <v>0.5</v>
      </c>
      <c r="AN72" s="57">
        <v>0.15</v>
      </c>
      <c r="AO72" s="57">
        <v>6000</v>
      </c>
      <c r="AP72" s="57">
        <v>500</v>
      </c>
      <c r="AQ72" s="57">
        <v>20000</v>
      </c>
      <c r="AS72">
        <f t="shared" ref="AS72" ca="1" si="111">ROUND(AT72*AV72,0)</f>
        <v>9</v>
      </c>
      <c r="AT72">
        <f t="shared" ref="AT72" si="112">ROUND(AY72*0.35+AZ72*0.65,0)</f>
        <v>78</v>
      </c>
      <c r="AU72" s="70">
        <f t="shared" ref="AU72" ca="1" si="113">ROUND(AS72/A72,4)</f>
        <v>0.09</v>
      </c>
      <c r="AV72" s="9">
        <f ca="1">ROUND((AW72+其他表格!K4+基本公式!$B$84)*OFFSET(其他表格!$N$1,兵攻防!O72,0)+OFFSET(其他表格!$P$1,M72/100,0),4)</f>
        <v>0.1139</v>
      </c>
      <c r="AW72" s="59">
        <v>0.1</v>
      </c>
      <c r="AX72" s="13">
        <v>223</v>
      </c>
      <c r="AY72">
        <f t="shared" ref="AY72" si="114">BA72+BC72</f>
        <v>12</v>
      </c>
      <c r="AZ72">
        <f t="shared" ref="AZ72" si="115">BB72+BD72</f>
        <v>114</v>
      </c>
      <c r="BA72">
        <f t="shared" ref="BA72" si="116">ROUND(POWER(AX72/10*(BE72+BG72),2)/BH72*(A72+A72)/AQ72,0)</f>
        <v>9</v>
      </c>
      <c r="BB72" s="21">
        <f t="shared" ref="BB72" si="117">ROUND(POWER(AX72/10*(BF72*2+BG72),2)/BH72*(A72+A72)/AQ72,0)</f>
        <v>30</v>
      </c>
      <c r="BC72">
        <f t="shared" ref="BC72" si="118">ROUND(POWER(AX72/10*(BE72-BF72+BI72),2)/BJ72*(A72+A72)/AQ72,0)</f>
        <v>3</v>
      </c>
      <c r="BD72" s="21">
        <f t="shared" ref="BD72" si="119">ROUND(POWER(AX72/10*(BF72*2-BE72*2+BI72),2)/BJ72*(A72+A72)/AQ72,0)</f>
        <v>84</v>
      </c>
      <c r="BE72">
        <f>基本公式!$B$183</f>
        <v>30</v>
      </c>
      <c r="BF72">
        <f>基本公式!$B$182</f>
        <v>150</v>
      </c>
      <c r="BG72" s="57">
        <v>300</v>
      </c>
      <c r="BH72" s="57">
        <v>60000</v>
      </c>
      <c r="BI72" s="57">
        <v>200</v>
      </c>
      <c r="BJ72" s="57">
        <v>11500</v>
      </c>
    </row>
    <row r="73" spans="1:62">
      <c r="A73">
        <v>200</v>
      </c>
      <c r="B73" s="53">
        <f ca="1">ROUND(((U73-$U$29)+($V$29-V73)),0)</f>
        <v>1</v>
      </c>
      <c r="C73" s="54">
        <f ca="1">C49</f>
        <v>3</v>
      </c>
      <c r="D73" s="13">
        <v>108</v>
      </c>
      <c r="E73">
        <f>ROUND(POWER(A73*D73/100,AM73),0)</f>
        <v>15</v>
      </c>
      <c r="F73" s="55">
        <f t="shared" ref="F73" si="120">ROUND(G73*0.35+H73*0.65,0)</f>
        <v>641</v>
      </c>
      <c r="G73">
        <f>ROUND((E73+(30+30)/2)*AN73*兵攻防!A73/基本公式!$B$50,0)</f>
        <v>270</v>
      </c>
      <c r="H73" s="56">
        <f>ROUND((E73+(基本公式!$B$180+基本公式!$B$28)/2)*AN73*兵攻防!A73/基本公式!$B$50,0)</f>
        <v>840</v>
      </c>
      <c r="I73" s="13">
        <v>90</v>
      </c>
      <c r="J73">
        <f>ROUND(POWER($A$25*I73/100,$AM$25),0)</f>
        <v>13</v>
      </c>
      <c r="K73" s="2">
        <v>3</v>
      </c>
      <c r="L73">
        <f ca="1">ROUND(30/K73*P73*N73,2)</f>
        <v>8.4</v>
      </c>
      <c r="M73" s="13">
        <v>500</v>
      </c>
      <c r="N73" s="16">
        <f ca="1">OFFSET(其他表格!$G$2,M73/100,0)</f>
        <v>1.2</v>
      </c>
      <c r="O73" s="13">
        <v>1</v>
      </c>
      <c r="P73" s="16">
        <f ca="1">OFFSET(其他表格!$B$1,O73,0)</f>
        <v>0.7</v>
      </c>
      <c r="Q73">
        <f>ROUND((E73+200)*AN73,2)</f>
        <v>32.25</v>
      </c>
      <c r="R73">
        <f>ROUND(($E$25+200)*$AN$25,2)</f>
        <v>30</v>
      </c>
      <c r="S73">
        <f>ROUND(POWER((E73+200-$J$25-200+AP73),2)/AO73,2)</f>
        <v>44.2</v>
      </c>
      <c r="T73">
        <f>ROUND(POWER(($E$25+200-J73-200+AP73),2)/AO73,2)</f>
        <v>39.53</v>
      </c>
      <c r="U73">
        <f ca="1">ROUND((Q73+S73)*(A73+A73)/AQ73*L73,0)</f>
        <v>13</v>
      </c>
      <c r="V73">
        <f ca="1">ROUND((R73+T73)*(A73+A73)/AQ73*L73,0)</f>
        <v>12</v>
      </c>
      <c r="W73" s="70">
        <f ca="1">MIN(ROUND(U73/A73,4),1)</f>
        <v>6.5000000000000002E-2</v>
      </c>
      <c r="X73" s="70">
        <f ca="1">MIN(ROUND(V73/A73,4),1)</f>
        <v>0.06</v>
      </c>
      <c r="Y73"/>
      <c r="Z73"/>
      <c r="AA73"/>
      <c r="AB73" s="70"/>
      <c r="AC73"/>
      <c r="AD73" s="71"/>
      <c r="AE73" s="71"/>
      <c r="AF73" s="70"/>
      <c r="AG73" s="71"/>
      <c r="AH73" s="71"/>
      <c r="AI73" s="70"/>
      <c r="AJ73" s="71"/>
      <c r="AK73" s="71"/>
      <c r="AL73" s="70"/>
      <c r="AM73" s="57">
        <v>0.5</v>
      </c>
      <c r="AN73" s="57">
        <v>0.15</v>
      </c>
      <c r="AO73" s="57">
        <v>6000</v>
      </c>
      <c r="AP73" s="57">
        <v>500</v>
      </c>
      <c r="AQ73" s="57">
        <v>20000</v>
      </c>
      <c r="AS73">
        <f ca="1">ROUND(AT73*AV73,0)</f>
        <v>19</v>
      </c>
      <c r="AT73">
        <f>ROUND(AY73*0.35+AZ73*0.65,0)</f>
        <v>156</v>
      </c>
      <c r="AU73" s="70">
        <f ca="1">ROUND(AS73/A73,4)</f>
        <v>9.5000000000000001E-2</v>
      </c>
      <c r="AV73" s="9">
        <f ca="1">ROUND((AW73+其他表格!K5+基本公式!$B$84)*OFFSET(其他表格!$N$1,兵攻防!O73,0)+OFFSET(其他表格!$P$1,M73/100,0),4)</f>
        <v>0.1191</v>
      </c>
      <c r="AW73" s="59">
        <v>0.1</v>
      </c>
      <c r="AX73" s="13">
        <v>223</v>
      </c>
      <c r="AY73">
        <f t="shared" ref="AY73:AZ77" si="121">BA73+BC73</f>
        <v>24</v>
      </c>
      <c r="AZ73">
        <f t="shared" si="121"/>
        <v>227</v>
      </c>
      <c r="BA73">
        <f>ROUND(POWER(AX73/10*(BE73+BG73),2)/BH73*(A73+A73)/AQ73,0)</f>
        <v>18</v>
      </c>
      <c r="BB73" s="21">
        <f>ROUND(POWER(AX73/10*(BF73*2+BG73),2)/BH73*(A73+A73)/AQ73,0)</f>
        <v>60</v>
      </c>
      <c r="BC73">
        <f>ROUND(POWER(AX73/10*(BE73-BF73+BI73),2)/BJ73*(A73+A73)/AQ73,0)</f>
        <v>6</v>
      </c>
      <c r="BD73" s="21">
        <f>ROUND(POWER(AX73/10*(BF73*2-BE73*2+BI73),2)/BJ73*(A73+A73)/AQ73,0)</f>
        <v>167</v>
      </c>
      <c r="BE73">
        <f>基本公式!$B$183</f>
        <v>30</v>
      </c>
      <c r="BF73">
        <f>基本公式!$B$182</f>
        <v>150</v>
      </c>
      <c r="BG73" s="57">
        <v>300</v>
      </c>
      <c r="BH73" s="57">
        <v>60000</v>
      </c>
      <c r="BI73" s="57">
        <v>200</v>
      </c>
      <c r="BJ73" s="57">
        <v>11500</v>
      </c>
    </row>
    <row r="74" spans="1:62">
      <c r="A74">
        <v>500</v>
      </c>
      <c r="B74" s="53">
        <f ca="1">ROUND(((U74-$U$29)+($V$29-V74)),0)</f>
        <v>4</v>
      </c>
      <c r="C74" s="54">
        <f ca="1">C50</f>
        <v>5</v>
      </c>
      <c r="D74" s="13">
        <v>108</v>
      </c>
      <c r="E74">
        <f>ROUND(POWER(A74*D74/100,AM74),0)</f>
        <v>23</v>
      </c>
      <c r="F74" s="55">
        <f>ROUND(G74*0.35+H74*0.65,0)</f>
        <v>1721</v>
      </c>
      <c r="G74">
        <f>ROUND((E74+(30+30)/2)*AN74*兵攻防!A74/基本公式!$B$50,0)</f>
        <v>795</v>
      </c>
      <c r="H74" s="56">
        <f>ROUND((E74+(基本公式!$B$180+基本公式!$B$28)/2)*AN74*兵攻防!A74/基本公式!$B$50,0)</f>
        <v>2220</v>
      </c>
      <c r="I74" s="13">
        <v>90</v>
      </c>
      <c r="J74">
        <f>ROUND(POWER($A$26*I74/100,$AM$26),0)</f>
        <v>21</v>
      </c>
      <c r="K74" s="2">
        <v>3</v>
      </c>
      <c r="L74">
        <f ca="1">ROUND(30/K74*P74*N74,2)</f>
        <v>8.4</v>
      </c>
      <c r="M74" s="13">
        <v>500</v>
      </c>
      <c r="N74" s="16">
        <f ca="1">OFFSET(其他表格!$G$2,M74/100,0)</f>
        <v>1.2</v>
      </c>
      <c r="O74" s="13">
        <v>1</v>
      </c>
      <c r="P74" s="16">
        <f ca="1">OFFSET(其他表格!$B$1,O74,0)</f>
        <v>0.7</v>
      </c>
      <c r="Q74">
        <f>ROUND((E74+200)*AN74,2)</f>
        <v>33.450000000000003</v>
      </c>
      <c r="R74">
        <f>ROUND(($E$26+200)*$AN$26,2)</f>
        <v>30</v>
      </c>
      <c r="S74">
        <f>ROUND(POWER((E74+200-$J$26-200+AP74),2)/AO74,2)</f>
        <v>45.59</v>
      </c>
      <c r="T74">
        <f>ROUND(POWER(($E$26+200-J74-200+AP74),2)/AO74,2)</f>
        <v>38.24</v>
      </c>
      <c r="U74">
        <f ca="1">ROUND((Q74+S74)*(A74+A74)/AQ74*L74,0)</f>
        <v>33</v>
      </c>
      <c r="V74">
        <f ca="1">ROUND((R74+T74)*(A74+A74)/AQ74*L74,0)</f>
        <v>29</v>
      </c>
      <c r="W74" s="70">
        <f ca="1">MIN(ROUND(U74/A74,4),1)</f>
        <v>6.6000000000000003E-2</v>
      </c>
      <c r="X74" s="70">
        <f ca="1">MIN(ROUND(V74/A74,4),1)</f>
        <v>5.8000000000000003E-2</v>
      </c>
      <c r="Y74"/>
      <c r="Z74"/>
      <c r="AA74"/>
      <c r="AB74" s="70"/>
      <c r="AC74"/>
      <c r="AD74" s="71"/>
      <c r="AE74" s="71"/>
      <c r="AF74" s="70"/>
      <c r="AG74" s="71"/>
      <c r="AH74" s="71"/>
      <c r="AI74" s="70"/>
      <c r="AJ74" s="71"/>
      <c r="AK74" s="71"/>
      <c r="AL74" s="70"/>
      <c r="AM74" s="57">
        <v>0.5</v>
      </c>
      <c r="AN74" s="57">
        <v>0.15</v>
      </c>
      <c r="AO74" s="57">
        <v>6000</v>
      </c>
      <c r="AP74" s="57">
        <v>500</v>
      </c>
      <c r="AQ74" s="57">
        <v>20000</v>
      </c>
      <c r="AS74">
        <f ca="1">ROUND(AT74*AV74,0)</f>
        <v>48</v>
      </c>
      <c r="AT74">
        <f>ROUND(AY74*0.35+AZ74*0.65,0)</f>
        <v>390</v>
      </c>
      <c r="AU74" s="70">
        <f ca="1">ROUND(AS74/A74,4)</f>
        <v>9.6000000000000002E-2</v>
      </c>
      <c r="AV74" s="9">
        <f ca="1">ROUND((AW74+其他表格!K6+基本公式!$B$84)*OFFSET(其他表格!$N$1,兵攻防!O74,0)+OFFSET(其他表格!$P$1,M74/100,0),4)</f>
        <v>0.1242</v>
      </c>
      <c r="AW74" s="59">
        <v>0.1</v>
      </c>
      <c r="AX74" s="13">
        <v>223</v>
      </c>
      <c r="AY74">
        <f t="shared" si="121"/>
        <v>59</v>
      </c>
      <c r="AZ74">
        <f t="shared" si="121"/>
        <v>568</v>
      </c>
      <c r="BA74">
        <f>ROUND(POWER(AX74/10*(BE74+BG74),2)/BH74*(A74+A74)/AQ74,0)</f>
        <v>45</v>
      </c>
      <c r="BB74" s="21">
        <f>ROUND(POWER(AX74/10*(BF74*2+BG74),2)/BH74*(A74+A74)/AQ74,0)</f>
        <v>149</v>
      </c>
      <c r="BC74">
        <f>ROUND(POWER(AX74/10*(BE74-BF74+BI74),2)/BJ74*(A74+A74)/AQ74,0)</f>
        <v>14</v>
      </c>
      <c r="BD74" s="21">
        <f>ROUND(POWER(AX74/10*(BF74*2-BE74*2+BI74),2)/BJ74*(A74+A74)/AQ74,0)</f>
        <v>419</v>
      </c>
      <c r="BE74">
        <f>基本公式!$B$183</f>
        <v>30</v>
      </c>
      <c r="BF74">
        <f>基本公式!$B$182</f>
        <v>150</v>
      </c>
      <c r="BG74" s="57">
        <v>300</v>
      </c>
      <c r="BH74" s="57">
        <v>60000</v>
      </c>
      <c r="BI74" s="57">
        <v>200</v>
      </c>
      <c r="BJ74" s="57">
        <v>11500</v>
      </c>
    </row>
    <row r="75" spans="1:62">
      <c r="A75">
        <v>1000</v>
      </c>
      <c r="B75" s="53">
        <f ca="1">ROUND(((U75-$U$29)+($V$29-V75)),0)</f>
        <v>13</v>
      </c>
      <c r="C75" s="54">
        <f ca="1">C51</f>
        <v>15</v>
      </c>
      <c r="D75" s="13">
        <v>108</v>
      </c>
      <c r="E75">
        <f>ROUND(POWER(A75*D75/100,AM75),0)</f>
        <v>33</v>
      </c>
      <c r="F75" s="55">
        <f>ROUND(G75*0.35+H75*0.65,0)</f>
        <v>3743</v>
      </c>
      <c r="G75">
        <f>ROUND((E75+(30+30)/2)*AN75*兵攻防!A75/基本公式!$B$50,0)</f>
        <v>1890</v>
      </c>
      <c r="H75" s="56">
        <f>ROUND((E75+(基本公式!$B$180+基本公式!$B$28)/2)*AN75*兵攻防!A75/基本公式!$B$50,0)</f>
        <v>4740</v>
      </c>
      <c r="I75" s="13">
        <v>90</v>
      </c>
      <c r="J75">
        <f>ROUND(POWER($A$27*I75/100,$AM$27),0)</f>
        <v>30</v>
      </c>
      <c r="K75" s="2">
        <v>3</v>
      </c>
      <c r="L75">
        <f ca="1">ROUND(30/K75*P75*N75,2)</f>
        <v>8.4</v>
      </c>
      <c r="M75" s="13">
        <v>500</v>
      </c>
      <c r="N75" s="16">
        <f ca="1">OFFSET(其他表格!$G$2,M75/100,0)</f>
        <v>1.2</v>
      </c>
      <c r="O75" s="13">
        <v>1</v>
      </c>
      <c r="P75" s="16">
        <f ca="1">OFFSET(其他表格!$B$1,O75,0)</f>
        <v>0.7</v>
      </c>
      <c r="Q75">
        <f>ROUND((E75+200)*AN75,2)</f>
        <v>34.950000000000003</v>
      </c>
      <c r="R75">
        <f>ROUND(($E$27+200)*$AN$27,2)</f>
        <v>30</v>
      </c>
      <c r="S75">
        <f>ROUND(POWER((E75+200-$J$27-200+AP75),2)/AO75,2)</f>
        <v>47.35</v>
      </c>
      <c r="T75">
        <f>ROUND(POWER(($E$27+200-J75-200+AP75),2)/AO75,2)</f>
        <v>36.82</v>
      </c>
      <c r="U75">
        <f ca="1">ROUND((Q75+S75)*(A75+A75)/AQ75*L75,0)</f>
        <v>69</v>
      </c>
      <c r="V75">
        <f ca="1">ROUND((R75+T75)*(A75+A75)/AQ75*L75,0)</f>
        <v>56</v>
      </c>
      <c r="W75" s="70">
        <f ca="1">MIN(ROUND(U75/A75,4),1)</f>
        <v>6.9000000000000006E-2</v>
      </c>
      <c r="X75" s="70">
        <f ca="1">MIN(ROUND(V75/A75,4),1)</f>
        <v>5.6000000000000001E-2</v>
      </c>
      <c r="Y75"/>
      <c r="Z75"/>
      <c r="AA75"/>
      <c r="AB75" s="70"/>
      <c r="AC75"/>
      <c r="AD75" s="71"/>
      <c r="AE75" s="71"/>
      <c r="AF75" s="70"/>
      <c r="AG75" s="71"/>
      <c r="AH75" s="71"/>
      <c r="AI75" s="70"/>
      <c r="AJ75" s="71"/>
      <c r="AK75" s="71"/>
      <c r="AL75" s="70"/>
      <c r="AM75" s="57">
        <v>0.5</v>
      </c>
      <c r="AN75" s="57">
        <v>0.15</v>
      </c>
      <c r="AO75" s="57">
        <v>6000</v>
      </c>
      <c r="AP75" s="57">
        <v>500</v>
      </c>
      <c r="AQ75" s="57">
        <v>20000</v>
      </c>
      <c r="AS75">
        <f ca="1">ROUND(AT75*AV75,0)</f>
        <v>101</v>
      </c>
      <c r="AT75">
        <f>ROUND(AY75*0.35+AZ75*0.65,0)</f>
        <v>779</v>
      </c>
      <c r="AU75" s="70">
        <f ca="1">ROUND(AS75/A75,4)</f>
        <v>0.10100000000000001</v>
      </c>
      <c r="AV75" s="9">
        <f ca="1">ROUND((AW75+其他表格!K7+基本公式!$B$84)*OFFSET(其他表格!$N$1,兵攻防!O75,0)+OFFSET(其他表格!$P$1,M75/100,0),4)</f>
        <v>0.1293</v>
      </c>
      <c r="AW75" s="59">
        <v>0.1</v>
      </c>
      <c r="AX75" s="13">
        <v>223</v>
      </c>
      <c r="AY75">
        <f t="shared" si="121"/>
        <v>118</v>
      </c>
      <c r="AZ75">
        <f t="shared" si="121"/>
        <v>1135</v>
      </c>
      <c r="BA75">
        <f>ROUND(POWER(AX75/10*(BE75+BG75),2)/BH75*(A75+A75)/AQ75,0)</f>
        <v>90</v>
      </c>
      <c r="BB75" s="21">
        <f>ROUND(POWER(AX75/10*(BF75*2+BG75),2)/BH75*(A75+A75)/AQ75,0)</f>
        <v>298</v>
      </c>
      <c r="BC75">
        <f>ROUND(POWER(AX75/10*(BE75-BF75+BI75),2)/BJ75*(A75+A75)/AQ75,0)</f>
        <v>28</v>
      </c>
      <c r="BD75" s="21">
        <f>ROUND(POWER(AX75/10*(BF75*2-BE75*2+BI75),2)/BJ75*(A75+A75)/AQ75,0)</f>
        <v>837</v>
      </c>
      <c r="BE75">
        <f>基本公式!$B$183</f>
        <v>30</v>
      </c>
      <c r="BF75">
        <f>基本公式!$B$182</f>
        <v>150</v>
      </c>
      <c r="BG75" s="57">
        <v>300</v>
      </c>
      <c r="BH75" s="57">
        <v>60000</v>
      </c>
      <c r="BI75" s="57">
        <v>200</v>
      </c>
      <c r="BJ75" s="57">
        <v>11500</v>
      </c>
    </row>
    <row r="76" spans="1:62">
      <c r="A76">
        <v>2000</v>
      </c>
      <c r="B76" s="53">
        <f ca="1">ROUND(((U76-$U$29)+($V$29-V76)),0)</f>
        <v>36</v>
      </c>
      <c r="C76" s="54">
        <f ca="1">C52</f>
        <v>37</v>
      </c>
      <c r="D76" s="13">
        <v>108</v>
      </c>
      <c r="E76">
        <f>ROUND(POWER(A76*D76/100,AM76),0)</f>
        <v>46</v>
      </c>
      <c r="F76" s="55">
        <f>ROUND(G76*0.35+H76*0.65,0)</f>
        <v>8265</v>
      </c>
      <c r="G76">
        <f>ROUND((E76+(30+30)/2)*AN76*兵攻防!A76/基本公式!$B$50,0)</f>
        <v>4560</v>
      </c>
      <c r="H76" s="56">
        <f>ROUND((E76+(基本公式!$B$180+基本公式!$B$28)/2)*AN76*兵攻防!A76/基本公式!$B$50,0)</f>
        <v>10260</v>
      </c>
      <c r="I76" s="13">
        <v>90</v>
      </c>
      <c r="J76">
        <f>ROUND(POWER($A$28*I76/100,$AM$28),0)</f>
        <v>42</v>
      </c>
      <c r="K76" s="2">
        <v>3</v>
      </c>
      <c r="L76">
        <f ca="1">ROUND(30/K76*P76*N76,2)</f>
        <v>8.4</v>
      </c>
      <c r="M76" s="13">
        <v>500</v>
      </c>
      <c r="N76" s="16">
        <f ca="1">OFFSET(其他表格!$G$2,M76/100,0)</f>
        <v>1.2</v>
      </c>
      <c r="O76" s="13">
        <v>1</v>
      </c>
      <c r="P76" s="16">
        <f ca="1">OFFSET(其他表格!$B$1,O76,0)</f>
        <v>0.7</v>
      </c>
      <c r="Q76">
        <f>ROUND((E76+200)*AN76,2)</f>
        <v>36.9</v>
      </c>
      <c r="R76">
        <f>ROUND(($E$28+200)*$AN$28,2)</f>
        <v>30</v>
      </c>
      <c r="S76">
        <f>ROUND(POWER((E76+200-$J$28-200+AP76),2)/AO76,2)</f>
        <v>49.69</v>
      </c>
      <c r="T76">
        <f>ROUND(POWER(($E$28+200-J76-200+AP76),2)/AO76,2)</f>
        <v>34.96</v>
      </c>
      <c r="U76">
        <f ca="1">ROUND((Q76+S76)*(A76+A76)/AQ76*L76,0)</f>
        <v>145</v>
      </c>
      <c r="V76">
        <f ca="1">ROUND((R76+T76)*(A76+A76)/AQ76*L76,0)</f>
        <v>109</v>
      </c>
      <c r="W76" s="70">
        <f ca="1">MIN(ROUND(U76/A76,4),1)</f>
        <v>7.2499999999999995E-2</v>
      </c>
      <c r="X76" s="70">
        <f ca="1">MIN(ROUND(V76/A76,4),1)</f>
        <v>5.45E-2</v>
      </c>
      <c r="Y76"/>
      <c r="Z76"/>
      <c r="AA76"/>
      <c r="AB76" s="70"/>
      <c r="AC76"/>
      <c r="AD76" s="71"/>
      <c r="AE76" s="71"/>
      <c r="AF76" s="70"/>
      <c r="AG76" s="71"/>
      <c r="AH76" s="71"/>
      <c r="AI76" s="70"/>
      <c r="AJ76" s="71"/>
      <c r="AK76" s="71"/>
      <c r="AL76" s="70"/>
      <c r="AM76" s="57">
        <v>0.5</v>
      </c>
      <c r="AN76" s="57">
        <v>0.15</v>
      </c>
      <c r="AO76" s="57">
        <v>6000</v>
      </c>
      <c r="AP76" s="57">
        <v>500</v>
      </c>
      <c r="AQ76" s="57">
        <v>20000</v>
      </c>
      <c r="AS76">
        <f ca="1">ROUND(AT76*AV76,0)</f>
        <v>211</v>
      </c>
      <c r="AT76">
        <f>ROUND(AY76*0.35+AZ76*0.65,0)</f>
        <v>1559</v>
      </c>
      <c r="AU76" s="70">
        <f ca="1">ROUND(AS76/A76,4)</f>
        <v>0.1055</v>
      </c>
      <c r="AV76" s="9">
        <f ca="1">ROUND((AW76+其他表格!K8+基本公式!$B$84)*OFFSET(其他表格!$N$1,兵攻防!O76,0)+OFFSET(其他表格!$P$1,M76/100,0),4)</f>
        <v>0.1353</v>
      </c>
      <c r="AW76" s="59">
        <v>0.1</v>
      </c>
      <c r="AX76" s="13">
        <v>223</v>
      </c>
      <c r="AY76">
        <f t="shared" si="121"/>
        <v>236</v>
      </c>
      <c r="AZ76">
        <f t="shared" si="121"/>
        <v>2271</v>
      </c>
      <c r="BA76">
        <f>ROUND(POWER(AX76/10*(BE76+BG76),2)/BH76*(A76+A76)/AQ76,0)</f>
        <v>181</v>
      </c>
      <c r="BB76" s="21">
        <f>ROUND(POWER(AX76/10*(BF76*2+BG76),2)/BH76*(A76+A76)/AQ76,0)</f>
        <v>597</v>
      </c>
      <c r="BC76">
        <f>ROUND(POWER(AX76/10*(BE76-BF76+BI76),2)/BJ76*(A76+A76)/AQ76,0)</f>
        <v>55</v>
      </c>
      <c r="BD76" s="21">
        <f>ROUND(POWER(AX76/10*(BF76*2-BE76*2+BI76),2)/BJ76*(A76+A76)/AQ76,0)</f>
        <v>1674</v>
      </c>
      <c r="BE76">
        <f>基本公式!$B$183</f>
        <v>30</v>
      </c>
      <c r="BF76">
        <f>基本公式!$B$182</f>
        <v>150</v>
      </c>
      <c r="BG76" s="57">
        <v>300</v>
      </c>
      <c r="BH76" s="57">
        <v>60000</v>
      </c>
      <c r="BI76" s="57">
        <v>200</v>
      </c>
      <c r="BJ76" s="57">
        <v>11500</v>
      </c>
    </row>
    <row r="77" spans="1:62">
      <c r="A77">
        <v>5000</v>
      </c>
      <c r="B77" s="53">
        <f ca="1">ROUND(((U77-$U$29)+($V$29-V77)),0)</f>
        <v>145</v>
      </c>
      <c r="C77" s="54">
        <f ca="1">C53</f>
        <v>145</v>
      </c>
      <c r="D77" s="13">
        <v>108</v>
      </c>
      <c r="E77">
        <f>ROUND(POWER(A77*D77/100,AM77),0)</f>
        <v>73</v>
      </c>
      <c r="F77" s="55">
        <f>ROUND(G77*0.35+H77*0.65,0)</f>
        <v>24713</v>
      </c>
      <c r="G77">
        <f>ROUND((E77+(30+30)/2)*AN77*兵攻防!A77/基本公式!$B$50,0)</f>
        <v>15450</v>
      </c>
      <c r="H77" s="56">
        <f>ROUND((E77+(基本公式!$B$180+基本公式!$B$28)/2)*AN77*兵攻防!A77/基本公式!$B$50,0)</f>
        <v>29700</v>
      </c>
      <c r="I77" s="13">
        <v>90</v>
      </c>
      <c r="J77">
        <f>ROUND(POWER($A$29*I77/100,$AM$29),0)</f>
        <v>67</v>
      </c>
      <c r="K77" s="2">
        <v>3</v>
      </c>
      <c r="L77">
        <f ca="1">ROUND(30/K77*P77*N77,2)</f>
        <v>8.4</v>
      </c>
      <c r="M77" s="13">
        <v>500</v>
      </c>
      <c r="N77" s="16">
        <f ca="1">OFFSET(其他表格!$G$2,M77/100,0)</f>
        <v>1.2</v>
      </c>
      <c r="O77" s="13">
        <v>1</v>
      </c>
      <c r="P77" s="16">
        <f ca="1">OFFSET(其他表格!$B$1,O77,0)</f>
        <v>0.7</v>
      </c>
      <c r="Q77">
        <f>ROUND((E77+200)*AN77,2)</f>
        <v>40.950000000000003</v>
      </c>
      <c r="R77">
        <f>ROUND(($E$29+200)*$AN$29,2)</f>
        <v>30</v>
      </c>
      <c r="S77">
        <f>ROUND(POWER((E77+200-$J$29-200+AP77),2)/AO77,2)</f>
        <v>54.72</v>
      </c>
      <c r="T77">
        <f>ROUND(POWER(($E$29+200-J77-200+AP77),2)/AO77,2)</f>
        <v>31.25</v>
      </c>
      <c r="U77">
        <f ca="1">ROUND((Q77+S77)*(A77+A77)/AQ77*L77,0)</f>
        <v>402</v>
      </c>
      <c r="V77">
        <f ca="1">ROUND((R77+T77)*(A77+A77)/AQ77*L77,0)</f>
        <v>257</v>
      </c>
      <c r="W77" s="70">
        <f ca="1">MIN(ROUND(U77/A77,4),1)</f>
        <v>8.0399999999999999E-2</v>
      </c>
      <c r="X77" s="70">
        <f ca="1">MIN(ROUND(V77/A77,4),1)</f>
        <v>5.1400000000000001E-2</v>
      </c>
      <c r="Y77"/>
      <c r="Z77"/>
      <c r="AA77"/>
      <c r="AB77" s="70"/>
      <c r="AC77"/>
      <c r="AD77" s="71"/>
      <c r="AE77" s="71"/>
      <c r="AF77" s="70"/>
      <c r="AG77" s="71"/>
      <c r="AH77" s="71"/>
      <c r="AI77" s="70"/>
      <c r="AJ77" s="71"/>
      <c r="AK77" s="71"/>
      <c r="AL77" s="70"/>
      <c r="AM77" s="57">
        <v>0.5</v>
      </c>
      <c r="AN77" s="57">
        <v>0.15</v>
      </c>
      <c r="AO77" s="57">
        <v>6000</v>
      </c>
      <c r="AP77" s="57">
        <v>500</v>
      </c>
      <c r="AQ77" s="57">
        <v>20000</v>
      </c>
      <c r="AS77">
        <f ca="1">ROUND(AT77*AV77,0)</f>
        <v>554</v>
      </c>
      <c r="AT77">
        <f>ROUND(AY77*0.35+AZ77*0.65,0)</f>
        <v>3897</v>
      </c>
      <c r="AU77" s="70">
        <f ca="1">ROUND(AS77/A77,4)</f>
        <v>0.1108</v>
      </c>
      <c r="AV77" s="9">
        <f ca="1">ROUND((AW77+其他表格!K9+基本公式!$B$84)*OFFSET(其他表格!$N$1,兵攻防!O77,0)+OFFSET(其他表格!$P$1,M77/100,0),4)</f>
        <v>0.1421</v>
      </c>
      <c r="AW77" s="59">
        <v>0.1</v>
      </c>
      <c r="AX77" s="13">
        <v>223</v>
      </c>
      <c r="AY77">
        <f t="shared" si="121"/>
        <v>589</v>
      </c>
      <c r="AZ77">
        <f t="shared" si="121"/>
        <v>5678</v>
      </c>
      <c r="BA77">
        <f>ROUND(POWER(AX77/10*(BE77+BG77),2)/BH77*(A77+A77)/AQ77,0)</f>
        <v>451</v>
      </c>
      <c r="BB77" s="21">
        <f>ROUND(POWER(AX77/10*(BF77*2+BG77),2)/BH77*(A77+A77)/AQ77,0)</f>
        <v>1492</v>
      </c>
      <c r="BC77">
        <f>ROUND(POWER(AX77/10*(BE77-BF77+BI77),2)/BJ77*(A77+A77)/AQ77,0)</f>
        <v>138</v>
      </c>
      <c r="BD77" s="21">
        <f>ROUND(POWER(AX77/10*(BF77*2-BE77*2+BI77),2)/BJ77*(A77+A77)/AQ77,0)</f>
        <v>4186</v>
      </c>
      <c r="BE77">
        <f>基本公式!$B$183</f>
        <v>30</v>
      </c>
      <c r="BF77">
        <f>基本公式!$B$182</f>
        <v>150</v>
      </c>
      <c r="BG77" s="57">
        <v>300</v>
      </c>
      <c r="BH77" s="57">
        <v>60000</v>
      </c>
      <c r="BI77" s="57">
        <v>200</v>
      </c>
      <c r="BJ77" s="57">
        <v>11500</v>
      </c>
    </row>
    <row r="79" spans="1:62" s="52" customFormat="1">
      <c r="A79" s="52" t="s">
        <v>176</v>
      </c>
      <c r="B79" s="66" t="s">
        <v>164</v>
      </c>
      <c r="C79" s="66" t="s">
        <v>177</v>
      </c>
      <c r="F79" s="67"/>
      <c r="H79" s="68"/>
      <c r="K79" s="69"/>
      <c r="AR79" s="74"/>
      <c r="AV79" s="54"/>
      <c r="AW79" s="77"/>
      <c r="AX79" s="78"/>
      <c r="BB79" s="79"/>
      <c r="BD79" s="79"/>
      <c r="BG79" s="57"/>
      <c r="BH79" s="57"/>
    </row>
    <row r="80" spans="1:62">
      <c r="A80">
        <v>100</v>
      </c>
      <c r="B80" s="53">
        <f t="shared" ref="B80" ca="1" si="122">ROUND(((U80-$U$29)+($V$29-V80)),0)</f>
        <v>0</v>
      </c>
      <c r="C80" s="54">
        <f t="shared" ref="C80" ca="1" si="123">C32</f>
        <v>0</v>
      </c>
      <c r="D80" s="13">
        <v>5</v>
      </c>
      <c r="E80">
        <f t="shared" ref="E80" si="124">ROUND(POWER(A80*D80/100,AM80),0)</f>
        <v>2</v>
      </c>
      <c r="F80" s="55">
        <f>ROUND(G80*0.35+H80*0.65,0)</f>
        <v>281</v>
      </c>
      <c r="G80">
        <f>ROUND((E80+(30+30)/2)*AN80*兵攻防!A80/基本公式!$B$50,0)</f>
        <v>96</v>
      </c>
      <c r="H80" s="56">
        <f>ROUND((E80+(基本公式!$B$180+基本公式!$B$28)/2)*AN80*兵攻防!A80/基本公式!$B$50,0)</f>
        <v>381</v>
      </c>
      <c r="I80" s="13">
        <v>4</v>
      </c>
      <c r="J80">
        <f>ROUND(POWER($A$24*I80/100,$AM$24),0)</f>
        <v>2</v>
      </c>
      <c r="K80" s="2">
        <v>3</v>
      </c>
      <c r="L80">
        <f t="shared" ref="L80" ca="1" si="125">ROUND(30/K80*P80*N80,2)</f>
        <v>13.75</v>
      </c>
      <c r="M80" s="13">
        <v>650</v>
      </c>
      <c r="N80" s="16">
        <f ca="1">OFFSET(其他表格!$G$2,M80/100,0)</f>
        <v>1.25</v>
      </c>
      <c r="O80" s="13">
        <v>2</v>
      </c>
      <c r="P80" s="16">
        <f ca="1">OFFSET(其他表格!$B$1,O80,0)</f>
        <v>1.1000000000000001</v>
      </c>
      <c r="Q80">
        <f t="shared" ref="Q80" si="126">ROUND((E80+200)*AN80,2)</f>
        <v>30.3</v>
      </c>
      <c r="R80">
        <f>ROUND(($E$24+200)*$AN$24,2)</f>
        <v>30</v>
      </c>
      <c r="S80">
        <f>ROUND(POWER((E80+200-$J$24-200+AP80),2)/AO80,2)</f>
        <v>42</v>
      </c>
      <c r="T80">
        <f>ROUND(POWER(($E$24+200-J80-200+AP80),2)/AO80,2)</f>
        <v>41.33</v>
      </c>
      <c r="U80">
        <f t="shared" ref="U80" ca="1" si="127">ROUND((Q80+S80)*(A80+A80)/AQ80*L80,0)</f>
        <v>10</v>
      </c>
      <c r="V80">
        <f t="shared" ref="V80" ca="1" si="128">ROUND((R80+T80)*(A80+A80)/AQ80*L80,0)</f>
        <v>10</v>
      </c>
      <c r="W80" s="70">
        <f t="shared" ref="W80" ca="1" si="129">MIN(ROUND(U80/A80,4),1)</f>
        <v>0.1</v>
      </c>
      <c r="X80" s="70">
        <f t="shared" ref="X80" ca="1" si="130">MIN(ROUND(V80/A80,4),1)</f>
        <v>0.1</v>
      </c>
      <c r="Y80"/>
      <c r="Z80"/>
      <c r="AA80"/>
      <c r="AB80" s="70"/>
      <c r="AC80"/>
      <c r="AD80" s="71"/>
      <c r="AE80" s="71"/>
      <c r="AF80" s="70"/>
      <c r="AG80" s="71"/>
      <c r="AH80" s="71"/>
      <c r="AI80" s="70"/>
      <c r="AJ80" s="71"/>
      <c r="AK80" s="71"/>
      <c r="AL80" s="70"/>
      <c r="AM80" s="57">
        <v>0.5</v>
      </c>
      <c r="AN80" s="57">
        <v>0.15</v>
      </c>
      <c r="AO80" s="57">
        <v>6000</v>
      </c>
      <c r="AP80" s="57">
        <v>500</v>
      </c>
      <c r="AQ80" s="57">
        <v>20000</v>
      </c>
      <c r="AS80">
        <f t="shared" ref="AS80" ca="1" si="131">ROUND(AT80*AV80,0)</f>
        <v>2</v>
      </c>
      <c r="AT80">
        <f t="shared" ref="AT80" si="132">ROUND(AY80*0.35+AZ80*0.65,0)</f>
        <v>11</v>
      </c>
      <c r="AU80" s="70">
        <f t="shared" ref="AU80" ca="1" si="133">ROUND(AS80/A80,4)</f>
        <v>0.02</v>
      </c>
      <c r="AV80" s="9">
        <f ca="1">ROUND((AW80+其他表格!K4+基本公式!$B$84)*OFFSET(其他表格!$N$1,兵攻防!O80,0)+OFFSET(其他表格!$P$1,M80/100,0),4)</f>
        <v>0.17180000000000001</v>
      </c>
      <c r="AW80" s="59">
        <v>0.1</v>
      </c>
      <c r="AX80" s="13">
        <v>86</v>
      </c>
      <c r="AY80">
        <f t="shared" ref="AY80" si="134">BA80+BC80</f>
        <v>1</v>
      </c>
      <c r="AZ80">
        <f t="shared" ref="AZ80" si="135">BB80+BD80</f>
        <v>16</v>
      </c>
      <c r="BA80">
        <f t="shared" ref="BA80" si="136">ROUND(POWER(AX80/10*(BE80+BG80),2)/BH80*(A80+A80)/AQ80,0)</f>
        <v>1</v>
      </c>
      <c r="BB80" s="21">
        <f t="shared" ref="BB80" si="137">ROUND(POWER(AX80/10*(BF80*2+BG80),2)/BH80*(A80+A80)/AQ80,0)</f>
        <v>4</v>
      </c>
      <c r="BC80">
        <f t="shared" ref="BC80" si="138">ROUND(POWER(AX80/10*(BE80-BF80+BI80),2)/BJ80*(A80+A80)/AQ80,0)</f>
        <v>0</v>
      </c>
      <c r="BD80" s="21">
        <f t="shared" ref="BD80" si="139">ROUND(POWER(AX80/10*(BF80*2-BE80*2+BI80),2)/BJ80*(A80+A80)/AQ80,0)</f>
        <v>12</v>
      </c>
      <c r="BE80">
        <f>基本公式!$B$183</f>
        <v>30</v>
      </c>
      <c r="BF80">
        <f>基本公式!$B$182</f>
        <v>150</v>
      </c>
      <c r="BG80" s="57">
        <v>300</v>
      </c>
      <c r="BH80" s="57">
        <v>60000</v>
      </c>
      <c r="BI80" s="57">
        <v>200</v>
      </c>
      <c r="BJ80" s="57">
        <v>11500</v>
      </c>
    </row>
    <row r="81" spans="1:62">
      <c r="A81">
        <v>200</v>
      </c>
      <c r="B81" s="53">
        <f ca="1">ROUND(((U81-$U$29)+($V$29-V81)),0)</f>
        <v>0</v>
      </c>
      <c r="C81" s="54">
        <f ca="1">C33</f>
        <v>1</v>
      </c>
      <c r="D81" s="13">
        <v>5</v>
      </c>
      <c r="E81">
        <f>ROUND(POWER(A81*D81/100,AM81),0)</f>
        <v>3</v>
      </c>
      <c r="F81" s="55">
        <f t="shared" ref="F81" si="140">ROUND(G81*0.35+H81*0.65,0)</f>
        <v>569</v>
      </c>
      <c r="G81">
        <f>ROUND((E81+(30+30)/2)*AN81*兵攻防!A81/基本公式!$B$50,0)</f>
        <v>198</v>
      </c>
      <c r="H81" s="56">
        <f>ROUND((E81+(基本公式!$B$180+基本公式!$B$28)/2)*AN81*兵攻防!A81/基本公式!$B$50,0)</f>
        <v>768</v>
      </c>
      <c r="I81" s="13">
        <v>4</v>
      </c>
      <c r="J81">
        <f>ROUND(POWER($A$25*I81/100,$AM$25),0)</f>
        <v>3</v>
      </c>
      <c r="K81" s="2">
        <v>3</v>
      </c>
      <c r="L81">
        <f ca="1">ROUND(30/K81*P81*N81,2)</f>
        <v>13.75</v>
      </c>
      <c r="M81" s="13">
        <v>650</v>
      </c>
      <c r="N81" s="16">
        <f ca="1">OFFSET(其他表格!$G$2,M81/100,0)</f>
        <v>1.25</v>
      </c>
      <c r="O81" s="13">
        <v>2</v>
      </c>
      <c r="P81" s="16">
        <f ca="1">OFFSET(其他表格!$B$1,O81,0)</f>
        <v>1.1000000000000001</v>
      </c>
      <c r="Q81">
        <f>ROUND((E81+200)*AN81,2)</f>
        <v>30.45</v>
      </c>
      <c r="R81">
        <f>ROUND(($E$25+200)*$AN$25,2)</f>
        <v>30</v>
      </c>
      <c r="S81">
        <f>ROUND(POWER((E81+200-$J$25-200+AP81),2)/AO81,2)</f>
        <v>42.17</v>
      </c>
      <c r="T81">
        <f>ROUND(POWER(($E$25+200-J81-200+AP81),2)/AO81,2)</f>
        <v>41.17</v>
      </c>
      <c r="U81">
        <f ca="1">ROUND((Q81+S81)*(A81+A81)/AQ81*L81,0)</f>
        <v>20</v>
      </c>
      <c r="V81">
        <f ca="1">ROUND((R81+T81)*(A81+A81)/AQ81*L81,0)</f>
        <v>20</v>
      </c>
      <c r="W81" s="70">
        <f ca="1">MIN(ROUND(U81/A81,4),1)</f>
        <v>0.1</v>
      </c>
      <c r="X81" s="70">
        <f ca="1">MIN(ROUND(V81/A81,4),1)</f>
        <v>0.1</v>
      </c>
      <c r="Y81"/>
      <c r="Z81"/>
      <c r="AA81"/>
      <c r="AB81" s="70"/>
      <c r="AC81"/>
      <c r="AD81" s="71"/>
      <c r="AE81" s="71"/>
      <c r="AF81" s="70"/>
      <c r="AG81" s="71"/>
      <c r="AH81" s="71"/>
      <c r="AI81" s="70"/>
      <c r="AJ81" s="71"/>
      <c r="AK81" s="71"/>
      <c r="AL81" s="70"/>
      <c r="AM81" s="57">
        <v>0.5</v>
      </c>
      <c r="AN81" s="57">
        <v>0.15</v>
      </c>
      <c r="AO81" s="57">
        <v>6000</v>
      </c>
      <c r="AP81" s="57">
        <v>500</v>
      </c>
      <c r="AQ81" s="57">
        <v>20000</v>
      </c>
      <c r="AS81">
        <f ca="1">ROUND(AT81*AV81,0)</f>
        <v>4</v>
      </c>
      <c r="AT81">
        <f>ROUND(AY81*0.35+AZ81*0.65,0)</f>
        <v>24</v>
      </c>
      <c r="AU81" s="70">
        <f ca="1">ROUND(AS81/A81,4)</f>
        <v>0.02</v>
      </c>
      <c r="AV81" s="9">
        <f ca="1">ROUND((AW81+其他表格!K5+基本公式!$B$84)*OFFSET(其他表格!$N$1,兵攻防!O81,0)+OFFSET(其他表格!$P$1,M81/100,0),4)</f>
        <v>0.18290000000000001</v>
      </c>
      <c r="AW81" s="59">
        <v>0.1</v>
      </c>
      <c r="AX81" s="13">
        <v>86</v>
      </c>
      <c r="AY81">
        <f t="shared" ref="AY81:AZ85" si="141">BA81+BC81</f>
        <v>4</v>
      </c>
      <c r="AZ81">
        <f t="shared" si="141"/>
        <v>34</v>
      </c>
      <c r="BA81">
        <f>ROUND(POWER(AX81/10*(BE81+BG81),2)/BH81*(A81+A81)/AQ81,0)</f>
        <v>3</v>
      </c>
      <c r="BB81" s="21">
        <f>ROUND(POWER(AX81/10*(BF81*2+BG81),2)/BH81*(A81+A81)/AQ81,0)</f>
        <v>9</v>
      </c>
      <c r="BC81">
        <f>ROUND(POWER(AX81/10*(BE81-BF81+BI81),2)/BJ81*(A81+A81)/AQ81,0)</f>
        <v>1</v>
      </c>
      <c r="BD81" s="21">
        <f>ROUND(POWER(AX81/10*(BF81*2-BE81*2+BI81),2)/BJ81*(A81+A81)/AQ81,0)</f>
        <v>25</v>
      </c>
      <c r="BE81">
        <f>基本公式!$B$183</f>
        <v>30</v>
      </c>
      <c r="BF81">
        <f>基本公式!$B$182</f>
        <v>150</v>
      </c>
      <c r="BG81" s="57">
        <v>300</v>
      </c>
      <c r="BH81" s="57">
        <v>60000</v>
      </c>
      <c r="BI81" s="57">
        <v>200</v>
      </c>
      <c r="BJ81" s="57">
        <v>11500</v>
      </c>
    </row>
    <row r="82" spans="1:62">
      <c r="A82">
        <v>500</v>
      </c>
      <c r="B82" s="53">
        <f ca="1">ROUND(((U82-$U$29)+($V$29-V82)),0)</f>
        <v>1</v>
      </c>
      <c r="C82" s="54">
        <f ca="1">C34</f>
        <v>2</v>
      </c>
      <c r="D82" s="13">
        <v>5</v>
      </c>
      <c r="E82">
        <f>ROUND(POWER(A82*D82/100,AM82),0)</f>
        <v>5</v>
      </c>
      <c r="F82" s="55">
        <f>ROUND(G82*0.35+H82*0.65,0)</f>
        <v>1451</v>
      </c>
      <c r="G82">
        <f>ROUND((E82+(30+30)/2)*AN82*兵攻防!A82/基本公式!$B$50,0)</f>
        <v>525</v>
      </c>
      <c r="H82" s="56">
        <f>ROUND((E82+(基本公式!$B$180+基本公式!$B$28)/2)*AN82*兵攻防!A82/基本公式!$B$50,0)</f>
        <v>1950</v>
      </c>
      <c r="I82" s="13">
        <v>4</v>
      </c>
      <c r="J82">
        <f>ROUND(POWER($A$26*I82/100,$AM$26),0)</f>
        <v>4</v>
      </c>
      <c r="K82" s="2">
        <v>3</v>
      </c>
      <c r="L82">
        <f ca="1">ROUND(30/K82*P82*N82,2)</f>
        <v>13.75</v>
      </c>
      <c r="M82" s="13">
        <v>650</v>
      </c>
      <c r="N82" s="16">
        <f ca="1">OFFSET(其他表格!$G$2,M82/100,0)</f>
        <v>1.25</v>
      </c>
      <c r="O82" s="13">
        <v>2</v>
      </c>
      <c r="P82" s="16">
        <f ca="1">OFFSET(其他表格!$B$1,O82,0)</f>
        <v>1.1000000000000001</v>
      </c>
      <c r="Q82">
        <f>ROUND((E82+200)*AN82,2)</f>
        <v>30.75</v>
      </c>
      <c r="R82">
        <f>ROUND(($E$26+200)*$AN$26,2)</f>
        <v>30</v>
      </c>
      <c r="S82">
        <f>ROUND(POWER((E82+200-$J$26-200+AP82),2)/AO82,2)</f>
        <v>42.5</v>
      </c>
      <c r="T82">
        <f>ROUND(POWER(($E$26+200-J82-200+AP82),2)/AO82,2)</f>
        <v>41</v>
      </c>
      <c r="U82">
        <f ca="1">ROUND((Q82+S82)*(A82+A82)/AQ82*L82,0)</f>
        <v>50</v>
      </c>
      <c r="V82">
        <f ca="1">ROUND((R82+T82)*(A82+A82)/AQ82*L82,0)</f>
        <v>49</v>
      </c>
      <c r="W82" s="70">
        <f ca="1">MIN(ROUND(U82/A82,4),1)</f>
        <v>0.1</v>
      </c>
      <c r="X82" s="70">
        <f ca="1">MIN(ROUND(V82/A82,4),1)</f>
        <v>9.8000000000000004E-2</v>
      </c>
      <c r="Y82"/>
      <c r="Z82"/>
      <c r="AA82"/>
      <c r="AB82" s="70"/>
      <c r="AC82"/>
      <c r="AD82" s="71"/>
      <c r="AE82" s="71"/>
      <c r="AF82" s="70"/>
      <c r="AG82" s="71"/>
      <c r="AH82" s="71"/>
      <c r="AI82" s="70"/>
      <c r="AJ82" s="71"/>
      <c r="AK82" s="71"/>
      <c r="AL82" s="70"/>
      <c r="AM82" s="57">
        <v>0.5</v>
      </c>
      <c r="AN82" s="57">
        <v>0.15</v>
      </c>
      <c r="AO82" s="57">
        <v>6000</v>
      </c>
      <c r="AP82" s="57">
        <v>500</v>
      </c>
      <c r="AQ82" s="57">
        <v>20000</v>
      </c>
      <c r="AS82">
        <f ca="1">ROUND(AT82*AV82,0)</f>
        <v>11</v>
      </c>
      <c r="AT82">
        <f>ROUND(AY82*0.35+AZ82*0.65,0)</f>
        <v>58</v>
      </c>
      <c r="AU82" s="70">
        <f ca="1">ROUND(AS82/A82,4)</f>
        <v>2.1999999999999999E-2</v>
      </c>
      <c r="AV82" s="9">
        <f ca="1">ROUND((AW82+其他表格!K6+基本公式!$B$84)*OFFSET(其他表格!$N$1,兵攻防!O82,0)+OFFSET(其他表格!$P$1,M82/100,0),4)</f>
        <v>0.19400000000000001</v>
      </c>
      <c r="AW82" s="59">
        <v>0.1</v>
      </c>
      <c r="AX82" s="13">
        <v>86</v>
      </c>
      <c r="AY82">
        <f t="shared" si="141"/>
        <v>9</v>
      </c>
      <c r="AZ82">
        <f t="shared" si="141"/>
        <v>84</v>
      </c>
      <c r="BA82">
        <f>ROUND(POWER(AX82/10*(BE82+BG82),2)/BH82*(A82+A82)/AQ82,0)</f>
        <v>7</v>
      </c>
      <c r="BB82" s="21">
        <f>ROUND(POWER(AX82/10*(BF82*2+BG82),2)/BH82*(A82+A82)/AQ82,0)</f>
        <v>22</v>
      </c>
      <c r="BC82">
        <f>ROUND(POWER(AX82/10*(BE82-BF82+BI82),2)/BJ82*(A82+A82)/AQ82,0)</f>
        <v>2</v>
      </c>
      <c r="BD82" s="21">
        <f>ROUND(POWER(AX82/10*(BF82*2-BE82*2+BI82),2)/BJ82*(A82+A82)/AQ82,0)</f>
        <v>62</v>
      </c>
      <c r="BE82">
        <f>基本公式!$B$183</f>
        <v>30</v>
      </c>
      <c r="BF82">
        <f>基本公式!$B$182</f>
        <v>150</v>
      </c>
      <c r="BG82" s="57">
        <v>300</v>
      </c>
      <c r="BH82" s="57">
        <v>60000</v>
      </c>
      <c r="BI82" s="57">
        <v>200</v>
      </c>
      <c r="BJ82" s="57">
        <v>11500</v>
      </c>
    </row>
    <row r="83" spans="1:62">
      <c r="A83">
        <v>1000</v>
      </c>
      <c r="B83" s="53">
        <f ca="1">ROUND(((U83-$U$29)+($V$29-V83)),0)</f>
        <v>5</v>
      </c>
      <c r="C83" s="54">
        <f ca="1">C35</f>
        <v>5</v>
      </c>
      <c r="D83" s="13">
        <v>5</v>
      </c>
      <c r="E83">
        <f>ROUND(POWER(A83*D83/100,AM83),0)</f>
        <v>7</v>
      </c>
      <c r="F83" s="55">
        <f>ROUND(G83*0.35+H83*0.65,0)</f>
        <v>2963</v>
      </c>
      <c r="G83">
        <f>ROUND((E83+(30+30)/2)*AN83*兵攻防!A83/基本公式!$B$50,0)</f>
        <v>1110</v>
      </c>
      <c r="H83" s="56">
        <f>ROUND((E83+(基本公式!$B$180+基本公式!$B$28)/2)*AN83*兵攻防!A83/基本公式!$B$50,0)</f>
        <v>3960</v>
      </c>
      <c r="I83" s="13">
        <v>4</v>
      </c>
      <c r="J83">
        <f>ROUND(POWER($A$27*I83/100,$AM$27),0)</f>
        <v>6</v>
      </c>
      <c r="K83" s="2">
        <v>3</v>
      </c>
      <c r="L83">
        <f ca="1">ROUND(30/K83*P83*N83,2)</f>
        <v>13.75</v>
      </c>
      <c r="M83" s="13">
        <v>650</v>
      </c>
      <c r="N83" s="16">
        <f ca="1">OFFSET(其他表格!$G$2,M83/100,0)</f>
        <v>1.25</v>
      </c>
      <c r="O83" s="13">
        <v>2</v>
      </c>
      <c r="P83" s="16">
        <f ca="1">OFFSET(其他表格!$B$1,O83,0)</f>
        <v>1.1000000000000001</v>
      </c>
      <c r="Q83">
        <f>ROUND((E83+200)*AN83,2)</f>
        <v>31.05</v>
      </c>
      <c r="R83">
        <f>ROUND(($E$27+200)*$AN$27,2)</f>
        <v>30</v>
      </c>
      <c r="S83">
        <f>ROUND(POWER((E83+200-$J$27-200+AP83),2)/AO83,2)</f>
        <v>42.84</v>
      </c>
      <c r="T83">
        <f>ROUND(POWER(($E$27+200-J83-200+AP83),2)/AO83,2)</f>
        <v>40.67</v>
      </c>
      <c r="U83">
        <f ca="1">ROUND((Q83+S83)*(A83+A83)/AQ83*L83,0)</f>
        <v>102</v>
      </c>
      <c r="V83">
        <f ca="1">ROUND((R83+T83)*(A83+A83)/AQ83*L83,0)</f>
        <v>97</v>
      </c>
      <c r="W83" s="70">
        <f ca="1">MIN(ROUND(U83/A83,4),1)</f>
        <v>0.10199999999999999</v>
      </c>
      <c r="X83" s="70">
        <f ca="1">MIN(ROUND(V83/A83,4),1)</f>
        <v>9.7000000000000003E-2</v>
      </c>
      <c r="Y83"/>
      <c r="Z83"/>
      <c r="AA83"/>
      <c r="AB83" s="70"/>
      <c r="AC83"/>
      <c r="AD83" s="71"/>
      <c r="AE83" s="71"/>
      <c r="AF83" s="70"/>
      <c r="AG83" s="71"/>
      <c r="AH83" s="71"/>
      <c r="AI83" s="70"/>
      <c r="AJ83" s="71"/>
      <c r="AK83" s="71"/>
      <c r="AL83" s="70"/>
      <c r="AM83" s="57">
        <v>0.5</v>
      </c>
      <c r="AN83" s="57">
        <v>0.15</v>
      </c>
      <c r="AO83" s="57">
        <v>6000</v>
      </c>
      <c r="AP83" s="57">
        <v>500</v>
      </c>
      <c r="AQ83" s="57">
        <v>20000</v>
      </c>
      <c r="AS83">
        <f ca="1">ROUND(AT83*AV83,0)</f>
        <v>24</v>
      </c>
      <c r="AT83">
        <f>ROUND(AY83*0.35+AZ83*0.65,0)</f>
        <v>116</v>
      </c>
      <c r="AU83" s="70">
        <f ca="1">ROUND(AS83/A83,4)</f>
        <v>2.4E-2</v>
      </c>
      <c r="AV83" s="9">
        <f ca="1">ROUND((AW83+其他表格!K7+基本公式!$B$84)*OFFSET(其他表格!$N$1,兵攻防!O83,0)+OFFSET(其他表格!$P$1,M83/100,0),4)</f>
        <v>0.2051</v>
      </c>
      <c r="AW83" s="59">
        <v>0.1</v>
      </c>
      <c r="AX83" s="13">
        <v>86</v>
      </c>
      <c r="AY83">
        <f t="shared" si="141"/>
        <v>17</v>
      </c>
      <c r="AZ83">
        <f t="shared" si="141"/>
        <v>169</v>
      </c>
      <c r="BA83">
        <f>ROUND(POWER(AX83/10*(BE83+BG83),2)/BH83*(A83+A83)/AQ83,0)</f>
        <v>13</v>
      </c>
      <c r="BB83" s="21">
        <f>ROUND(POWER(AX83/10*(BF83*2+BG83),2)/BH83*(A83+A83)/AQ83,0)</f>
        <v>44</v>
      </c>
      <c r="BC83">
        <f>ROUND(POWER(AX83/10*(BE83-BF83+BI83),2)/BJ83*(A83+A83)/AQ83,0)</f>
        <v>4</v>
      </c>
      <c r="BD83" s="21">
        <f>ROUND(POWER(AX83/10*(BF83*2-BE83*2+BI83),2)/BJ83*(A83+A83)/AQ83,0)</f>
        <v>125</v>
      </c>
      <c r="BE83">
        <f>基本公式!$B$183</f>
        <v>30</v>
      </c>
      <c r="BF83">
        <f>基本公式!$B$182</f>
        <v>150</v>
      </c>
      <c r="BG83" s="57">
        <v>300</v>
      </c>
      <c r="BH83" s="57">
        <v>60000</v>
      </c>
      <c r="BI83" s="57">
        <v>200</v>
      </c>
      <c r="BJ83" s="57">
        <v>11500</v>
      </c>
    </row>
    <row r="84" spans="1:62">
      <c r="A84">
        <v>2000</v>
      </c>
      <c r="B84" s="53">
        <f ca="1">ROUND(((U84-$U$29)+($V$29-V84)),0)</f>
        <v>13</v>
      </c>
      <c r="C84" s="54">
        <f ca="1">C36</f>
        <v>13</v>
      </c>
      <c r="D84" s="13">
        <v>5</v>
      </c>
      <c r="E84">
        <f>ROUND(POWER(A84*D84/100,AM84),0)</f>
        <v>10</v>
      </c>
      <c r="F84" s="55">
        <f>ROUND(G84*0.35+H84*0.65,0)</f>
        <v>6105</v>
      </c>
      <c r="G84">
        <f>ROUND((E84+(30+30)/2)*AN84*兵攻防!A84/基本公式!$B$50,0)</f>
        <v>2400</v>
      </c>
      <c r="H84" s="56">
        <f>ROUND((E84+(基本公式!$B$180+基本公式!$B$28)/2)*AN84*兵攻防!A84/基本公式!$B$50,0)</f>
        <v>8100</v>
      </c>
      <c r="I84" s="13">
        <v>4</v>
      </c>
      <c r="J84">
        <f>ROUND(POWER($A$28*I84/100,$AM$28),0)</f>
        <v>9</v>
      </c>
      <c r="K84" s="2">
        <v>3</v>
      </c>
      <c r="L84">
        <f ca="1">ROUND(30/K84*P84*N84,2)</f>
        <v>13.75</v>
      </c>
      <c r="M84" s="13">
        <v>650</v>
      </c>
      <c r="N84" s="16">
        <f ca="1">OFFSET(其他表格!$G$2,M84/100,0)</f>
        <v>1.25</v>
      </c>
      <c r="O84" s="13">
        <v>2</v>
      </c>
      <c r="P84" s="16">
        <f ca="1">OFFSET(其他表格!$B$1,O84,0)</f>
        <v>1.1000000000000001</v>
      </c>
      <c r="Q84">
        <f>ROUND((E84+200)*AN84,2)</f>
        <v>31.5</v>
      </c>
      <c r="R84">
        <f>ROUND(($E$28+200)*$AN$28,2)</f>
        <v>30</v>
      </c>
      <c r="S84">
        <f>ROUND(POWER((E84+200-$J$28-200+AP84),2)/AO84,2)</f>
        <v>43.35</v>
      </c>
      <c r="T84">
        <f>ROUND(POWER(($E$28+200-J84-200+AP84),2)/AO84,2)</f>
        <v>40.18</v>
      </c>
      <c r="U84">
        <f ca="1">ROUND((Q84+S84)*(A84+A84)/AQ84*L84,0)</f>
        <v>206</v>
      </c>
      <c r="V84">
        <f ca="1">ROUND((R84+T84)*(A84+A84)/AQ84*L84,0)</f>
        <v>193</v>
      </c>
      <c r="W84" s="70">
        <f ca="1">MIN(ROUND(U84/A84,4),1)</f>
        <v>0.10299999999999999</v>
      </c>
      <c r="X84" s="70">
        <f ca="1">MIN(ROUND(V84/A84,4),1)</f>
        <v>9.6500000000000002E-2</v>
      </c>
      <c r="Y84"/>
      <c r="Z84"/>
      <c r="AA84"/>
      <c r="AB84" s="70"/>
      <c r="AC84"/>
      <c r="AD84" s="71"/>
      <c r="AE84" s="71"/>
      <c r="AF84" s="70"/>
      <c r="AG84" s="71"/>
      <c r="AH84" s="71"/>
      <c r="AI84" s="70"/>
      <c r="AJ84" s="71"/>
      <c r="AK84" s="71"/>
      <c r="AL84" s="70"/>
      <c r="AM84" s="57">
        <v>0.5</v>
      </c>
      <c r="AN84" s="57">
        <v>0.15</v>
      </c>
      <c r="AO84" s="57">
        <v>6000</v>
      </c>
      <c r="AP84" s="57">
        <v>500</v>
      </c>
      <c r="AQ84" s="57">
        <v>20000</v>
      </c>
      <c r="AS84">
        <f ca="1">ROUND(AT84*AV84,0)</f>
        <v>51</v>
      </c>
      <c r="AT84">
        <f>ROUND(AY84*0.35+AZ84*0.65,0)</f>
        <v>232</v>
      </c>
      <c r="AU84" s="70">
        <f ca="1">ROUND(AS84/A84,4)</f>
        <v>2.5499999999999998E-2</v>
      </c>
      <c r="AV84" s="9">
        <f ca="1">ROUND((AW84+其他表格!K8+基本公式!$B$84)*OFFSET(其他表格!$N$1,兵攻防!O84,0)+OFFSET(其他表格!$P$1,M84/100,0),4)</f>
        <v>0.218</v>
      </c>
      <c r="AW84" s="59">
        <v>0.1</v>
      </c>
      <c r="AX84" s="13">
        <v>86</v>
      </c>
      <c r="AY84">
        <f t="shared" si="141"/>
        <v>35</v>
      </c>
      <c r="AZ84">
        <f t="shared" si="141"/>
        <v>338</v>
      </c>
      <c r="BA84">
        <f>ROUND(POWER(AX84/10*(BE84+BG84),2)/BH84*(A84+A84)/AQ84,0)</f>
        <v>27</v>
      </c>
      <c r="BB84" s="21">
        <f>ROUND(POWER(AX84/10*(BF84*2+BG84),2)/BH84*(A84+A84)/AQ84,0)</f>
        <v>89</v>
      </c>
      <c r="BC84">
        <f>ROUND(POWER(AX84/10*(BE84-BF84+BI84),2)/BJ84*(A84+A84)/AQ84,0)</f>
        <v>8</v>
      </c>
      <c r="BD84" s="21">
        <f>ROUND(POWER(AX84/10*(BF84*2-BE84*2+BI84),2)/BJ84*(A84+A84)/AQ84,0)</f>
        <v>249</v>
      </c>
      <c r="BE84">
        <f>基本公式!$B$183</f>
        <v>30</v>
      </c>
      <c r="BF84">
        <f>基本公式!$B$182</f>
        <v>150</v>
      </c>
      <c r="BG84" s="57">
        <v>300</v>
      </c>
      <c r="BH84" s="57">
        <v>60000</v>
      </c>
      <c r="BI84" s="57">
        <v>200</v>
      </c>
      <c r="BJ84" s="57">
        <v>11500</v>
      </c>
    </row>
    <row r="85" spans="1:62">
      <c r="A85">
        <v>5000</v>
      </c>
      <c r="B85" s="53">
        <f ca="1">ROUND(((U85-$U$29)+($V$29-V85)),0)</f>
        <v>51</v>
      </c>
      <c r="C85" s="54">
        <f ca="1">C37</f>
        <v>50</v>
      </c>
      <c r="D85" s="13">
        <v>5</v>
      </c>
      <c r="E85">
        <f>ROUND(POWER(A85*D85/100,AM85),0)</f>
        <v>16</v>
      </c>
      <c r="F85" s="55">
        <f>ROUND(G85*0.35+H85*0.65,0)</f>
        <v>16163</v>
      </c>
      <c r="G85">
        <f>ROUND((E85+(30+30)/2)*AN85*兵攻防!A85/基本公式!$B$50,0)</f>
        <v>6900</v>
      </c>
      <c r="H85" s="56">
        <f>ROUND((E85+(基本公式!$B$180+基本公式!$B$28)/2)*AN85*兵攻防!A85/基本公式!$B$50,0)</f>
        <v>21150</v>
      </c>
      <c r="I85" s="13">
        <v>4</v>
      </c>
      <c r="J85">
        <f>ROUND(POWER($A$29*I85/100,$AM$29),0)</f>
        <v>14</v>
      </c>
      <c r="K85" s="2">
        <v>3</v>
      </c>
      <c r="L85">
        <f ca="1">ROUND(30/K85*P85*N85,2)</f>
        <v>13.75</v>
      </c>
      <c r="M85" s="13">
        <v>650</v>
      </c>
      <c r="N85" s="16">
        <f ca="1">OFFSET(其他表格!$G$2,M85/100,0)</f>
        <v>1.25</v>
      </c>
      <c r="O85" s="13">
        <v>2</v>
      </c>
      <c r="P85" s="16">
        <f ca="1">OFFSET(其他表格!$B$1,O85,0)</f>
        <v>1.1000000000000001</v>
      </c>
      <c r="Q85">
        <f>ROUND((E85+200)*AN85,2)</f>
        <v>32.4</v>
      </c>
      <c r="R85">
        <f>ROUND(($E$29+200)*$AN$29,2)</f>
        <v>30</v>
      </c>
      <c r="S85">
        <f>ROUND(POWER((E85+200-$J$29-200+AP85),2)/AO85,2)</f>
        <v>44.38</v>
      </c>
      <c r="T85">
        <f>ROUND(POWER(($E$29+200-J85-200+AP85),2)/AO85,2)</f>
        <v>39.369999999999997</v>
      </c>
      <c r="U85">
        <f ca="1">ROUND((Q85+S85)*(A85+A85)/AQ85*L85,0)</f>
        <v>528</v>
      </c>
      <c r="V85">
        <f ca="1">ROUND((R85+T85)*(A85+A85)/AQ85*L85,0)</f>
        <v>477</v>
      </c>
      <c r="W85" s="70">
        <f ca="1">MIN(ROUND(U85/A85,4),1)</f>
        <v>0.1056</v>
      </c>
      <c r="X85" s="70">
        <f ca="1">MIN(ROUND(V85/A85,4),1)</f>
        <v>9.5399999999999999E-2</v>
      </c>
      <c r="Y85"/>
      <c r="Z85"/>
      <c r="AA85"/>
      <c r="AB85" s="70"/>
      <c r="AC85"/>
      <c r="AD85" s="71"/>
      <c r="AE85" s="71"/>
      <c r="AF85" s="70"/>
      <c r="AG85" s="71"/>
      <c r="AH85" s="71"/>
      <c r="AI85" s="70"/>
      <c r="AJ85" s="71"/>
      <c r="AK85" s="71"/>
      <c r="AL85" s="70"/>
      <c r="AM85" s="57">
        <v>0.5</v>
      </c>
      <c r="AN85" s="57">
        <v>0.15</v>
      </c>
      <c r="AO85" s="57">
        <v>6000</v>
      </c>
      <c r="AP85" s="57">
        <v>500</v>
      </c>
      <c r="AQ85" s="57">
        <v>20000</v>
      </c>
      <c r="AS85">
        <f ca="1">ROUND(AT85*AV85,0)</f>
        <v>135</v>
      </c>
      <c r="AT85">
        <f>ROUND(AY85*0.35+AZ85*0.65,0)</f>
        <v>580</v>
      </c>
      <c r="AU85" s="70">
        <f ca="1">ROUND(AS85/A85,4)</f>
        <v>2.7E-2</v>
      </c>
      <c r="AV85" s="9">
        <f ca="1">ROUND((AW85+其他表格!K9+基本公式!$B$84)*OFFSET(其他表格!$N$1,兵攻防!O85,0)+OFFSET(其他表格!$P$1,M85/100,0),4)</f>
        <v>0.23280000000000001</v>
      </c>
      <c r="AW85" s="59">
        <v>0.1</v>
      </c>
      <c r="AX85" s="13">
        <v>86</v>
      </c>
      <c r="AY85">
        <f t="shared" si="141"/>
        <v>88</v>
      </c>
      <c r="AZ85">
        <f t="shared" si="141"/>
        <v>845</v>
      </c>
      <c r="BA85">
        <f>ROUND(POWER(AX85/10*(BE85+BG85),2)/BH85*(A85+A85)/AQ85,0)</f>
        <v>67</v>
      </c>
      <c r="BB85" s="21">
        <f>ROUND(POWER(AX85/10*(BF85*2+BG85),2)/BH85*(A85+A85)/AQ85,0)</f>
        <v>222</v>
      </c>
      <c r="BC85">
        <f>ROUND(POWER(AX85/10*(BE85-BF85+BI85),2)/BJ85*(A85+A85)/AQ85,0)</f>
        <v>21</v>
      </c>
      <c r="BD85" s="21">
        <f>ROUND(POWER(AX85/10*(BF85*2-BE85*2+BI85),2)/BJ85*(A85+A85)/AQ85,0)</f>
        <v>623</v>
      </c>
      <c r="BE85">
        <f>基本公式!$B$183</f>
        <v>30</v>
      </c>
      <c r="BF85">
        <f>基本公式!$B$182</f>
        <v>150</v>
      </c>
      <c r="BG85" s="57">
        <v>300</v>
      </c>
      <c r="BH85" s="57">
        <v>60000</v>
      </c>
      <c r="BI85" s="57">
        <v>200</v>
      </c>
      <c r="BJ85" s="57">
        <v>11500</v>
      </c>
    </row>
    <row r="87" spans="1:62" s="52" customFormat="1">
      <c r="A87" s="52" t="s">
        <v>178</v>
      </c>
      <c r="B87" s="66" t="s">
        <v>164</v>
      </c>
      <c r="C87" s="66" t="s">
        <v>179</v>
      </c>
      <c r="F87" s="67"/>
      <c r="H87" s="68"/>
      <c r="K87" s="69"/>
      <c r="AR87" s="74"/>
      <c r="AV87" s="54"/>
      <c r="AW87" s="77"/>
      <c r="AX87" s="78"/>
      <c r="BB87" s="79"/>
      <c r="BD87" s="79"/>
      <c r="BG87" s="57"/>
      <c r="BH87" s="57"/>
    </row>
    <row r="88" spans="1:62">
      <c r="A88">
        <v>100</v>
      </c>
      <c r="B88" s="53">
        <f t="shared" ref="B88" ca="1" si="142">ROUND(((U88-$U$29)+($V$29-V88)),0)</f>
        <v>1</v>
      </c>
      <c r="C88" s="54">
        <f t="shared" ref="C88" si="143">C40</f>
        <v>13</v>
      </c>
      <c r="D88" s="13">
        <v>20</v>
      </c>
      <c r="E88">
        <f t="shared" ref="E88" si="144">ROUND(POWER(A88*D88/100,AM88),0)</f>
        <v>4</v>
      </c>
      <c r="F88" s="55">
        <f>ROUND(G88*0.35+H88*0.65,0)</f>
        <v>287</v>
      </c>
      <c r="G88">
        <f>ROUND((E88+(30+30)/2)*AN88*兵攻防!A88/基本公式!$B$50,0)</f>
        <v>102</v>
      </c>
      <c r="H88" s="56">
        <f>ROUND((E88+(基本公式!$B$180+基本公式!$B$28)/2)*AN88*兵攻防!A88/基本公式!$B$50,0)</f>
        <v>387</v>
      </c>
      <c r="I88" s="13">
        <v>5</v>
      </c>
      <c r="J88">
        <f>ROUND(POWER($A$24*I88/100,$AM$24),0)</f>
        <v>2</v>
      </c>
      <c r="K88" s="2">
        <v>3</v>
      </c>
      <c r="L88">
        <f t="shared" ref="L88" ca="1" si="145">ROUND(30/K88*P88*N88,2)</f>
        <v>13.2</v>
      </c>
      <c r="M88" s="13">
        <v>500</v>
      </c>
      <c r="N88" s="16">
        <f ca="1">OFFSET(其他表格!$G$2,M88/100,0)</f>
        <v>1.2</v>
      </c>
      <c r="O88" s="13">
        <v>2</v>
      </c>
      <c r="P88" s="16">
        <f ca="1">OFFSET(其他表格!$B$1,O88,0)</f>
        <v>1.1000000000000001</v>
      </c>
      <c r="Q88">
        <f t="shared" ref="Q88" si="146">ROUND((E88+200)*AN88,2)</f>
        <v>30.6</v>
      </c>
      <c r="R88">
        <f>ROUND(($E$24+200)*$AN$24,2)</f>
        <v>30</v>
      </c>
      <c r="S88">
        <f>ROUND(POWER((E88+200-$J$24-200+AP88),2)/AO88,2)</f>
        <v>42.34</v>
      </c>
      <c r="T88">
        <f>ROUND(POWER(($E$24+200-J88-200+AP88),2)/AO88,2)</f>
        <v>41.33</v>
      </c>
      <c r="U88">
        <f t="shared" ref="U88" ca="1" si="147">ROUND((Q88+S88)*(A88+A88)/AQ88*L88,0)</f>
        <v>10</v>
      </c>
      <c r="V88">
        <f t="shared" ref="V88" ca="1" si="148">ROUND((R88+T88)*(A88+A88)/AQ88*L88,0)</f>
        <v>9</v>
      </c>
      <c r="W88" s="70">
        <f t="shared" ref="W88" ca="1" si="149">MIN(ROUND(U88/A88,4),1)</f>
        <v>0.1</v>
      </c>
      <c r="X88" s="70">
        <f t="shared" ref="X88" ca="1" si="150">MIN(ROUND(V88/A88,4),1)</f>
        <v>0.09</v>
      </c>
      <c r="Y88"/>
      <c r="Z88"/>
      <c r="AA88"/>
      <c r="AB88" s="70"/>
      <c r="AC88"/>
      <c r="AD88" s="71"/>
      <c r="AE88" s="71"/>
      <c r="AF88" s="70"/>
      <c r="AG88" s="71"/>
      <c r="AH88" s="71"/>
      <c r="AI88" s="70"/>
      <c r="AJ88" s="71"/>
      <c r="AK88" s="71"/>
      <c r="AL88" s="70"/>
      <c r="AM88" s="57">
        <v>0.5</v>
      </c>
      <c r="AN88" s="57">
        <v>0.15</v>
      </c>
      <c r="AO88" s="57">
        <v>6000</v>
      </c>
      <c r="AP88" s="57">
        <v>500</v>
      </c>
      <c r="AQ88" s="57">
        <v>20000</v>
      </c>
      <c r="AS88">
        <f t="shared" ref="AS88" ca="1" si="151">ROUND(AT88*AV88,0)</f>
        <v>4</v>
      </c>
      <c r="AT88">
        <f t="shared" ref="AT88" si="152">ROUND(AY88*0.35+AZ88*0.65,0)</f>
        <v>31</v>
      </c>
      <c r="AU88" s="70">
        <f t="shared" ref="AU88" ca="1" si="153">ROUND(AS88/A88,4)</f>
        <v>0.04</v>
      </c>
      <c r="AV88" s="9">
        <f ca="1">ROUND((AW88+其他表格!K4+基本公式!$B$84)*OFFSET(其他表格!$N$1,兵攻防!O88,0)+OFFSET(其他表格!$P$1,M88/100,0),4)</f>
        <v>0.14180000000000001</v>
      </c>
      <c r="AW88" s="59">
        <v>0.1</v>
      </c>
      <c r="AX88" s="13">
        <v>140</v>
      </c>
      <c r="AY88">
        <f t="shared" ref="AY88" si="154">BA88+BC88</f>
        <v>5</v>
      </c>
      <c r="AZ88">
        <f t="shared" ref="AZ88" si="155">BB88+BD88</f>
        <v>45</v>
      </c>
      <c r="BA88">
        <f t="shared" ref="BA88" si="156">ROUND(POWER(AX88/10*(BE88+BG88),2)/BH88*(A88+A88)/AQ88,0)</f>
        <v>4</v>
      </c>
      <c r="BB88" s="21">
        <f t="shared" ref="BB88" si="157">ROUND(POWER(AX88/10*(BF88*2+BG88),2)/BH88*(A88+A88)/AQ88,0)</f>
        <v>12</v>
      </c>
      <c r="BC88">
        <f t="shared" ref="BC88" si="158">ROUND(POWER(AX88/10*(BE88-BF88+BI88),2)/BJ88*(A88+A88)/AQ88,0)</f>
        <v>1</v>
      </c>
      <c r="BD88" s="21">
        <f t="shared" ref="BD88" si="159">ROUND(POWER(AX88/10*(BF88*2-BE88*2+BI88),2)/BJ88*(A88+A88)/AQ88,0)</f>
        <v>33</v>
      </c>
      <c r="BE88">
        <f>基本公式!$B$183</f>
        <v>30</v>
      </c>
      <c r="BF88">
        <f>基本公式!$B$182</f>
        <v>150</v>
      </c>
      <c r="BG88" s="57">
        <v>300</v>
      </c>
      <c r="BH88" s="57">
        <v>60000</v>
      </c>
      <c r="BI88" s="57">
        <v>200</v>
      </c>
      <c r="BJ88" s="57">
        <v>11500</v>
      </c>
    </row>
    <row r="89" spans="1:62">
      <c r="A89">
        <v>200</v>
      </c>
      <c r="B89" s="53">
        <f ca="1">ROUND(((U89-$U$29)+($V$29-V89)),0)</f>
        <v>0</v>
      </c>
      <c r="C89" s="54">
        <f ca="1">C41</f>
        <v>2</v>
      </c>
      <c r="D89" s="13">
        <v>20</v>
      </c>
      <c r="E89">
        <f>ROUND(POWER(A89*D89/100,AM89),0)</f>
        <v>6</v>
      </c>
      <c r="F89" s="55">
        <f t="shared" ref="F89" si="160">ROUND(G89*0.35+H89*0.65,0)</f>
        <v>587</v>
      </c>
      <c r="G89">
        <f>ROUND((E89+(30+30)/2)*AN89*兵攻防!A89/基本公式!$B$50,0)</f>
        <v>216</v>
      </c>
      <c r="H89" s="56">
        <f>ROUND((E89+(基本公式!$B$180+基本公式!$B$28)/2)*AN89*兵攻防!A89/基本公式!$B$50,0)</f>
        <v>786</v>
      </c>
      <c r="I89" s="13">
        <v>5</v>
      </c>
      <c r="J89">
        <f>ROUND(POWER($A$25*I89/100,$AM$25),0)</f>
        <v>3</v>
      </c>
      <c r="K89" s="2">
        <v>3</v>
      </c>
      <c r="L89">
        <f ca="1">ROUND(30/K89*P89*N89,2)</f>
        <v>13.2</v>
      </c>
      <c r="M89" s="13">
        <v>500</v>
      </c>
      <c r="N89" s="16">
        <f ca="1">OFFSET(其他表格!$G$2,M89/100,0)</f>
        <v>1.2</v>
      </c>
      <c r="O89" s="13">
        <v>2</v>
      </c>
      <c r="P89" s="16">
        <f ca="1">OFFSET(其他表格!$B$1,O89,0)</f>
        <v>1.1000000000000001</v>
      </c>
      <c r="Q89">
        <f>ROUND((E89+200)*AN89,2)</f>
        <v>30.9</v>
      </c>
      <c r="R89">
        <f>ROUND(($E$25+200)*$AN$25,2)</f>
        <v>30</v>
      </c>
      <c r="S89">
        <f>ROUND(POWER((E89+200-$J$25-200+AP89),2)/AO89,2)</f>
        <v>42.67</v>
      </c>
      <c r="T89">
        <f>ROUND(POWER(($E$25+200-J89-200+AP89),2)/AO89,2)</f>
        <v>41.17</v>
      </c>
      <c r="U89">
        <f ca="1">ROUND((Q89+S89)*(A89+A89)/AQ89*L89,0)</f>
        <v>19</v>
      </c>
      <c r="V89">
        <f ca="1">ROUND((R89+T89)*(A89+A89)/AQ89*L89,0)</f>
        <v>19</v>
      </c>
      <c r="W89" s="70">
        <f ca="1">MIN(ROUND(U89/A89,4),1)</f>
        <v>9.5000000000000001E-2</v>
      </c>
      <c r="X89" s="70">
        <f ca="1">MIN(ROUND(V89/A89,4),1)</f>
        <v>9.5000000000000001E-2</v>
      </c>
      <c r="Y89"/>
      <c r="Z89"/>
      <c r="AA89"/>
      <c r="AB89" s="70"/>
      <c r="AC89"/>
      <c r="AD89" s="71"/>
      <c r="AE89" s="71"/>
      <c r="AF89" s="70"/>
      <c r="AG89" s="71"/>
      <c r="AH89" s="71"/>
      <c r="AI89" s="70"/>
      <c r="AJ89" s="71"/>
      <c r="AK89" s="71"/>
      <c r="AL89" s="70"/>
      <c r="AM89" s="57">
        <v>0.5</v>
      </c>
      <c r="AN89" s="57">
        <v>0.15</v>
      </c>
      <c r="AO89" s="57">
        <v>6000</v>
      </c>
      <c r="AP89" s="57">
        <v>500</v>
      </c>
      <c r="AQ89" s="57">
        <v>20000</v>
      </c>
      <c r="AS89">
        <f ca="1">ROUND(AT89*AV89,0)</f>
        <v>9</v>
      </c>
      <c r="AT89">
        <f>ROUND(AY89*0.35+AZ89*0.65,0)</f>
        <v>62</v>
      </c>
      <c r="AU89" s="70">
        <f ca="1">ROUND(AS89/A89,4)</f>
        <v>4.4999999999999998E-2</v>
      </c>
      <c r="AV89" s="9">
        <f ca="1">ROUND((AW89+其他表格!K5+基本公式!$B$84)*OFFSET(其他表格!$N$1,兵攻防!O89,0)+OFFSET(其他表格!$P$1,M89/100,0),4)</f>
        <v>0.15290000000000001</v>
      </c>
      <c r="AW89" s="59">
        <v>0.1</v>
      </c>
      <c r="AX89" s="13">
        <v>140</v>
      </c>
      <c r="AY89">
        <f t="shared" ref="AY89:AZ93" si="161">BA89+BC89</f>
        <v>9</v>
      </c>
      <c r="AZ89">
        <f t="shared" si="161"/>
        <v>90</v>
      </c>
      <c r="BA89">
        <f>ROUND(POWER(AX89/10*(BE89+BG89),2)/BH89*(A89+A89)/AQ89,0)</f>
        <v>7</v>
      </c>
      <c r="BB89" s="21">
        <f>ROUND(POWER(AX89/10*(BF89*2+BG89),2)/BH89*(A89+A89)/AQ89,0)</f>
        <v>24</v>
      </c>
      <c r="BC89">
        <f>ROUND(POWER(AX89/10*(BE89-BF89+BI89),2)/BJ89*(A89+A89)/AQ89,0)</f>
        <v>2</v>
      </c>
      <c r="BD89" s="21">
        <f>ROUND(POWER(AX89/10*(BF89*2-BE89*2+BI89),2)/BJ89*(A89+A89)/AQ89,0)</f>
        <v>66</v>
      </c>
      <c r="BE89">
        <f>基本公式!$B$183</f>
        <v>30</v>
      </c>
      <c r="BF89">
        <f>基本公式!$B$182</f>
        <v>150</v>
      </c>
      <c r="BG89" s="57">
        <v>300</v>
      </c>
      <c r="BH89" s="57">
        <v>60000</v>
      </c>
      <c r="BI89" s="57">
        <v>200</v>
      </c>
      <c r="BJ89" s="57">
        <v>11500</v>
      </c>
    </row>
    <row r="90" spans="1:62">
      <c r="A90">
        <v>500</v>
      </c>
      <c r="B90" s="53">
        <f ca="1">ROUND(((U90-$U$29)+($V$29-V90)),0)</f>
        <v>2</v>
      </c>
      <c r="C90" s="54">
        <f ca="1">C42</f>
        <v>3</v>
      </c>
      <c r="D90" s="13">
        <v>20</v>
      </c>
      <c r="E90">
        <f>ROUND(POWER(A90*D90/100,AM90),0)</f>
        <v>10</v>
      </c>
      <c r="F90" s="55">
        <f>ROUND(G90*0.35+H90*0.65,0)</f>
        <v>1526</v>
      </c>
      <c r="G90">
        <f>ROUND((E90+(30+30)/2)*AN90*兵攻防!A90/基本公式!$B$50,0)</f>
        <v>600</v>
      </c>
      <c r="H90" s="56">
        <f>ROUND((E90+(基本公式!$B$180+基本公式!$B$28)/2)*AN90*兵攻防!A90/基本公式!$B$50,0)</f>
        <v>2025</v>
      </c>
      <c r="I90" s="13">
        <v>5</v>
      </c>
      <c r="J90">
        <f>ROUND(POWER($A$26*I90/100,$AM$26),0)</f>
        <v>5</v>
      </c>
      <c r="K90" s="2">
        <v>3</v>
      </c>
      <c r="L90">
        <f ca="1">ROUND(30/K90*P90*N90,2)</f>
        <v>13.2</v>
      </c>
      <c r="M90" s="13">
        <v>500</v>
      </c>
      <c r="N90" s="16">
        <f ca="1">OFFSET(其他表格!$G$2,M90/100,0)</f>
        <v>1.2</v>
      </c>
      <c r="O90" s="13">
        <v>2</v>
      </c>
      <c r="P90" s="16">
        <f ca="1">OFFSET(其他表格!$B$1,O90,0)</f>
        <v>1.1000000000000001</v>
      </c>
      <c r="Q90">
        <f>ROUND((E90+200)*AN90,2)</f>
        <v>31.5</v>
      </c>
      <c r="R90">
        <f>ROUND(($E$26+200)*$AN$26,2)</f>
        <v>30</v>
      </c>
      <c r="S90">
        <f>ROUND(POWER((E90+200-$J$26-200+AP90),2)/AO90,2)</f>
        <v>43.35</v>
      </c>
      <c r="T90">
        <f>ROUND(POWER(($E$26+200-J90-200+AP90),2)/AO90,2)</f>
        <v>40.840000000000003</v>
      </c>
      <c r="U90">
        <f ca="1">ROUND((Q90+S90)*(A90+A90)/AQ90*L90,0)</f>
        <v>49</v>
      </c>
      <c r="V90">
        <f ca="1">ROUND((R90+T90)*(A90+A90)/AQ90*L90,0)</f>
        <v>47</v>
      </c>
      <c r="W90" s="70">
        <f ca="1">MIN(ROUND(U90/A90,4),1)</f>
        <v>9.8000000000000004E-2</v>
      </c>
      <c r="X90" s="70">
        <f ca="1">MIN(ROUND(V90/A90,4),1)</f>
        <v>9.4E-2</v>
      </c>
      <c r="Y90"/>
      <c r="Z90"/>
      <c r="AA90"/>
      <c r="AB90" s="70"/>
      <c r="AC90"/>
      <c r="AD90" s="71"/>
      <c r="AE90" s="71"/>
      <c r="AF90" s="70"/>
      <c r="AG90" s="71"/>
      <c r="AH90" s="71"/>
      <c r="AI90" s="70"/>
      <c r="AJ90" s="71"/>
      <c r="AK90" s="71"/>
      <c r="AL90" s="70"/>
      <c r="AM90" s="57">
        <v>0.5</v>
      </c>
      <c r="AN90" s="57">
        <v>0.15</v>
      </c>
      <c r="AO90" s="57">
        <v>6000</v>
      </c>
      <c r="AP90" s="57">
        <v>500</v>
      </c>
      <c r="AQ90" s="57">
        <v>20000</v>
      </c>
      <c r="AS90">
        <f ca="1">ROUND(AT90*AV90,0)</f>
        <v>25</v>
      </c>
      <c r="AT90">
        <f>ROUND(AY90*0.35+AZ90*0.65,0)</f>
        <v>154</v>
      </c>
      <c r="AU90" s="70">
        <f ca="1">ROUND(AS90/A90,4)</f>
        <v>0.05</v>
      </c>
      <c r="AV90" s="9">
        <f ca="1">ROUND((AW90+其他表格!K6+基本公式!$B$84)*OFFSET(其他表格!$N$1,兵攻防!O90,0)+OFFSET(其他表格!$P$1,M90/100,0),4)</f>
        <v>0.16400000000000001</v>
      </c>
      <c r="AW90" s="59">
        <v>0.1</v>
      </c>
      <c r="AX90" s="13">
        <v>140</v>
      </c>
      <c r="AY90">
        <f t="shared" si="161"/>
        <v>23</v>
      </c>
      <c r="AZ90">
        <f t="shared" si="161"/>
        <v>224</v>
      </c>
      <c r="BA90">
        <f>ROUND(POWER(AX90/10*(BE90+BG90),2)/BH90*(A90+A90)/AQ90,0)</f>
        <v>18</v>
      </c>
      <c r="BB90" s="21">
        <f>ROUND(POWER(AX90/10*(BF90*2+BG90),2)/BH90*(A90+A90)/AQ90,0)</f>
        <v>59</v>
      </c>
      <c r="BC90">
        <f>ROUND(POWER(AX90/10*(BE90-BF90+BI90),2)/BJ90*(A90+A90)/AQ90,0)</f>
        <v>5</v>
      </c>
      <c r="BD90" s="21">
        <f>ROUND(POWER(AX90/10*(BF90*2-BE90*2+BI90),2)/BJ90*(A90+A90)/AQ90,0)</f>
        <v>165</v>
      </c>
      <c r="BE90">
        <f>基本公式!$B$183</f>
        <v>30</v>
      </c>
      <c r="BF90">
        <f>基本公式!$B$182</f>
        <v>150</v>
      </c>
      <c r="BG90" s="57">
        <v>300</v>
      </c>
      <c r="BH90" s="57">
        <v>60000</v>
      </c>
      <c r="BI90" s="57">
        <v>200</v>
      </c>
      <c r="BJ90" s="57">
        <v>11500</v>
      </c>
    </row>
    <row r="91" spans="1:62">
      <c r="A91">
        <v>1000</v>
      </c>
      <c r="B91" s="53">
        <f ca="1">ROUND(((U91-$U$29)+($V$29-V91)),0)</f>
        <v>7</v>
      </c>
      <c r="C91" s="54">
        <f ca="1">C43</f>
        <v>9</v>
      </c>
      <c r="D91" s="13">
        <v>20</v>
      </c>
      <c r="E91">
        <f>ROUND(POWER(A91*D91/100,AM91),0)</f>
        <v>14</v>
      </c>
      <c r="F91" s="55">
        <f>ROUND(G91*0.35+H91*0.65,0)</f>
        <v>3173</v>
      </c>
      <c r="G91">
        <f>ROUND((E91+(30+30)/2)*AN91*兵攻防!A91/基本公式!$B$50,0)</f>
        <v>1320</v>
      </c>
      <c r="H91" s="56">
        <f>ROUND((E91+(基本公式!$B$180+基本公式!$B$28)/2)*AN91*兵攻防!A91/基本公式!$B$50,0)</f>
        <v>4170</v>
      </c>
      <c r="I91" s="13">
        <v>5</v>
      </c>
      <c r="J91">
        <f>ROUND(POWER($A$27*I91/100,$AM$27),0)</f>
        <v>7</v>
      </c>
      <c r="K91" s="2">
        <v>3</v>
      </c>
      <c r="L91">
        <f ca="1">ROUND(30/K91*P91*N91,2)</f>
        <v>13.2</v>
      </c>
      <c r="M91" s="13">
        <v>500</v>
      </c>
      <c r="N91" s="16">
        <f ca="1">OFFSET(其他表格!$G$2,M91/100,0)</f>
        <v>1.2</v>
      </c>
      <c r="O91" s="13">
        <v>2</v>
      </c>
      <c r="P91" s="16">
        <f ca="1">OFFSET(其他表格!$B$1,O91,0)</f>
        <v>1.1000000000000001</v>
      </c>
      <c r="Q91">
        <f>ROUND((E91+200)*AN91,2)</f>
        <v>32.1</v>
      </c>
      <c r="R91">
        <f>ROUND(($E$27+200)*$AN$27,2)</f>
        <v>30</v>
      </c>
      <c r="S91">
        <f>ROUND(POWER((E91+200-$J$27-200+AP91),2)/AO91,2)</f>
        <v>44.03</v>
      </c>
      <c r="T91">
        <f>ROUND(POWER(($E$27+200-J91-200+AP91),2)/AO91,2)</f>
        <v>40.51</v>
      </c>
      <c r="U91">
        <f ca="1">ROUND((Q91+S91)*(A91+A91)/AQ91*L91,0)</f>
        <v>100</v>
      </c>
      <c r="V91">
        <f ca="1">ROUND((R91+T91)*(A91+A91)/AQ91*L91,0)</f>
        <v>93</v>
      </c>
      <c r="W91" s="70">
        <f ca="1">MIN(ROUND(U91/A91,4),1)</f>
        <v>0.1</v>
      </c>
      <c r="X91" s="70">
        <f ca="1">MIN(ROUND(V91/A91,4),1)</f>
        <v>9.2999999999999999E-2</v>
      </c>
      <c r="Y91"/>
      <c r="Z91"/>
      <c r="AA91"/>
      <c r="AB91" s="70"/>
      <c r="AC91"/>
      <c r="AD91" s="71"/>
      <c r="AE91" s="71"/>
      <c r="AF91" s="70"/>
      <c r="AG91" s="71"/>
      <c r="AH91" s="71"/>
      <c r="AI91" s="70"/>
      <c r="AJ91" s="71"/>
      <c r="AK91" s="71"/>
      <c r="AL91" s="70"/>
      <c r="AM91" s="57">
        <v>0.5</v>
      </c>
      <c r="AN91" s="57">
        <v>0.15</v>
      </c>
      <c r="AO91" s="57">
        <v>6000</v>
      </c>
      <c r="AP91" s="57">
        <v>500</v>
      </c>
      <c r="AQ91" s="57">
        <v>20000</v>
      </c>
      <c r="AS91">
        <f ca="1">ROUND(AT91*AV91,0)</f>
        <v>54</v>
      </c>
      <c r="AT91">
        <f>ROUND(AY91*0.35+AZ91*0.65,0)</f>
        <v>308</v>
      </c>
      <c r="AU91" s="70">
        <f ca="1">ROUND(AS91/A91,4)</f>
        <v>5.3999999999999999E-2</v>
      </c>
      <c r="AV91" s="9">
        <f ca="1">ROUND((AW91+其他表格!K7+基本公式!$B$84)*OFFSET(其他表格!$N$1,兵攻防!O91,0)+OFFSET(其他表格!$P$1,M91/100,0),4)</f>
        <v>0.17510000000000001</v>
      </c>
      <c r="AW91" s="59">
        <v>0.1</v>
      </c>
      <c r="AX91" s="13">
        <v>140</v>
      </c>
      <c r="AY91">
        <f t="shared" si="161"/>
        <v>47</v>
      </c>
      <c r="AZ91">
        <f t="shared" si="161"/>
        <v>448</v>
      </c>
      <c r="BA91">
        <f>ROUND(POWER(AX91/10*(BE91+BG91),2)/BH91*(A91+A91)/AQ91,0)</f>
        <v>36</v>
      </c>
      <c r="BB91" s="21">
        <f>ROUND(POWER(AX91/10*(BF91*2+BG91),2)/BH91*(A91+A91)/AQ91,0)</f>
        <v>118</v>
      </c>
      <c r="BC91">
        <f>ROUND(POWER(AX91/10*(BE91-BF91+BI91),2)/BJ91*(A91+A91)/AQ91,0)</f>
        <v>11</v>
      </c>
      <c r="BD91" s="21">
        <f>ROUND(POWER(AX91/10*(BF91*2-BE91*2+BI91),2)/BJ91*(A91+A91)/AQ91,0)</f>
        <v>330</v>
      </c>
      <c r="BE91">
        <f>基本公式!$B$183</f>
        <v>30</v>
      </c>
      <c r="BF91">
        <f>基本公式!$B$182</f>
        <v>150</v>
      </c>
      <c r="BG91" s="57">
        <v>300</v>
      </c>
      <c r="BH91" s="57">
        <v>60000</v>
      </c>
      <c r="BI91" s="57">
        <v>200</v>
      </c>
      <c r="BJ91" s="57">
        <v>11500</v>
      </c>
    </row>
    <row r="92" spans="1:62">
      <c r="A92">
        <v>2000</v>
      </c>
      <c r="B92" s="53">
        <f ca="1">ROUND(((U92-$U$29)+($V$29-V92)),0)</f>
        <v>21</v>
      </c>
      <c r="C92" s="54">
        <f ca="1">C44</f>
        <v>22</v>
      </c>
      <c r="D92" s="13">
        <v>20</v>
      </c>
      <c r="E92">
        <f>ROUND(POWER(A92*D92/100,AM92),0)</f>
        <v>20</v>
      </c>
      <c r="F92" s="55">
        <f>ROUND(G92*0.35+H92*0.65,0)</f>
        <v>6705</v>
      </c>
      <c r="G92">
        <f>ROUND((E92+(30+30)/2)*AN92*兵攻防!A92/基本公式!$B$50,0)</f>
        <v>3000</v>
      </c>
      <c r="H92" s="56">
        <f>ROUND((E92+(基本公式!$B$180+基本公式!$B$28)/2)*AN92*兵攻防!A92/基本公式!$B$50,0)</f>
        <v>8700</v>
      </c>
      <c r="I92" s="13">
        <v>5</v>
      </c>
      <c r="J92">
        <f>ROUND(POWER($A$28*I92/100,$AM$28),0)</f>
        <v>10</v>
      </c>
      <c r="K92" s="2">
        <v>3</v>
      </c>
      <c r="L92">
        <f ca="1">ROUND(30/K92*P92*N92,2)</f>
        <v>13.2</v>
      </c>
      <c r="M92" s="13">
        <v>500</v>
      </c>
      <c r="N92" s="16">
        <f ca="1">OFFSET(其他表格!$G$2,M92/100,0)</f>
        <v>1.2</v>
      </c>
      <c r="O92" s="13">
        <v>2</v>
      </c>
      <c r="P92" s="16">
        <f ca="1">OFFSET(其他表格!$B$1,O92,0)</f>
        <v>1.1000000000000001</v>
      </c>
      <c r="Q92">
        <f>ROUND((E92+200)*AN92,2)</f>
        <v>33</v>
      </c>
      <c r="R92">
        <f>ROUND(($E$28+200)*$AN$28,2)</f>
        <v>30</v>
      </c>
      <c r="S92">
        <f>ROUND(POWER((E92+200-$J$28-200+AP92),2)/AO92,2)</f>
        <v>45.07</v>
      </c>
      <c r="T92">
        <f>ROUND(POWER(($E$28+200-J92-200+AP92),2)/AO92,2)</f>
        <v>40.020000000000003</v>
      </c>
      <c r="U92">
        <f ca="1">ROUND((Q92+S92)*(A92+A92)/AQ92*L92,0)</f>
        <v>206</v>
      </c>
      <c r="V92">
        <f ca="1">ROUND((R92+T92)*(A92+A92)/AQ92*L92,0)</f>
        <v>185</v>
      </c>
      <c r="W92" s="70">
        <f ca="1">MIN(ROUND(U92/A92,4),1)</f>
        <v>0.10299999999999999</v>
      </c>
      <c r="X92" s="70">
        <f ca="1">MIN(ROUND(V92/A92,4),1)</f>
        <v>9.2499999999999999E-2</v>
      </c>
      <c r="Y92"/>
      <c r="Z92"/>
      <c r="AA92"/>
      <c r="AB92" s="70"/>
      <c r="AC92"/>
      <c r="AD92" s="71"/>
      <c r="AE92" s="71"/>
      <c r="AF92" s="70"/>
      <c r="AG92" s="71"/>
      <c r="AH92" s="71"/>
      <c r="AI92" s="70"/>
      <c r="AJ92" s="71"/>
      <c r="AK92" s="71"/>
      <c r="AL92" s="70"/>
      <c r="AM92" s="57">
        <v>0.5</v>
      </c>
      <c r="AN92" s="57">
        <v>0.15</v>
      </c>
      <c r="AO92" s="57">
        <v>6000</v>
      </c>
      <c r="AP92" s="57">
        <v>500</v>
      </c>
      <c r="AQ92" s="57">
        <v>20000</v>
      </c>
      <c r="AS92">
        <f ca="1">ROUND(AT92*AV92,0)</f>
        <v>115</v>
      </c>
      <c r="AT92">
        <f>ROUND(AY92*0.35+AZ92*0.65,0)</f>
        <v>614</v>
      </c>
      <c r="AU92" s="70">
        <f ca="1">ROUND(AS92/A92,4)</f>
        <v>5.7500000000000002E-2</v>
      </c>
      <c r="AV92" s="9">
        <f ca="1">ROUND((AW92+其他表格!K8+基本公式!$B$84)*OFFSET(其他表格!$N$1,兵攻防!O92,0)+OFFSET(其他表格!$P$1,M92/100,0),4)</f>
        <v>0.188</v>
      </c>
      <c r="AW92" s="59">
        <v>0.1</v>
      </c>
      <c r="AX92" s="13">
        <v>140</v>
      </c>
      <c r="AY92">
        <f t="shared" si="161"/>
        <v>93</v>
      </c>
      <c r="AZ92">
        <f t="shared" si="161"/>
        <v>895</v>
      </c>
      <c r="BA92">
        <f>ROUND(POWER(AX92/10*(BE92+BG92),2)/BH92*(A92+A92)/AQ92,0)</f>
        <v>71</v>
      </c>
      <c r="BB92" s="21">
        <f>ROUND(POWER(AX92/10*(BF92*2+BG92),2)/BH92*(A92+A92)/AQ92,0)</f>
        <v>235</v>
      </c>
      <c r="BC92">
        <f>ROUND(POWER(AX92/10*(BE92-BF92+BI92),2)/BJ92*(A92+A92)/AQ92,0)</f>
        <v>22</v>
      </c>
      <c r="BD92" s="21">
        <f>ROUND(POWER(AX92/10*(BF92*2-BE92*2+BI92),2)/BJ92*(A92+A92)/AQ92,0)</f>
        <v>660</v>
      </c>
      <c r="BE92">
        <f>基本公式!$B$183</f>
        <v>30</v>
      </c>
      <c r="BF92">
        <f>基本公式!$B$182</f>
        <v>150</v>
      </c>
      <c r="BG92" s="57">
        <v>300</v>
      </c>
      <c r="BH92" s="57">
        <v>60000</v>
      </c>
      <c r="BI92" s="57">
        <v>200</v>
      </c>
      <c r="BJ92" s="57">
        <v>11500</v>
      </c>
    </row>
    <row r="93" spans="1:62">
      <c r="A93">
        <v>5000</v>
      </c>
      <c r="B93" s="53">
        <f ca="1">ROUND(((U93-$U$29)+($V$29-V93)),0)</f>
        <v>85</v>
      </c>
      <c r="C93" s="54">
        <f ca="1">C45</f>
        <v>85</v>
      </c>
      <c r="D93" s="13">
        <v>20</v>
      </c>
      <c r="E93">
        <f>ROUND(POWER(A93*D93/100,AM93),0)</f>
        <v>32</v>
      </c>
      <c r="F93" s="55">
        <f>ROUND(G93*0.35+H93*0.65,0)</f>
        <v>18563</v>
      </c>
      <c r="G93">
        <f>ROUND((E93+(30+30)/2)*AN93*兵攻防!A93/基本公式!$B$50,0)</f>
        <v>9300</v>
      </c>
      <c r="H93" s="56">
        <f>ROUND((E93+(基本公式!$B$180+基本公式!$B$28)/2)*AN93*兵攻防!A93/基本公式!$B$50,0)</f>
        <v>23550</v>
      </c>
      <c r="I93" s="13">
        <v>5</v>
      </c>
      <c r="J93">
        <f>ROUND(POWER($A$29*I93/100,$AM$29),0)</f>
        <v>16</v>
      </c>
      <c r="K93" s="2">
        <v>3</v>
      </c>
      <c r="L93">
        <f ca="1">ROUND(30/K93*P93*N93,2)</f>
        <v>13.2</v>
      </c>
      <c r="M93" s="13">
        <v>500</v>
      </c>
      <c r="N93" s="16">
        <f ca="1">OFFSET(其他表格!$G$2,M93/100,0)</f>
        <v>1.2</v>
      </c>
      <c r="O93" s="13">
        <v>2</v>
      </c>
      <c r="P93" s="16">
        <f ca="1">OFFSET(其他表格!$B$1,O93,0)</f>
        <v>1.1000000000000001</v>
      </c>
      <c r="Q93">
        <f>ROUND((E93+200)*AN93,2)</f>
        <v>34.799999999999997</v>
      </c>
      <c r="R93">
        <f>ROUND(($E$29+200)*$AN$29,2)</f>
        <v>30</v>
      </c>
      <c r="S93">
        <f>ROUND(POWER((E93+200-$J$29-200+AP93),2)/AO93,2)</f>
        <v>47.17</v>
      </c>
      <c r="T93">
        <f>ROUND(POWER(($E$29+200-J93-200+AP93),2)/AO93,2)</f>
        <v>39.04</v>
      </c>
      <c r="U93">
        <f ca="1">ROUND((Q93+S93)*(A93+A93)/AQ93*L93,0)</f>
        <v>541</v>
      </c>
      <c r="V93">
        <f ca="1">ROUND((R93+T93)*(A93+A93)/AQ93*L93,0)</f>
        <v>456</v>
      </c>
      <c r="W93" s="70">
        <f ca="1">MIN(ROUND(U93/A93,4),1)</f>
        <v>0.1082</v>
      </c>
      <c r="X93" s="70">
        <f ca="1">MIN(ROUND(V93/A93,4),1)</f>
        <v>9.1200000000000003E-2</v>
      </c>
      <c r="Y93"/>
      <c r="Z93"/>
      <c r="AA93"/>
      <c r="AB93" s="70"/>
      <c r="AC93"/>
      <c r="AD93" s="71"/>
      <c r="AE93" s="71"/>
      <c r="AF93" s="70"/>
      <c r="AG93" s="71"/>
      <c r="AH93" s="71"/>
      <c r="AI93" s="70"/>
      <c r="AJ93" s="71"/>
      <c r="AK93" s="71"/>
      <c r="AL93" s="70"/>
      <c r="AM93" s="57">
        <v>0.5</v>
      </c>
      <c r="AN93" s="57">
        <v>0.15</v>
      </c>
      <c r="AO93" s="57">
        <v>6000</v>
      </c>
      <c r="AP93" s="57">
        <v>500</v>
      </c>
      <c r="AQ93" s="57">
        <v>20000</v>
      </c>
      <c r="AS93">
        <f ca="1">ROUND(AT93*AV93,0)</f>
        <v>312</v>
      </c>
      <c r="AT93">
        <f>ROUND(AY93*0.35+AZ93*0.65,0)</f>
        <v>1536</v>
      </c>
      <c r="AU93" s="70">
        <f ca="1">ROUND(AS93/A93,4)</f>
        <v>6.2399999999999997E-2</v>
      </c>
      <c r="AV93" s="9">
        <f ca="1">ROUND((AW93+其他表格!K9+基本公式!$B$84)*OFFSET(其他表格!$N$1,兵攻防!O93,0)+OFFSET(其他表格!$P$1,M93/100,0),4)</f>
        <v>0.20280000000000001</v>
      </c>
      <c r="AW93" s="59">
        <v>0.1</v>
      </c>
      <c r="AX93" s="13">
        <v>140</v>
      </c>
      <c r="AY93">
        <f t="shared" si="161"/>
        <v>233</v>
      </c>
      <c r="AZ93">
        <f t="shared" si="161"/>
        <v>2238</v>
      </c>
      <c r="BA93">
        <f>ROUND(POWER(AX93/10*(BE93+BG93),2)/BH93*(A93+A93)/AQ93,0)</f>
        <v>178</v>
      </c>
      <c r="BB93" s="21">
        <f>ROUND(POWER(AX93/10*(BF93*2+BG93),2)/BH93*(A93+A93)/AQ93,0)</f>
        <v>588</v>
      </c>
      <c r="BC93">
        <f>ROUND(POWER(AX93/10*(BE93-BF93+BI93),2)/BJ93*(A93+A93)/AQ93,0)</f>
        <v>55</v>
      </c>
      <c r="BD93" s="21">
        <f>ROUND(POWER(AX93/10*(BF93*2-BE93*2+BI93),2)/BJ93*(A93+A93)/AQ93,0)</f>
        <v>1650</v>
      </c>
      <c r="BE93">
        <f>基本公式!$B$183</f>
        <v>30</v>
      </c>
      <c r="BF93">
        <f>基本公式!$B$182</f>
        <v>150</v>
      </c>
      <c r="BG93" s="57">
        <v>300</v>
      </c>
      <c r="BH93" s="57">
        <v>60000</v>
      </c>
      <c r="BI93" s="57">
        <v>200</v>
      </c>
      <c r="BJ93" s="57">
        <v>11500</v>
      </c>
    </row>
    <row r="95" spans="1:62" s="52" customFormat="1">
      <c r="A95" s="52" t="s">
        <v>180</v>
      </c>
      <c r="B95" s="66" t="s">
        <v>164</v>
      </c>
      <c r="C95" s="66" t="s">
        <v>181</v>
      </c>
      <c r="F95" s="67"/>
      <c r="H95" s="68"/>
      <c r="K95" s="69"/>
      <c r="AR95" s="74"/>
      <c r="AV95" s="54"/>
      <c r="AW95" s="77"/>
      <c r="AX95" s="78"/>
      <c r="BB95" s="79"/>
      <c r="BD95" s="79"/>
      <c r="BG95" s="57"/>
      <c r="BH95" s="57"/>
    </row>
    <row r="96" spans="1:62">
      <c r="A96">
        <v>100</v>
      </c>
      <c r="B96" s="53">
        <f t="shared" ref="B96" ca="1" si="162">ROUND(((U96-$U$29)+($V$29-V96)),0)</f>
        <v>1</v>
      </c>
      <c r="C96" s="54">
        <f t="shared" ref="C96" si="163">C48</f>
        <v>22</v>
      </c>
      <c r="D96" s="13">
        <v>54</v>
      </c>
      <c r="E96">
        <f t="shared" ref="E96" si="164">ROUND(POWER(A96*D96/100,AM96),0)</f>
        <v>7</v>
      </c>
      <c r="F96" s="55">
        <f>ROUND(G96*0.35+H96*0.65,0)</f>
        <v>296</v>
      </c>
      <c r="G96">
        <f>ROUND((E96+(30+30)/2)*AN96*兵攻防!A96/基本公式!$B$50,0)</f>
        <v>111</v>
      </c>
      <c r="H96" s="56">
        <f>ROUND((E96+(基本公式!$B$180+基本公式!$B$28)/2)*AN96*兵攻防!A96/基本公式!$B$50,0)</f>
        <v>396</v>
      </c>
      <c r="I96" s="13">
        <v>20</v>
      </c>
      <c r="J96">
        <f>ROUND(POWER($A$24*I96/100,$AM$24),0)</f>
        <v>4</v>
      </c>
      <c r="K96" s="2">
        <v>3</v>
      </c>
      <c r="L96">
        <f t="shared" ref="L96" ca="1" si="165">ROUND(30/K96*P96*N96,2)</f>
        <v>13.2</v>
      </c>
      <c r="M96" s="13">
        <v>550</v>
      </c>
      <c r="N96" s="16">
        <f ca="1">OFFSET(其他表格!$G$2,M96/100,0)</f>
        <v>1.2</v>
      </c>
      <c r="O96" s="13">
        <v>2</v>
      </c>
      <c r="P96" s="16">
        <f ca="1">OFFSET(其他表格!$B$1,O96,0)</f>
        <v>1.1000000000000001</v>
      </c>
      <c r="Q96">
        <f t="shared" ref="Q96" si="166">ROUND((E96+200)*AN96,2)</f>
        <v>31.05</v>
      </c>
      <c r="R96">
        <f>ROUND(($E$24+200)*$AN$24,2)</f>
        <v>30</v>
      </c>
      <c r="S96">
        <f>ROUND(POWER((E96+200-$J$24-200+AP96),2)/AO96,2)</f>
        <v>42.84</v>
      </c>
      <c r="T96">
        <f>ROUND(POWER(($E$24+200-J96-200+AP96),2)/AO96,2)</f>
        <v>41</v>
      </c>
      <c r="U96">
        <f t="shared" ref="U96" ca="1" si="167">ROUND((Q96+S96)*(A96+A96)/AQ96*L96,0)</f>
        <v>10</v>
      </c>
      <c r="V96">
        <f t="shared" ref="V96" ca="1" si="168">ROUND((R96+T96)*(A96+A96)/AQ96*L96,0)</f>
        <v>9</v>
      </c>
      <c r="W96" s="70">
        <f t="shared" ref="W96" ca="1" si="169">MIN(ROUND(U96/A96,4),1)</f>
        <v>0.1</v>
      </c>
      <c r="X96" s="70">
        <f t="shared" ref="X96" ca="1" si="170">MIN(ROUND(V96/A96,4),1)</f>
        <v>0.09</v>
      </c>
      <c r="Y96"/>
      <c r="Z96"/>
      <c r="AA96"/>
      <c r="AB96" s="70"/>
      <c r="AC96"/>
      <c r="AD96" s="71"/>
      <c r="AE96" s="71"/>
      <c r="AF96" s="70"/>
      <c r="AG96" s="71"/>
      <c r="AH96" s="71"/>
      <c r="AI96" s="70"/>
      <c r="AJ96" s="71"/>
      <c r="AK96" s="71"/>
      <c r="AL96" s="70"/>
      <c r="AM96" s="57">
        <v>0.5</v>
      </c>
      <c r="AN96" s="57">
        <v>0.15</v>
      </c>
      <c r="AO96" s="57">
        <v>6000</v>
      </c>
      <c r="AP96" s="57">
        <v>500</v>
      </c>
      <c r="AQ96" s="57">
        <v>20000</v>
      </c>
      <c r="AS96">
        <f t="shared" ref="AS96" ca="1" si="171">ROUND(AT96*AV96,0)</f>
        <v>9</v>
      </c>
      <c r="AT96">
        <f t="shared" ref="AT96" si="172">ROUND(AY96*0.35+AZ96*0.65,0)</f>
        <v>60</v>
      </c>
      <c r="AU96" s="70">
        <f t="shared" ref="AU96" ca="1" si="173">ROUND(AS96/A96,4)</f>
        <v>0.09</v>
      </c>
      <c r="AV96" s="9">
        <f ca="1">ROUND((AW96+其他表格!K4+基本公式!$B$84)*OFFSET(其他表格!$N$1,兵攻防!O96,0)+OFFSET(其他表格!$P$1,M96/100,0),4)</f>
        <v>0.14180000000000001</v>
      </c>
      <c r="AW96" s="59">
        <v>0.1</v>
      </c>
      <c r="AX96" s="13">
        <v>195</v>
      </c>
      <c r="AY96">
        <f t="shared" ref="AY96" si="174">BA96+BC96</f>
        <v>9</v>
      </c>
      <c r="AZ96">
        <f t="shared" ref="AZ96" si="175">BB96+BD96</f>
        <v>87</v>
      </c>
      <c r="BA96">
        <f t="shared" ref="BA96" si="176">ROUND(POWER(AX96/10*(BE96+BG96),2)/BH96*(A96+A96)/AQ96,0)</f>
        <v>7</v>
      </c>
      <c r="BB96" s="21">
        <f t="shared" ref="BB96" si="177">ROUND(POWER(AX96/10*(BF96*2+BG96),2)/BH96*(A96+A96)/AQ96,0)</f>
        <v>23</v>
      </c>
      <c r="BC96">
        <f t="shared" ref="BC96" si="178">ROUND(POWER(AX96/10*(BE96-BF96+BI96),2)/BJ96*(A96+A96)/AQ96,0)</f>
        <v>2</v>
      </c>
      <c r="BD96" s="21">
        <f t="shared" ref="BD96" si="179">ROUND(POWER(AX96/10*(BF96*2-BE96*2+BI96),2)/BJ96*(A96+A96)/AQ96,0)</f>
        <v>64</v>
      </c>
      <c r="BE96">
        <f>基本公式!$B$183</f>
        <v>30</v>
      </c>
      <c r="BF96">
        <f>基本公式!$B$182</f>
        <v>150</v>
      </c>
      <c r="BG96" s="57">
        <v>300</v>
      </c>
      <c r="BH96" s="57">
        <v>60000</v>
      </c>
      <c r="BI96" s="57">
        <v>200</v>
      </c>
      <c r="BJ96" s="57">
        <v>11500</v>
      </c>
    </row>
    <row r="97" spans="1:62">
      <c r="A97">
        <v>200</v>
      </c>
      <c r="B97" s="53">
        <f ca="1">ROUND(((U97-$U$29)+($V$29-V97)),0)</f>
        <v>1</v>
      </c>
      <c r="C97" s="54">
        <f ca="1">C49</f>
        <v>3</v>
      </c>
      <c r="D97" s="13">
        <v>54</v>
      </c>
      <c r="E97">
        <f>ROUND(POWER(A97*D97/100,AM97),0)</f>
        <v>10</v>
      </c>
      <c r="F97" s="55">
        <f t="shared" ref="F97" si="180">ROUND(G97*0.35+H97*0.65,0)</f>
        <v>611</v>
      </c>
      <c r="G97">
        <f>ROUND((E97+(30+30)/2)*AN97*兵攻防!A97/基本公式!$B$50,0)</f>
        <v>240</v>
      </c>
      <c r="H97" s="56">
        <f>ROUND((E97+(基本公式!$B$180+基本公式!$B$28)/2)*AN97*兵攻防!A97/基本公式!$B$50,0)</f>
        <v>810</v>
      </c>
      <c r="I97" s="13">
        <v>20</v>
      </c>
      <c r="J97">
        <f>ROUND(POWER($A$25*I97/100,$AM$25),0)</f>
        <v>6</v>
      </c>
      <c r="K97" s="2">
        <v>3</v>
      </c>
      <c r="L97">
        <f ca="1">ROUND(30/K97*P97*N97,2)</f>
        <v>13.2</v>
      </c>
      <c r="M97" s="13">
        <v>550</v>
      </c>
      <c r="N97" s="16">
        <f ca="1">OFFSET(其他表格!$G$2,M97/100,0)</f>
        <v>1.2</v>
      </c>
      <c r="O97" s="13">
        <v>2</v>
      </c>
      <c r="P97" s="16">
        <f ca="1">OFFSET(其他表格!$B$1,O97,0)</f>
        <v>1.1000000000000001</v>
      </c>
      <c r="Q97">
        <f>ROUND((E97+200)*AN97,2)</f>
        <v>31.5</v>
      </c>
      <c r="R97">
        <f>ROUND(($E$25+200)*$AN$25,2)</f>
        <v>30</v>
      </c>
      <c r="S97">
        <f>ROUND(POWER((E97+200-$J$25-200+AP97),2)/AO97,2)</f>
        <v>43.35</v>
      </c>
      <c r="T97">
        <f>ROUND(POWER(($E$25+200-J97-200+AP97),2)/AO97,2)</f>
        <v>40.67</v>
      </c>
      <c r="U97">
        <f ca="1">ROUND((Q97+S97)*(A97+A97)/AQ97*L97,0)</f>
        <v>20</v>
      </c>
      <c r="V97">
        <f ca="1">ROUND((R97+T97)*(A97+A97)/AQ97*L97,0)</f>
        <v>19</v>
      </c>
      <c r="W97" s="70">
        <f ca="1">MIN(ROUND(U97/A97,4),1)</f>
        <v>0.1</v>
      </c>
      <c r="X97" s="70">
        <f ca="1">MIN(ROUND(V97/A97,4),1)</f>
        <v>9.5000000000000001E-2</v>
      </c>
      <c r="Y97"/>
      <c r="Z97"/>
      <c r="AA97"/>
      <c r="AB97" s="70"/>
      <c r="AC97"/>
      <c r="AD97" s="71"/>
      <c r="AE97" s="71"/>
      <c r="AF97" s="70"/>
      <c r="AG97" s="71"/>
      <c r="AH97" s="71"/>
      <c r="AI97" s="70"/>
      <c r="AJ97" s="71"/>
      <c r="AK97" s="71"/>
      <c r="AL97" s="70"/>
      <c r="AM97" s="57">
        <v>0.5</v>
      </c>
      <c r="AN97" s="57">
        <v>0.15</v>
      </c>
      <c r="AO97" s="57">
        <v>6000</v>
      </c>
      <c r="AP97" s="57">
        <v>500</v>
      </c>
      <c r="AQ97" s="57">
        <v>20000</v>
      </c>
      <c r="AS97">
        <f ca="1">ROUND(AT97*AV97,0)</f>
        <v>18</v>
      </c>
      <c r="AT97">
        <f>ROUND(AY97*0.35+AZ97*0.65,0)</f>
        <v>119</v>
      </c>
      <c r="AU97" s="70">
        <f ca="1">ROUND(AS97/A97,4)</f>
        <v>0.09</v>
      </c>
      <c r="AV97" s="9">
        <f ca="1">ROUND((AW97+其他表格!K5+基本公式!$B$84)*OFFSET(其他表格!$N$1,兵攻防!O97,0)+OFFSET(其他表格!$P$1,M97/100,0),4)</f>
        <v>0.15290000000000001</v>
      </c>
      <c r="AW97" s="59">
        <v>0.1</v>
      </c>
      <c r="AX97" s="13">
        <v>195</v>
      </c>
      <c r="AY97">
        <f t="shared" ref="AY97:AZ101" si="181">BA97+BC97</f>
        <v>18</v>
      </c>
      <c r="AZ97">
        <f t="shared" si="181"/>
        <v>174</v>
      </c>
      <c r="BA97">
        <f>ROUND(POWER(AX97/10*(BE97+BG97),2)/BH97*(A97+A97)/AQ97,0)</f>
        <v>14</v>
      </c>
      <c r="BB97" s="21">
        <f>ROUND(POWER(AX97/10*(BF97*2+BG97),2)/BH97*(A97+A97)/AQ97,0)</f>
        <v>46</v>
      </c>
      <c r="BC97">
        <f>ROUND(POWER(AX97/10*(BE97-BF97+BI97),2)/BJ97*(A97+A97)/AQ97,0)</f>
        <v>4</v>
      </c>
      <c r="BD97" s="21">
        <f>ROUND(POWER(AX97/10*(BF97*2-BE97*2+BI97),2)/BJ97*(A97+A97)/AQ97,0)</f>
        <v>128</v>
      </c>
      <c r="BE97">
        <f>基本公式!$B$183</f>
        <v>30</v>
      </c>
      <c r="BF97">
        <f>基本公式!$B$182</f>
        <v>150</v>
      </c>
      <c r="BG97" s="57">
        <v>300</v>
      </c>
      <c r="BH97" s="57">
        <v>60000</v>
      </c>
      <c r="BI97" s="57">
        <v>200</v>
      </c>
      <c r="BJ97" s="57">
        <v>11500</v>
      </c>
    </row>
    <row r="98" spans="1:62">
      <c r="A98">
        <v>500</v>
      </c>
      <c r="B98" s="53">
        <f ca="1">ROUND(((U98-$U$29)+($V$29-V98)),0)</f>
        <v>5</v>
      </c>
      <c r="C98" s="54">
        <f ca="1">C50</f>
        <v>5</v>
      </c>
      <c r="D98" s="13">
        <v>54</v>
      </c>
      <c r="E98">
        <f>ROUND(POWER(A98*D98/100,AM98),0)</f>
        <v>16</v>
      </c>
      <c r="F98" s="55">
        <f>ROUND(G98*0.35+H98*0.65,0)</f>
        <v>1616</v>
      </c>
      <c r="G98">
        <f>ROUND((E98+(30+30)/2)*AN98*兵攻防!A98/基本公式!$B$50,0)</f>
        <v>690</v>
      </c>
      <c r="H98" s="56">
        <f>ROUND((E98+(基本公式!$B$180+基本公式!$B$28)/2)*AN98*兵攻防!A98/基本公式!$B$50,0)</f>
        <v>2115</v>
      </c>
      <c r="I98" s="13">
        <v>20</v>
      </c>
      <c r="J98">
        <f>ROUND(POWER($A$26*I98/100,$AM$26),0)</f>
        <v>10</v>
      </c>
      <c r="K98" s="2">
        <v>3</v>
      </c>
      <c r="L98">
        <f ca="1">ROUND(30/K98*P98*N98,2)</f>
        <v>13.2</v>
      </c>
      <c r="M98" s="13">
        <v>550</v>
      </c>
      <c r="N98" s="16">
        <f ca="1">OFFSET(其他表格!$G$2,M98/100,0)</f>
        <v>1.2</v>
      </c>
      <c r="O98" s="13">
        <v>2</v>
      </c>
      <c r="P98" s="16">
        <f ca="1">OFFSET(其他表格!$B$1,O98,0)</f>
        <v>1.1000000000000001</v>
      </c>
      <c r="Q98">
        <f>ROUND((E98+200)*AN98,2)</f>
        <v>32.4</v>
      </c>
      <c r="R98">
        <f>ROUND(($E$26+200)*$AN$26,2)</f>
        <v>30</v>
      </c>
      <c r="S98">
        <f>ROUND(POWER((E98+200-$J$26-200+AP98),2)/AO98,2)</f>
        <v>44.38</v>
      </c>
      <c r="T98">
        <f>ROUND(POWER(($E$26+200-J98-200+AP98),2)/AO98,2)</f>
        <v>40.020000000000003</v>
      </c>
      <c r="U98">
        <f ca="1">ROUND((Q98+S98)*(A98+A98)/AQ98*L98,0)</f>
        <v>51</v>
      </c>
      <c r="V98">
        <f ca="1">ROUND((R98+T98)*(A98+A98)/AQ98*L98,0)</f>
        <v>46</v>
      </c>
      <c r="W98" s="70">
        <f ca="1">MIN(ROUND(U98/A98,4),1)</f>
        <v>0.10199999999999999</v>
      </c>
      <c r="X98" s="70">
        <f ca="1">MIN(ROUND(V98/A98,4),1)</f>
        <v>9.1999999999999998E-2</v>
      </c>
      <c r="Y98"/>
      <c r="Z98"/>
      <c r="AA98"/>
      <c r="AB98" s="70"/>
      <c r="AC98"/>
      <c r="AD98" s="71"/>
      <c r="AE98" s="71"/>
      <c r="AF98" s="70"/>
      <c r="AG98" s="71"/>
      <c r="AH98" s="71"/>
      <c r="AI98" s="70"/>
      <c r="AJ98" s="71"/>
      <c r="AK98" s="71"/>
      <c r="AL98" s="70"/>
      <c r="AM98" s="57">
        <v>0.5</v>
      </c>
      <c r="AN98" s="57">
        <v>0.15</v>
      </c>
      <c r="AO98" s="57">
        <v>6000</v>
      </c>
      <c r="AP98" s="57">
        <v>500</v>
      </c>
      <c r="AQ98" s="57">
        <v>20000</v>
      </c>
      <c r="AS98">
        <f ca="1">ROUND(AT98*AV98,0)</f>
        <v>49</v>
      </c>
      <c r="AT98">
        <f>ROUND(AY98*0.35+AZ98*0.65,0)</f>
        <v>298</v>
      </c>
      <c r="AU98" s="70">
        <f ca="1">ROUND(AS98/A98,4)</f>
        <v>9.8000000000000004E-2</v>
      </c>
      <c r="AV98" s="9">
        <f ca="1">ROUND((AW98+其他表格!K6+基本公式!$B$84)*OFFSET(其他表格!$N$1,兵攻防!O98,0)+OFFSET(其他表格!$P$1,M98/100,0),4)</f>
        <v>0.16400000000000001</v>
      </c>
      <c r="AW98" s="59">
        <v>0.1</v>
      </c>
      <c r="AX98" s="13">
        <v>195</v>
      </c>
      <c r="AY98">
        <f t="shared" si="181"/>
        <v>46</v>
      </c>
      <c r="AZ98">
        <f t="shared" si="181"/>
        <v>434</v>
      </c>
      <c r="BA98">
        <f>ROUND(POWER(AX98/10*(BE98+BG98),2)/BH98*(A98+A98)/AQ98,0)</f>
        <v>35</v>
      </c>
      <c r="BB98" s="21">
        <f>ROUND(POWER(AX98/10*(BF98*2+BG98),2)/BH98*(A98+A98)/AQ98,0)</f>
        <v>114</v>
      </c>
      <c r="BC98">
        <f>ROUND(POWER(AX98/10*(BE98-BF98+BI98),2)/BJ98*(A98+A98)/AQ98,0)</f>
        <v>11</v>
      </c>
      <c r="BD98" s="21">
        <f>ROUND(POWER(AX98/10*(BF98*2-BE98*2+BI98),2)/BJ98*(A98+A98)/AQ98,0)</f>
        <v>320</v>
      </c>
      <c r="BE98">
        <f>基本公式!$B$183</f>
        <v>30</v>
      </c>
      <c r="BF98">
        <f>基本公式!$B$182</f>
        <v>150</v>
      </c>
      <c r="BG98" s="57">
        <v>300</v>
      </c>
      <c r="BH98" s="57">
        <v>60000</v>
      </c>
      <c r="BI98" s="57">
        <v>200</v>
      </c>
      <c r="BJ98" s="57">
        <v>11500</v>
      </c>
    </row>
    <row r="99" spans="1:62">
      <c r="A99">
        <v>1000</v>
      </c>
      <c r="B99" s="53">
        <f ca="1">ROUND(((U99-$U$29)+($V$29-V99)),0)</f>
        <v>12</v>
      </c>
      <c r="C99" s="54">
        <f ca="1">C51</f>
        <v>15</v>
      </c>
      <c r="D99" s="13">
        <v>54</v>
      </c>
      <c r="E99">
        <f>ROUND(POWER(A99*D99/100,AM99),0)</f>
        <v>23</v>
      </c>
      <c r="F99" s="55">
        <f>ROUND(G99*0.35+H99*0.65,0)</f>
        <v>3443</v>
      </c>
      <c r="G99">
        <f>ROUND((E99+(30+30)/2)*AN99*兵攻防!A99/基本公式!$B$50,0)</f>
        <v>1590</v>
      </c>
      <c r="H99" s="56">
        <f>ROUND((E99+(基本公式!$B$180+基本公式!$B$28)/2)*AN99*兵攻防!A99/基本公式!$B$50,0)</f>
        <v>4440</v>
      </c>
      <c r="I99" s="13">
        <v>20</v>
      </c>
      <c r="J99">
        <f>ROUND(POWER($A$27*I99/100,$AM$27),0)</f>
        <v>14</v>
      </c>
      <c r="K99" s="2">
        <v>3</v>
      </c>
      <c r="L99">
        <f ca="1">ROUND(30/K99*P99*N99,2)</f>
        <v>13.2</v>
      </c>
      <c r="M99" s="13">
        <v>550</v>
      </c>
      <c r="N99" s="16">
        <f ca="1">OFFSET(其他表格!$G$2,M99/100,0)</f>
        <v>1.2</v>
      </c>
      <c r="O99" s="13">
        <v>2</v>
      </c>
      <c r="P99" s="16">
        <f ca="1">OFFSET(其他表格!$B$1,O99,0)</f>
        <v>1.1000000000000001</v>
      </c>
      <c r="Q99">
        <f>ROUND((E99+200)*AN99,2)</f>
        <v>33.450000000000003</v>
      </c>
      <c r="R99">
        <f>ROUND(($E$27+200)*$AN$27,2)</f>
        <v>30</v>
      </c>
      <c r="S99">
        <f>ROUND(POWER((E99+200-$J$27-200+AP99),2)/AO99,2)</f>
        <v>45.59</v>
      </c>
      <c r="T99">
        <f>ROUND(POWER(($E$27+200-J99-200+AP99),2)/AO99,2)</f>
        <v>39.369999999999997</v>
      </c>
      <c r="U99">
        <f ca="1">ROUND((Q99+S99)*(A99+A99)/AQ99*L99,0)</f>
        <v>104</v>
      </c>
      <c r="V99">
        <f ca="1">ROUND((R99+T99)*(A99+A99)/AQ99*L99,0)</f>
        <v>92</v>
      </c>
      <c r="W99" s="70">
        <f ca="1">MIN(ROUND(U99/A99,4),1)</f>
        <v>0.104</v>
      </c>
      <c r="X99" s="70">
        <f ca="1">MIN(ROUND(V99/A99,4),1)</f>
        <v>9.1999999999999998E-2</v>
      </c>
      <c r="Y99"/>
      <c r="Z99"/>
      <c r="AA99"/>
      <c r="AB99" s="70"/>
      <c r="AC99"/>
      <c r="AD99" s="71"/>
      <c r="AE99" s="71"/>
      <c r="AF99" s="70"/>
      <c r="AG99" s="71"/>
      <c r="AH99" s="71"/>
      <c r="AI99" s="70"/>
      <c r="AJ99" s="71"/>
      <c r="AK99" s="71"/>
      <c r="AL99" s="70"/>
      <c r="AM99" s="57">
        <v>0.5</v>
      </c>
      <c r="AN99" s="57">
        <v>0.15</v>
      </c>
      <c r="AO99" s="57">
        <v>6000</v>
      </c>
      <c r="AP99" s="57">
        <v>500</v>
      </c>
      <c r="AQ99" s="57">
        <v>20000</v>
      </c>
      <c r="AS99">
        <f ca="1">ROUND(AT99*AV99,0)</f>
        <v>104</v>
      </c>
      <c r="AT99">
        <f>ROUND(AY99*0.35+AZ99*0.65,0)</f>
        <v>596</v>
      </c>
      <c r="AU99" s="70">
        <f ca="1">ROUND(AS99/A99,4)</f>
        <v>0.104</v>
      </c>
      <c r="AV99" s="9">
        <f ca="1">ROUND((AW99+其他表格!K7+基本公式!$B$84)*OFFSET(其他表格!$N$1,兵攻防!O99,0)+OFFSET(其他表格!$P$1,M99/100,0),4)</f>
        <v>0.17510000000000001</v>
      </c>
      <c r="AW99" s="59">
        <v>0.1</v>
      </c>
      <c r="AX99" s="13">
        <v>195</v>
      </c>
      <c r="AY99">
        <f t="shared" si="181"/>
        <v>90</v>
      </c>
      <c r="AZ99">
        <f t="shared" si="181"/>
        <v>868</v>
      </c>
      <c r="BA99">
        <f>ROUND(POWER(AX99/10*(BE99+BG99),2)/BH99*(A99+A99)/AQ99,0)</f>
        <v>69</v>
      </c>
      <c r="BB99" s="21">
        <f>ROUND(POWER(AX99/10*(BF99*2+BG99),2)/BH99*(A99+A99)/AQ99,0)</f>
        <v>228</v>
      </c>
      <c r="BC99">
        <f>ROUND(POWER(AX99/10*(BE99-BF99+BI99),2)/BJ99*(A99+A99)/AQ99,0)</f>
        <v>21</v>
      </c>
      <c r="BD99" s="21">
        <f>ROUND(POWER(AX99/10*(BF99*2-BE99*2+BI99),2)/BJ99*(A99+A99)/AQ99,0)</f>
        <v>640</v>
      </c>
      <c r="BE99">
        <f>基本公式!$B$183</f>
        <v>30</v>
      </c>
      <c r="BF99">
        <f>基本公式!$B$182</f>
        <v>150</v>
      </c>
      <c r="BG99" s="57">
        <v>300</v>
      </c>
      <c r="BH99" s="57">
        <v>60000</v>
      </c>
      <c r="BI99" s="57">
        <v>200</v>
      </c>
      <c r="BJ99" s="57">
        <v>11500</v>
      </c>
    </row>
    <row r="100" spans="1:62">
      <c r="A100">
        <v>2000</v>
      </c>
      <c r="B100" s="53">
        <f ca="1">ROUND(((U100-$U$29)+($V$29-V100)),0)</f>
        <v>36</v>
      </c>
      <c r="C100" s="54">
        <f ca="1">C52</f>
        <v>37</v>
      </c>
      <c r="D100" s="13">
        <v>54</v>
      </c>
      <c r="E100">
        <f>ROUND(POWER(A100*D100/100,AM100),0)</f>
        <v>33</v>
      </c>
      <c r="F100" s="55">
        <f>ROUND(G100*0.35+H100*0.65,0)</f>
        <v>7485</v>
      </c>
      <c r="G100">
        <f>ROUND((E100+(30+30)/2)*AN100*兵攻防!A100/基本公式!$B$50,0)</f>
        <v>3780</v>
      </c>
      <c r="H100" s="56">
        <f>ROUND((E100+(基本公式!$B$180+基本公式!$B$28)/2)*AN100*兵攻防!A100/基本公式!$B$50,0)</f>
        <v>9480</v>
      </c>
      <c r="I100" s="13">
        <v>20</v>
      </c>
      <c r="J100">
        <f>ROUND(POWER($A$28*I100/100,$AM$28),0)</f>
        <v>20</v>
      </c>
      <c r="K100" s="2">
        <v>3</v>
      </c>
      <c r="L100">
        <f ca="1">ROUND(30/K100*P100*N100,2)</f>
        <v>13.2</v>
      </c>
      <c r="M100" s="13">
        <v>550</v>
      </c>
      <c r="N100" s="16">
        <f ca="1">OFFSET(其他表格!$G$2,M100/100,0)</f>
        <v>1.2</v>
      </c>
      <c r="O100" s="13">
        <v>2</v>
      </c>
      <c r="P100" s="16">
        <f ca="1">OFFSET(其他表格!$B$1,O100,0)</f>
        <v>1.1000000000000001</v>
      </c>
      <c r="Q100">
        <f>ROUND((E100+200)*AN100,2)</f>
        <v>34.950000000000003</v>
      </c>
      <c r="R100">
        <f>ROUND(($E$28+200)*$AN$28,2)</f>
        <v>30</v>
      </c>
      <c r="S100">
        <f>ROUND(POWER((E100+200-$J$28-200+AP100),2)/AO100,2)</f>
        <v>47.35</v>
      </c>
      <c r="T100">
        <f>ROUND(POWER(($E$28+200-J100-200+AP100),2)/AO100,2)</f>
        <v>38.4</v>
      </c>
      <c r="U100">
        <f ca="1">ROUND((Q100+S100)*(A100+A100)/AQ100*L100,0)</f>
        <v>217</v>
      </c>
      <c r="V100">
        <f ca="1">ROUND((R100+T100)*(A100+A100)/AQ100*L100,0)</f>
        <v>181</v>
      </c>
      <c r="W100" s="70">
        <f ca="1">MIN(ROUND(U100/A100,4),1)</f>
        <v>0.1085</v>
      </c>
      <c r="X100" s="70">
        <f ca="1">MIN(ROUND(V100/A100,4),1)</f>
        <v>9.0499999999999997E-2</v>
      </c>
      <c r="Y100"/>
      <c r="Z100"/>
      <c r="AA100"/>
      <c r="AB100" s="70"/>
      <c r="AC100"/>
      <c r="AD100" s="71"/>
      <c r="AE100" s="71"/>
      <c r="AF100" s="70"/>
      <c r="AG100" s="71"/>
      <c r="AH100" s="71"/>
      <c r="AI100" s="70"/>
      <c r="AJ100" s="71"/>
      <c r="AK100" s="71"/>
      <c r="AL100" s="70"/>
      <c r="AM100" s="57">
        <v>0.5</v>
      </c>
      <c r="AN100" s="57">
        <v>0.15</v>
      </c>
      <c r="AO100" s="57">
        <v>6000</v>
      </c>
      <c r="AP100" s="57">
        <v>500</v>
      </c>
      <c r="AQ100" s="57">
        <v>20000</v>
      </c>
      <c r="AS100">
        <f ca="1">ROUND(AT100*AV100,0)</f>
        <v>224</v>
      </c>
      <c r="AT100">
        <f>ROUND(AY100*0.35+AZ100*0.65,0)</f>
        <v>1191</v>
      </c>
      <c r="AU100" s="70">
        <f ca="1">ROUND(AS100/A100,4)</f>
        <v>0.112</v>
      </c>
      <c r="AV100" s="9">
        <f ca="1">ROUND((AW100+其他表格!K8+基本公式!$B$84)*OFFSET(其他表格!$N$1,兵攻防!O100,0)+OFFSET(其他表格!$P$1,M100/100,0),4)</f>
        <v>0.188</v>
      </c>
      <c r="AW100" s="59">
        <v>0.1</v>
      </c>
      <c r="AX100" s="13">
        <v>195</v>
      </c>
      <c r="AY100">
        <f t="shared" si="181"/>
        <v>180</v>
      </c>
      <c r="AZ100">
        <f t="shared" si="181"/>
        <v>1736</v>
      </c>
      <c r="BA100">
        <f>ROUND(POWER(AX100/10*(BE100+BG100),2)/BH100*(A100+A100)/AQ100,0)</f>
        <v>138</v>
      </c>
      <c r="BB100" s="21">
        <f>ROUND(POWER(AX100/10*(BF100*2+BG100),2)/BH100*(A100+A100)/AQ100,0)</f>
        <v>456</v>
      </c>
      <c r="BC100">
        <f>ROUND(POWER(AX100/10*(BE100-BF100+BI100),2)/BJ100*(A100+A100)/AQ100,0)</f>
        <v>42</v>
      </c>
      <c r="BD100" s="21">
        <f>ROUND(POWER(AX100/10*(BF100*2-BE100*2+BI100),2)/BJ100*(A100+A100)/AQ100,0)</f>
        <v>1280</v>
      </c>
      <c r="BE100">
        <f>基本公式!$B$183</f>
        <v>30</v>
      </c>
      <c r="BF100">
        <f>基本公式!$B$182</f>
        <v>150</v>
      </c>
      <c r="BG100" s="57">
        <v>300</v>
      </c>
      <c r="BH100" s="57">
        <v>60000</v>
      </c>
      <c r="BI100" s="57">
        <v>200</v>
      </c>
      <c r="BJ100" s="57">
        <v>11500</v>
      </c>
    </row>
    <row r="101" spans="1:62">
      <c r="A101">
        <v>5000</v>
      </c>
      <c r="B101" s="53">
        <f ca="1">ROUND(((U101-$U$29)+($V$29-V101)),0)</f>
        <v>146</v>
      </c>
      <c r="C101" s="54">
        <f ca="1">C53</f>
        <v>145</v>
      </c>
      <c r="D101" s="13">
        <v>54</v>
      </c>
      <c r="E101">
        <f>ROUND(POWER(A101*D101/100,AM101),0)</f>
        <v>52</v>
      </c>
      <c r="F101" s="55">
        <f>ROUND(G101*0.35+H101*0.65,0)</f>
        <v>21563</v>
      </c>
      <c r="G101">
        <f>ROUND((E101+(30+30)/2)*AN101*兵攻防!A101/基本公式!$B$50,0)</f>
        <v>12300</v>
      </c>
      <c r="H101" s="56">
        <f>ROUND((E101+(基本公式!$B$180+基本公式!$B$28)/2)*AN101*兵攻防!A101/基本公式!$B$50,0)</f>
        <v>26550</v>
      </c>
      <c r="I101" s="13">
        <v>20</v>
      </c>
      <c r="J101">
        <f>ROUND(POWER($A$29*I101/100,$AM$29),0)</f>
        <v>32</v>
      </c>
      <c r="K101" s="2">
        <v>3</v>
      </c>
      <c r="L101">
        <f ca="1">ROUND(30/K101*P101*N101,2)</f>
        <v>13.2</v>
      </c>
      <c r="M101" s="13">
        <v>550</v>
      </c>
      <c r="N101" s="16">
        <f ca="1">OFFSET(其他表格!$G$2,M101/100,0)</f>
        <v>1.2</v>
      </c>
      <c r="O101" s="13">
        <v>2</v>
      </c>
      <c r="P101" s="16">
        <f ca="1">OFFSET(其他表格!$B$1,O101,0)</f>
        <v>1.1000000000000001</v>
      </c>
      <c r="Q101">
        <f>ROUND((E101+200)*AN101,2)</f>
        <v>37.799999999999997</v>
      </c>
      <c r="R101">
        <f>ROUND(($E$29+200)*$AN$29,2)</f>
        <v>30</v>
      </c>
      <c r="S101">
        <f>ROUND(POWER((E101+200-$J$29-200+AP101),2)/AO101,2)</f>
        <v>50.78</v>
      </c>
      <c r="T101">
        <f>ROUND(POWER(($E$29+200-J101-200+AP101),2)/AO101,2)</f>
        <v>36.5</v>
      </c>
      <c r="U101">
        <f ca="1">ROUND((Q101+S101)*(A101+A101)/AQ101*L101,0)</f>
        <v>585</v>
      </c>
      <c r="V101">
        <f ca="1">ROUND((R101+T101)*(A101+A101)/AQ101*L101,0)</f>
        <v>439</v>
      </c>
      <c r="W101" s="70">
        <f ca="1">MIN(ROUND(U101/A101,4),1)</f>
        <v>0.11700000000000001</v>
      </c>
      <c r="X101" s="70">
        <f ca="1">MIN(ROUND(V101/A101,4),1)</f>
        <v>8.7800000000000003E-2</v>
      </c>
      <c r="Y101"/>
      <c r="Z101"/>
      <c r="AA101"/>
      <c r="AB101" s="70"/>
      <c r="AC101"/>
      <c r="AD101" s="71"/>
      <c r="AE101" s="71"/>
      <c r="AF101" s="70"/>
      <c r="AG101" s="71"/>
      <c r="AH101" s="71"/>
      <c r="AI101" s="70"/>
      <c r="AJ101" s="71"/>
      <c r="AK101" s="71"/>
      <c r="AL101" s="70"/>
      <c r="AM101" s="57">
        <v>0.5</v>
      </c>
      <c r="AN101" s="57">
        <v>0.15</v>
      </c>
      <c r="AO101" s="57">
        <v>6000</v>
      </c>
      <c r="AP101" s="57">
        <v>500</v>
      </c>
      <c r="AQ101" s="57">
        <v>20000</v>
      </c>
      <c r="AS101">
        <f ca="1">ROUND(AT101*AV101,0)</f>
        <v>604</v>
      </c>
      <c r="AT101">
        <f>ROUND(AY101*0.35+AZ101*0.65,0)</f>
        <v>2980</v>
      </c>
      <c r="AU101" s="70">
        <f ca="1">ROUND(AS101/A101,4)</f>
        <v>0.1208</v>
      </c>
      <c r="AV101" s="9">
        <f ca="1">ROUND((AW101+其他表格!K9+基本公式!$B$84)*OFFSET(其他表格!$N$1,兵攻防!O101,0)+OFFSET(其他表格!$P$1,M101/100,0),4)</f>
        <v>0.20280000000000001</v>
      </c>
      <c r="AW101" s="59">
        <v>0.1</v>
      </c>
      <c r="AX101" s="13">
        <v>195</v>
      </c>
      <c r="AY101">
        <f t="shared" si="181"/>
        <v>451</v>
      </c>
      <c r="AZ101">
        <f t="shared" si="181"/>
        <v>4342</v>
      </c>
      <c r="BA101">
        <f>ROUND(POWER(AX101/10*(BE101+BG101),2)/BH101*(A101+A101)/AQ101,0)</f>
        <v>345</v>
      </c>
      <c r="BB101" s="21">
        <f>ROUND(POWER(AX101/10*(BF101*2+BG101),2)/BH101*(A101+A101)/AQ101,0)</f>
        <v>1141</v>
      </c>
      <c r="BC101">
        <f>ROUND(POWER(AX101/10*(BE101-BF101+BI101),2)/BJ101*(A101+A101)/AQ101,0)</f>
        <v>106</v>
      </c>
      <c r="BD101" s="21">
        <f>ROUND(POWER(AX101/10*(BF101*2-BE101*2+BI101),2)/BJ101*(A101+A101)/AQ101,0)</f>
        <v>3201</v>
      </c>
      <c r="BE101">
        <f>基本公式!$B$183</f>
        <v>30</v>
      </c>
      <c r="BF101">
        <f>基本公式!$B$182</f>
        <v>150</v>
      </c>
      <c r="BG101" s="57">
        <v>300</v>
      </c>
      <c r="BH101" s="57">
        <v>60000</v>
      </c>
      <c r="BI101" s="57">
        <v>200</v>
      </c>
      <c r="BJ101" s="57">
        <v>11500</v>
      </c>
    </row>
    <row r="102" spans="1:62">
      <c r="D102" s="13"/>
      <c r="I102" s="13"/>
      <c r="M102" s="13"/>
      <c r="O102" s="13"/>
      <c r="P102" s="16"/>
      <c r="W102" s="70"/>
      <c r="X102" s="70"/>
      <c r="Y102"/>
      <c r="Z102"/>
      <c r="AA102"/>
      <c r="AB102" s="70"/>
      <c r="AC102"/>
      <c r="AD102" s="71"/>
      <c r="AE102" s="71"/>
      <c r="AF102" s="70"/>
      <c r="AG102" s="71"/>
      <c r="AH102" s="71"/>
      <c r="AI102" s="70"/>
      <c r="AJ102" s="71"/>
      <c r="AK102" s="71"/>
      <c r="AL102" s="70"/>
      <c r="AU102" s="70"/>
      <c r="AV102" s="9"/>
      <c r="BI102" s="57"/>
      <c r="BJ102" s="57"/>
    </row>
    <row r="103" spans="1:62" s="52" customFormat="1">
      <c r="A103" s="52" t="s">
        <v>182</v>
      </c>
      <c r="B103" s="66"/>
      <c r="C103" s="66"/>
      <c r="F103" s="67"/>
      <c r="H103" s="68"/>
      <c r="K103" s="69"/>
      <c r="AR103" s="74"/>
      <c r="AV103" s="54"/>
      <c r="AW103" s="77"/>
      <c r="AX103" s="78"/>
      <c r="BB103" s="79"/>
      <c r="BD103" s="79"/>
      <c r="BG103" s="57"/>
      <c r="BH103" s="57"/>
    </row>
    <row r="104" spans="1:62">
      <c r="A104">
        <v>100</v>
      </c>
      <c r="B104" s="53">
        <f t="shared" ref="B104" ca="1" si="182">ROUND(((U104-$U$29)+($V$29-V104)),0)</f>
        <v>1</v>
      </c>
      <c r="C104" s="54">
        <f t="shared" ref="C104" ca="1" si="183">B32</f>
        <v>0</v>
      </c>
      <c r="D104" s="13">
        <v>12</v>
      </c>
      <c r="E104">
        <f t="shared" ref="E104" si="184">ROUND(POWER(A104*D104/100,AM104),0)</f>
        <v>3</v>
      </c>
      <c r="I104" s="13">
        <v>8</v>
      </c>
      <c r="J104">
        <f>ROUND(POWER($A$24*I104/100,$AM$24),0)</f>
        <v>3</v>
      </c>
      <c r="K104" s="2">
        <v>3</v>
      </c>
      <c r="L104">
        <f t="shared" ref="L104" ca="1" si="185">ROUND(30/K104*P104*N104,2)</f>
        <v>9.1</v>
      </c>
      <c r="M104" s="13">
        <v>0</v>
      </c>
      <c r="N104" s="16">
        <f ca="1">OFFSET(其他表格!$G$2,M104/100,0)</f>
        <v>0.7</v>
      </c>
      <c r="O104" s="13">
        <v>4</v>
      </c>
      <c r="P104" s="16">
        <f ca="1">OFFSET(其他表格!$B$1,O104,0)</f>
        <v>1.3</v>
      </c>
      <c r="Q104">
        <f t="shared" ref="Q104" si="186">ROUND((E104+200)*AN104,2)</f>
        <v>30.45</v>
      </c>
      <c r="R104">
        <f>ROUND(($E$24+200)*$AN$24,2)</f>
        <v>30</v>
      </c>
      <c r="S104">
        <f>ROUND(POWER((E104+200-$J$24-200+AP104),2)/AO104,2)</f>
        <v>42.17</v>
      </c>
      <c r="T104">
        <f>ROUND(POWER(($E$24+200-J104-200+AP104),2)/AO104,2)</f>
        <v>41.17</v>
      </c>
      <c r="U104">
        <f t="shared" ref="U104" ca="1" si="187">ROUND((Q104+S104)*(A104+A104)/AQ104*L104,0)</f>
        <v>7</v>
      </c>
      <c r="V104">
        <f t="shared" ref="V104" ca="1" si="188">ROUND((R104+T104)*(A104+A104)/AQ104*L104,0)</f>
        <v>6</v>
      </c>
      <c r="W104" s="70">
        <f t="shared" ref="W104" ca="1" si="189">MIN(ROUND(U104/A104,4),1)</f>
        <v>7.0000000000000007E-2</v>
      </c>
      <c r="X104" s="70">
        <f t="shared" ref="X104" ca="1" si="190">MIN(ROUND(V104/A104,4),1)</f>
        <v>0.06</v>
      </c>
      <c r="Y104"/>
      <c r="Z104"/>
      <c r="AA104"/>
      <c r="AB104" s="70"/>
      <c r="AC104"/>
      <c r="AD104" s="71"/>
      <c r="AE104" s="71"/>
      <c r="AF104" s="70"/>
      <c r="AG104" s="71"/>
      <c r="AH104" s="71"/>
      <c r="AI104" s="70"/>
      <c r="AJ104" s="71"/>
      <c r="AK104" s="71"/>
      <c r="AL104" s="70"/>
      <c r="AM104" s="57">
        <v>0.5</v>
      </c>
      <c r="AN104" s="57">
        <v>0.15</v>
      </c>
      <c r="AO104" s="57">
        <v>6000</v>
      </c>
      <c r="AP104" s="57">
        <v>500</v>
      </c>
      <c r="AQ104" s="57">
        <v>20000</v>
      </c>
      <c r="AU104" s="70"/>
      <c r="AV104" s="9"/>
      <c r="BI104" s="57"/>
      <c r="BJ104" s="57"/>
    </row>
    <row r="105" spans="1:62">
      <c r="A105">
        <v>200</v>
      </c>
      <c r="B105" s="53">
        <f ca="1">ROUND(((U105-$U$29)+($V$29-V105)),0)</f>
        <v>0</v>
      </c>
      <c r="C105" s="54">
        <f ca="1">B33</f>
        <v>1</v>
      </c>
      <c r="D105" s="13">
        <v>12</v>
      </c>
      <c r="E105">
        <f>ROUND(POWER(A105*D105/100,AM105),0)</f>
        <v>5</v>
      </c>
      <c r="I105" s="13">
        <v>8</v>
      </c>
      <c r="J105">
        <f>ROUND(POWER($A$25*I105/100,$AM$25),0)</f>
        <v>4</v>
      </c>
      <c r="K105" s="2">
        <v>3</v>
      </c>
      <c r="L105">
        <f ca="1">ROUND(30/K105*P105*N105,2)</f>
        <v>9.1</v>
      </c>
      <c r="M105" s="13">
        <v>0</v>
      </c>
      <c r="N105" s="16">
        <f ca="1">OFFSET(其他表格!$G$2,M105/100,0)</f>
        <v>0.7</v>
      </c>
      <c r="O105" s="13">
        <v>4</v>
      </c>
      <c r="P105" s="16">
        <f ca="1">OFFSET(其他表格!$B$1,O105,0)</f>
        <v>1.3</v>
      </c>
      <c r="Q105">
        <f>ROUND((E105+200)*AN105,2)</f>
        <v>30.75</v>
      </c>
      <c r="R105">
        <f>ROUND(($E$25+200)*$AN$25,2)</f>
        <v>30</v>
      </c>
      <c r="S105">
        <f>ROUND(POWER((E105+200-$J$25-200+AP105),2)/AO105,2)</f>
        <v>42.5</v>
      </c>
      <c r="T105">
        <f>ROUND(POWER(($E$25+200-J105-200+AP105),2)/AO105,2)</f>
        <v>41</v>
      </c>
      <c r="U105">
        <f ca="1">ROUND((Q105+S105)*(A105+A105)/AQ105*L105,0)</f>
        <v>13</v>
      </c>
      <c r="V105">
        <f ca="1">ROUND((R105+T105)*(A105+A105)/AQ105*L105,0)</f>
        <v>13</v>
      </c>
      <c r="W105" s="70">
        <f ca="1">MIN(ROUND(U105/A105,4),1)</f>
        <v>6.5000000000000002E-2</v>
      </c>
      <c r="X105" s="70">
        <f ca="1">MIN(ROUND(V105/A105,4),1)</f>
        <v>6.5000000000000002E-2</v>
      </c>
      <c r="Y105"/>
      <c r="Z105"/>
      <c r="AA105"/>
      <c r="AB105" s="70"/>
      <c r="AC105"/>
      <c r="AD105" s="71"/>
      <c r="AE105" s="71"/>
      <c r="AF105" s="70"/>
      <c r="AG105" s="71"/>
      <c r="AH105" s="71"/>
      <c r="AI105" s="70"/>
      <c r="AJ105" s="71"/>
      <c r="AK105" s="71"/>
      <c r="AL105" s="70"/>
      <c r="AM105" s="57">
        <v>0.5</v>
      </c>
      <c r="AN105" s="57">
        <v>0.15</v>
      </c>
      <c r="AO105" s="57">
        <v>6000</v>
      </c>
      <c r="AP105" s="57">
        <v>500</v>
      </c>
      <c r="AQ105" s="57">
        <v>20000</v>
      </c>
      <c r="AU105" s="70"/>
      <c r="AV105" s="9"/>
      <c r="BI105" s="57"/>
      <c r="BJ105" s="57"/>
    </row>
    <row r="106" spans="1:62">
      <c r="A106">
        <v>500</v>
      </c>
      <c r="B106" s="53">
        <f ca="1">ROUND(((U106-$U$29)+($V$29-V106)),0)</f>
        <v>2</v>
      </c>
      <c r="C106" s="54">
        <f ca="1">B34</f>
        <v>2</v>
      </c>
      <c r="D106" s="13">
        <v>12</v>
      </c>
      <c r="E106">
        <f>ROUND(POWER(A106*D106/100,AM106),0)</f>
        <v>8</v>
      </c>
      <c r="I106" s="13">
        <v>8</v>
      </c>
      <c r="J106">
        <f>ROUND(POWER($A$26*I106/100,$AM$26),0)</f>
        <v>6</v>
      </c>
      <c r="K106" s="2">
        <v>3</v>
      </c>
      <c r="L106">
        <f ca="1">ROUND(30/K106*P106*N106,2)</f>
        <v>9.1</v>
      </c>
      <c r="M106" s="13">
        <v>0</v>
      </c>
      <c r="N106" s="16">
        <f ca="1">OFFSET(其他表格!$G$2,M106/100,0)</f>
        <v>0.7</v>
      </c>
      <c r="O106" s="13">
        <v>4</v>
      </c>
      <c r="P106" s="16">
        <f ca="1">OFFSET(其他表格!$B$1,O106,0)</f>
        <v>1.3</v>
      </c>
      <c r="Q106">
        <f>ROUND((E106+200)*AN106,2)</f>
        <v>31.2</v>
      </c>
      <c r="R106">
        <f>ROUND(($E$26+200)*$AN$26,2)</f>
        <v>30</v>
      </c>
      <c r="S106">
        <f>ROUND(POWER((E106+200-$J$26-200+AP106),2)/AO106,2)</f>
        <v>43.01</v>
      </c>
      <c r="T106">
        <f>ROUND(POWER(($E$26+200-J106-200+AP106),2)/AO106,2)</f>
        <v>40.67</v>
      </c>
      <c r="U106">
        <f ca="1">ROUND((Q106+S106)*(A106+A106)/AQ106*L106,0)</f>
        <v>34</v>
      </c>
      <c r="V106">
        <f ca="1">ROUND((R106+T106)*(A106+A106)/AQ106*L106,0)</f>
        <v>32</v>
      </c>
      <c r="W106" s="70">
        <f ca="1">MIN(ROUND(U106/A106,4),1)</f>
        <v>6.8000000000000005E-2</v>
      </c>
      <c r="X106" s="70">
        <f ca="1">MIN(ROUND(V106/A106,4),1)</f>
        <v>6.4000000000000001E-2</v>
      </c>
      <c r="Y106"/>
      <c r="Z106"/>
      <c r="AA106"/>
      <c r="AB106" s="70"/>
      <c r="AC106"/>
      <c r="AD106" s="71"/>
      <c r="AE106" s="71"/>
      <c r="AF106" s="70"/>
      <c r="AG106" s="71"/>
      <c r="AH106" s="71"/>
      <c r="AI106" s="70"/>
      <c r="AJ106" s="71"/>
      <c r="AK106" s="71"/>
      <c r="AL106" s="70"/>
      <c r="AM106" s="57">
        <v>0.5</v>
      </c>
      <c r="AN106" s="57">
        <v>0.15</v>
      </c>
      <c r="AO106" s="57">
        <v>6000</v>
      </c>
      <c r="AP106" s="57">
        <v>500</v>
      </c>
      <c r="AQ106" s="57">
        <v>20000</v>
      </c>
      <c r="AU106" s="70"/>
      <c r="AV106" s="9"/>
      <c r="BI106" s="57"/>
      <c r="BJ106" s="57"/>
    </row>
    <row r="107" spans="1:62">
      <c r="A107">
        <v>1000</v>
      </c>
      <c r="B107" s="53">
        <f ca="1">ROUND(((U107-$U$29)+($V$29-V107)),0)</f>
        <v>4</v>
      </c>
      <c r="C107" s="54">
        <f ca="1">B35</f>
        <v>5</v>
      </c>
      <c r="D107" s="13">
        <v>12</v>
      </c>
      <c r="E107">
        <f>ROUND(POWER(A107*D107/100,AM107),0)</f>
        <v>11</v>
      </c>
      <c r="I107" s="13">
        <v>8</v>
      </c>
      <c r="J107">
        <f>ROUND(POWER($A$27*I107/100,$AM$27),0)</f>
        <v>9</v>
      </c>
      <c r="K107" s="2">
        <v>3</v>
      </c>
      <c r="L107">
        <f ca="1">ROUND(30/K107*P107*N107,2)</f>
        <v>9.1</v>
      </c>
      <c r="M107" s="13">
        <v>0</v>
      </c>
      <c r="N107" s="16">
        <f ca="1">OFFSET(其他表格!$G$2,M107/100,0)</f>
        <v>0.7</v>
      </c>
      <c r="O107" s="13">
        <v>4</v>
      </c>
      <c r="P107" s="16">
        <f ca="1">OFFSET(其他表格!$B$1,O107,0)</f>
        <v>1.3</v>
      </c>
      <c r="Q107">
        <f>ROUND((E107+200)*AN107,2)</f>
        <v>31.65</v>
      </c>
      <c r="R107">
        <f>ROUND(($E$27+200)*$AN$27,2)</f>
        <v>30</v>
      </c>
      <c r="S107">
        <f>ROUND(POWER((E107+200-$J$27-200+AP107),2)/AO107,2)</f>
        <v>43.52</v>
      </c>
      <c r="T107">
        <f>ROUND(POWER(($E$27+200-J107-200+AP107),2)/AO107,2)</f>
        <v>40.18</v>
      </c>
      <c r="U107">
        <f ca="1">ROUND((Q107+S107)*(A107+A107)/AQ107*L107,0)</f>
        <v>68</v>
      </c>
      <c r="V107">
        <f ca="1">ROUND((R107+T107)*(A107+A107)/AQ107*L107,0)</f>
        <v>64</v>
      </c>
      <c r="W107" s="70">
        <f ca="1">MIN(ROUND(U107/A107,4),1)</f>
        <v>6.8000000000000005E-2</v>
      </c>
      <c r="X107" s="70">
        <f ca="1">MIN(ROUND(V107/A107,4),1)</f>
        <v>6.4000000000000001E-2</v>
      </c>
      <c r="Y107"/>
      <c r="Z107"/>
      <c r="AA107"/>
      <c r="AB107" s="70"/>
      <c r="AC107"/>
      <c r="AD107" s="71"/>
      <c r="AE107" s="71"/>
      <c r="AF107" s="70"/>
      <c r="AG107" s="71"/>
      <c r="AH107" s="71"/>
      <c r="AI107" s="70"/>
      <c r="AJ107" s="71"/>
      <c r="AK107" s="71"/>
      <c r="AL107" s="70"/>
      <c r="AM107" s="57">
        <v>0.5</v>
      </c>
      <c r="AN107" s="57">
        <v>0.15</v>
      </c>
      <c r="AO107" s="57">
        <v>6000</v>
      </c>
      <c r="AP107" s="57">
        <v>500</v>
      </c>
      <c r="AQ107" s="57">
        <v>20000</v>
      </c>
      <c r="AU107" s="70"/>
      <c r="AV107" s="9"/>
      <c r="BI107" s="57"/>
      <c r="BJ107" s="57"/>
    </row>
    <row r="108" spans="1:62">
      <c r="A108">
        <v>2000</v>
      </c>
      <c r="B108" s="53">
        <f ca="1">ROUND(((U108-$U$29)+($V$29-V108)),0)</f>
        <v>12</v>
      </c>
      <c r="C108" s="54">
        <f ca="1">B36</f>
        <v>13</v>
      </c>
      <c r="D108" s="13">
        <v>12</v>
      </c>
      <c r="E108">
        <f>ROUND(POWER(A108*D108/100,AM108),0)</f>
        <v>15</v>
      </c>
      <c r="I108" s="13">
        <v>8</v>
      </c>
      <c r="J108">
        <f>ROUND(POWER($A$28*I108/100,$AM$28),0)</f>
        <v>13</v>
      </c>
      <c r="K108" s="2">
        <v>3</v>
      </c>
      <c r="L108">
        <f ca="1">ROUND(30/K108*P108*N108,2)</f>
        <v>9.1</v>
      </c>
      <c r="M108" s="13">
        <v>0</v>
      </c>
      <c r="N108" s="16">
        <f ca="1">OFFSET(其他表格!$G$2,M108/100,0)</f>
        <v>0.7</v>
      </c>
      <c r="O108" s="13">
        <v>4</v>
      </c>
      <c r="P108" s="16">
        <f ca="1">OFFSET(其他表格!$B$1,O108,0)</f>
        <v>1.3</v>
      </c>
      <c r="Q108">
        <f>ROUND((E108+200)*AN108,2)</f>
        <v>32.25</v>
      </c>
      <c r="R108">
        <f>ROUND(($E$28+200)*$AN$28,2)</f>
        <v>30</v>
      </c>
      <c r="S108">
        <f>ROUND(POWER((E108+200-$J$28-200+AP108),2)/AO108,2)</f>
        <v>44.2</v>
      </c>
      <c r="T108">
        <f>ROUND(POWER(($E$28+200-J108-200+AP108),2)/AO108,2)</f>
        <v>39.53</v>
      </c>
      <c r="U108">
        <f ca="1">ROUND((Q108+S108)*(A108+A108)/AQ108*L108,0)</f>
        <v>139</v>
      </c>
      <c r="V108">
        <f ca="1">ROUND((R108+T108)*(A108+A108)/AQ108*L108,0)</f>
        <v>127</v>
      </c>
      <c r="W108" s="70">
        <f ca="1">MIN(ROUND(U108/A108,4),1)</f>
        <v>6.9500000000000006E-2</v>
      </c>
      <c r="X108" s="70">
        <f ca="1">MIN(ROUND(V108/A108,4),1)</f>
        <v>6.3500000000000001E-2</v>
      </c>
      <c r="Y108"/>
      <c r="Z108"/>
      <c r="AA108"/>
      <c r="AB108" s="70"/>
      <c r="AC108"/>
      <c r="AD108" s="71"/>
      <c r="AE108" s="71"/>
      <c r="AF108" s="70"/>
      <c r="AG108" s="71"/>
      <c r="AH108" s="71"/>
      <c r="AI108" s="70"/>
      <c r="AJ108" s="71"/>
      <c r="AK108" s="71"/>
      <c r="AL108" s="70"/>
      <c r="AM108" s="57">
        <v>0.5</v>
      </c>
      <c r="AN108" s="57">
        <v>0.15</v>
      </c>
      <c r="AO108" s="57">
        <v>6000</v>
      </c>
      <c r="AP108" s="57">
        <v>500</v>
      </c>
      <c r="AQ108" s="57">
        <v>20000</v>
      </c>
      <c r="AU108" s="70"/>
      <c r="AV108" s="9"/>
      <c r="BI108" s="57"/>
      <c r="BJ108" s="57"/>
    </row>
    <row r="109" spans="1:62">
      <c r="A109">
        <v>5000</v>
      </c>
      <c r="B109" s="53">
        <f ca="1">ROUND(((U109-$U$29)+($V$29-V109)),0)</f>
        <v>50</v>
      </c>
      <c r="C109" s="54">
        <f ca="1">B37</f>
        <v>50</v>
      </c>
      <c r="D109" s="13">
        <v>12</v>
      </c>
      <c r="E109">
        <f>ROUND(POWER(A109*D109/100,AM109),0)</f>
        <v>24</v>
      </c>
      <c r="I109" s="13">
        <v>8</v>
      </c>
      <c r="J109">
        <f>ROUND(POWER($A$29*I109/100,$AM$29),0)</f>
        <v>20</v>
      </c>
      <c r="K109" s="2">
        <v>3</v>
      </c>
      <c r="L109">
        <f ca="1">ROUND(30/K109*P109*N109,2)</f>
        <v>9.1</v>
      </c>
      <c r="M109" s="13">
        <v>0</v>
      </c>
      <c r="N109" s="16">
        <f ca="1">OFFSET(其他表格!$G$2,M109/100,0)</f>
        <v>0.7</v>
      </c>
      <c r="O109" s="13">
        <v>4</v>
      </c>
      <c r="P109" s="16">
        <f ca="1">OFFSET(其他表格!$B$1,O109,0)</f>
        <v>1.3</v>
      </c>
      <c r="Q109">
        <f>ROUND((E109+200)*AN109,2)</f>
        <v>33.6</v>
      </c>
      <c r="R109">
        <f>ROUND(($E$29+200)*$AN$29,2)</f>
        <v>30</v>
      </c>
      <c r="S109">
        <f>ROUND(POWER((E109+200-$J$29-200+AP109),2)/AO109,2)</f>
        <v>45.76</v>
      </c>
      <c r="T109">
        <f>ROUND(POWER(($E$29+200-J109-200+AP109),2)/AO109,2)</f>
        <v>38.4</v>
      </c>
      <c r="U109">
        <f ca="1">ROUND((Q109+S109)*(A109+A109)/AQ109*L109,0)</f>
        <v>361</v>
      </c>
      <c r="V109">
        <f ca="1">ROUND((R109+T109)*(A109+A109)/AQ109*L109,0)</f>
        <v>311</v>
      </c>
      <c r="W109" s="70">
        <f ca="1">MIN(ROUND(U109/A109,4),1)</f>
        <v>7.22E-2</v>
      </c>
      <c r="X109" s="70">
        <f ca="1">MIN(ROUND(V109/A109,4),1)</f>
        <v>6.2199999999999998E-2</v>
      </c>
      <c r="Y109"/>
      <c r="Z109"/>
      <c r="AA109"/>
      <c r="AB109" s="70"/>
      <c r="AC109"/>
      <c r="AD109" s="71"/>
      <c r="AE109" s="71"/>
      <c r="AF109" s="70"/>
      <c r="AG109" s="71"/>
      <c r="AH109" s="71"/>
      <c r="AI109" s="70"/>
      <c r="AJ109" s="71"/>
      <c r="AK109" s="71"/>
      <c r="AL109" s="70"/>
      <c r="AM109" s="57">
        <v>0.5</v>
      </c>
      <c r="AN109" s="57">
        <v>0.15</v>
      </c>
      <c r="AO109" s="57">
        <v>6000</v>
      </c>
      <c r="AP109" s="57">
        <v>500</v>
      </c>
      <c r="AQ109" s="57">
        <v>20000</v>
      </c>
      <c r="AU109" s="70"/>
      <c r="AV109" s="9"/>
      <c r="BI109" s="57"/>
      <c r="BJ109" s="57"/>
    </row>
    <row r="110" spans="1:62">
      <c r="D110" s="13"/>
      <c r="I110" s="13"/>
      <c r="M110" s="13"/>
      <c r="O110" s="13"/>
      <c r="P110" s="16"/>
      <c r="W110" s="70"/>
      <c r="X110" s="70"/>
      <c r="Y110"/>
      <c r="Z110"/>
      <c r="AA110"/>
      <c r="AB110" s="70"/>
      <c r="AC110"/>
      <c r="AD110" s="71"/>
      <c r="AE110" s="71"/>
      <c r="AF110" s="70"/>
      <c r="AG110" s="71"/>
      <c r="AH110" s="71"/>
      <c r="AI110" s="70"/>
      <c r="AJ110" s="71"/>
      <c r="AK110" s="71"/>
      <c r="AL110" s="70"/>
      <c r="AU110" s="70"/>
      <c r="AV110" s="9"/>
      <c r="BI110" s="57"/>
      <c r="BJ110" s="57"/>
    </row>
    <row r="111" spans="1:62" s="52" customFormat="1">
      <c r="A111" s="52" t="s">
        <v>183</v>
      </c>
      <c r="B111" s="66"/>
      <c r="C111" s="66"/>
      <c r="F111" s="67"/>
      <c r="H111" s="68"/>
      <c r="K111" s="69"/>
      <c r="AR111" s="74"/>
      <c r="AV111" s="54"/>
      <c r="AW111" s="77"/>
      <c r="AX111" s="78"/>
      <c r="BB111" s="79"/>
      <c r="BD111" s="79"/>
      <c r="BG111" s="57"/>
      <c r="BH111" s="57"/>
    </row>
    <row r="112" spans="1:62">
      <c r="A112">
        <v>100</v>
      </c>
      <c r="B112" s="53">
        <f t="shared" ref="B112" ca="1" si="191">ROUND(((U112-$U$29)+($V$29-V112)),0)</f>
        <v>0</v>
      </c>
      <c r="C112" s="54">
        <f t="shared" ref="C112" si="192">C40</f>
        <v>13</v>
      </c>
      <c r="D112" s="13">
        <v>32</v>
      </c>
      <c r="E112">
        <f t="shared" ref="E112" si="193">ROUND(POWER(A112*D112/100,AM112),0)</f>
        <v>6</v>
      </c>
      <c r="I112" s="13">
        <v>12</v>
      </c>
      <c r="J112">
        <f>ROUND(POWER($A$24*I112/100,$AM$24),0)</f>
        <v>3</v>
      </c>
      <c r="K112" s="2">
        <v>3</v>
      </c>
      <c r="L112">
        <f t="shared" ref="L112" ca="1" si="194">ROUND(30/K112*P112*N112,2)</f>
        <v>10.15</v>
      </c>
      <c r="M112" s="13">
        <v>0</v>
      </c>
      <c r="N112" s="16">
        <f ca="1">OFFSET(其他表格!$G$2,M112/100,0)</f>
        <v>0.7</v>
      </c>
      <c r="O112" s="13">
        <v>7</v>
      </c>
      <c r="P112" s="16">
        <f ca="1">OFFSET(其他表格!$B$1,O112,0)</f>
        <v>1.45</v>
      </c>
      <c r="Q112">
        <f t="shared" ref="Q112" si="195">ROUND((E112+200)*AN112,2)</f>
        <v>30.9</v>
      </c>
      <c r="R112">
        <f>ROUND(($E$24+200)*$AN$24,2)</f>
        <v>30</v>
      </c>
      <c r="S112">
        <f>ROUND(POWER((E112+200-$J$24-200+AP112),2)/AO112,2)</f>
        <v>42.67</v>
      </c>
      <c r="T112">
        <f>ROUND(POWER(($E$24+200-J112-200+AP112),2)/AO112,2)</f>
        <v>41.17</v>
      </c>
      <c r="U112">
        <f t="shared" ref="U112" ca="1" si="196">ROUND((Q112+S112)*(A112+A112)/AQ112*L112,0)</f>
        <v>7</v>
      </c>
      <c r="V112">
        <f t="shared" ref="V112" ca="1" si="197">ROUND((R112+T112)*(A112+A112)/AQ112*L112,0)</f>
        <v>7</v>
      </c>
      <c r="W112" s="70">
        <f t="shared" ref="W112" ca="1" si="198">MIN(ROUND(U112/A112,4),1)</f>
        <v>7.0000000000000007E-2</v>
      </c>
      <c r="X112" s="70">
        <f t="shared" ref="X112" ca="1" si="199">MIN(ROUND(V112/A112,4),1)</f>
        <v>7.0000000000000007E-2</v>
      </c>
      <c r="Y112"/>
      <c r="Z112"/>
      <c r="AA112"/>
      <c r="AB112" s="70"/>
      <c r="AC112"/>
      <c r="AD112" s="71"/>
      <c r="AE112" s="71"/>
      <c r="AF112" s="70"/>
      <c r="AG112" s="71"/>
      <c r="AH112" s="71"/>
      <c r="AI112" s="70"/>
      <c r="AJ112" s="71"/>
      <c r="AK112" s="71"/>
      <c r="AL112" s="70"/>
      <c r="AM112" s="57">
        <v>0.5</v>
      </c>
      <c r="AN112" s="57">
        <v>0.15</v>
      </c>
      <c r="AO112" s="57">
        <v>6000</v>
      </c>
      <c r="AP112" s="57">
        <v>500</v>
      </c>
      <c r="AQ112" s="57">
        <v>20000</v>
      </c>
      <c r="AU112" s="70"/>
      <c r="AV112" s="9"/>
      <c r="BI112" s="57"/>
      <c r="BJ112" s="57"/>
    </row>
    <row r="113" spans="1:62">
      <c r="A113">
        <v>200</v>
      </c>
      <c r="B113" s="53">
        <f ca="1">ROUND(((U113-$U$29)+($V$29-V113)),0)</f>
        <v>1</v>
      </c>
      <c r="C113" s="54">
        <f ca="1">C41</f>
        <v>2</v>
      </c>
      <c r="D113" s="13">
        <v>32</v>
      </c>
      <c r="E113">
        <f>ROUND(POWER(A113*D113/100,AM113),0)</f>
        <v>8</v>
      </c>
      <c r="I113" s="13">
        <v>12</v>
      </c>
      <c r="J113">
        <f>ROUND(POWER($A$25*I113/100,$AM$25),0)</f>
        <v>5</v>
      </c>
      <c r="K113" s="2">
        <v>3</v>
      </c>
      <c r="L113">
        <f ca="1">ROUND(30/K113*P113*N113,2)</f>
        <v>10.15</v>
      </c>
      <c r="M113" s="13">
        <v>0</v>
      </c>
      <c r="N113" s="16">
        <f ca="1">OFFSET(其他表格!$G$2,M113/100,0)</f>
        <v>0.7</v>
      </c>
      <c r="O113" s="13">
        <v>7</v>
      </c>
      <c r="P113" s="16">
        <f ca="1">OFFSET(其他表格!$B$1,O113,0)</f>
        <v>1.45</v>
      </c>
      <c r="Q113">
        <f>ROUND((E113+200)*AN113,2)</f>
        <v>31.2</v>
      </c>
      <c r="R113">
        <f>ROUND(($E$25+200)*$AN$25,2)</f>
        <v>30</v>
      </c>
      <c r="S113">
        <f>ROUND(POWER((E113+200-$J$25-200+AP113),2)/AO113,2)</f>
        <v>43.01</v>
      </c>
      <c r="T113">
        <f>ROUND(POWER(($E$25+200-J113-200+AP113),2)/AO113,2)</f>
        <v>40.840000000000003</v>
      </c>
      <c r="U113">
        <f ca="1">ROUND((Q113+S113)*(A113+A113)/AQ113*L113,0)</f>
        <v>15</v>
      </c>
      <c r="V113">
        <f ca="1">ROUND((R113+T113)*(A113+A113)/AQ113*L113,0)</f>
        <v>14</v>
      </c>
      <c r="W113" s="70">
        <f ca="1">MIN(ROUND(U113/A113,4),1)</f>
        <v>7.4999999999999997E-2</v>
      </c>
      <c r="X113" s="70">
        <f ca="1">MIN(ROUND(V113/A113,4),1)</f>
        <v>7.0000000000000007E-2</v>
      </c>
      <c r="Y113"/>
      <c r="Z113"/>
      <c r="AA113"/>
      <c r="AB113" s="70"/>
      <c r="AC113"/>
      <c r="AD113" s="71"/>
      <c r="AE113" s="71"/>
      <c r="AF113" s="70"/>
      <c r="AG113" s="71"/>
      <c r="AH113" s="71"/>
      <c r="AI113" s="70"/>
      <c r="AJ113" s="71"/>
      <c r="AK113" s="71"/>
      <c r="AL113" s="70"/>
      <c r="AM113" s="57">
        <v>0.5</v>
      </c>
      <c r="AN113" s="57">
        <v>0.15</v>
      </c>
      <c r="AO113" s="57">
        <v>6000</v>
      </c>
      <c r="AP113" s="57">
        <v>500</v>
      </c>
      <c r="AQ113" s="57">
        <v>20000</v>
      </c>
      <c r="AU113" s="70"/>
      <c r="AV113" s="9"/>
      <c r="BI113" s="57"/>
      <c r="BJ113" s="57"/>
    </row>
    <row r="114" spans="1:62">
      <c r="A114">
        <v>500</v>
      </c>
      <c r="B114" s="53">
        <f ca="1">ROUND(((U114-$U$29)+($V$29-V114)),0)</f>
        <v>2</v>
      </c>
      <c r="C114" s="54">
        <f ca="1">C42</f>
        <v>3</v>
      </c>
      <c r="D114" s="13">
        <v>32</v>
      </c>
      <c r="E114">
        <f>ROUND(POWER(A114*D114/100,AM114),0)</f>
        <v>13</v>
      </c>
      <c r="I114" s="13">
        <v>12</v>
      </c>
      <c r="J114">
        <f>ROUND(POWER($A$26*I114/100,$AM$26),0)</f>
        <v>8</v>
      </c>
      <c r="K114" s="2">
        <v>3</v>
      </c>
      <c r="L114">
        <f ca="1">ROUND(30/K114*P114*N114,2)</f>
        <v>10.15</v>
      </c>
      <c r="M114" s="13">
        <v>0</v>
      </c>
      <c r="N114" s="16">
        <f ca="1">OFFSET(其他表格!$G$2,M114/100,0)</f>
        <v>0.7</v>
      </c>
      <c r="O114" s="13">
        <v>7</v>
      </c>
      <c r="P114" s="16">
        <f ca="1">OFFSET(其他表格!$B$1,O114,0)</f>
        <v>1.45</v>
      </c>
      <c r="Q114">
        <f>ROUND((E114+200)*AN114,2)</f>
        <v>31.95</v>
      </c>
      <c r="R114">
        <f>ROUND(($E$26+200)*$AN$26,2)</f>
        <v>30</v>
      </c>
      <c r="S114">
        <f>ROUND(POWER((E114+200-$J$26-200+AP114),2)/AO114,2)</f>
        <v>43.86</v>
      </c>
      <c r="T114">
        <f>ROUND(POWER(($E$26+200-J114-200+AP114),2)/AO114,2)</f>
        <v>40.340000000000003</v>
      </c>
      <c r="U114">
        <f ca="1">ROUND((Q114+S114)*(A114+A114)/AQ114*L114,0)</f>
        <v>38</v>
      </c>
      <c r="V114">
        <f ca="1">ROUND((R114+T114)*(A114+A114)/AQ114*L114,0)</f>
        <v>36</v>
      </c>
      <c r="W114" s="70">
        <f ca="1">MIN(ROUND(U114/A114,4),1)</f>
        <v>7.5999999999999998E-2</v>
      </c>
      <c r="X114" s="70">
        <f ca="1">MIN(ROUND(V114/A114,4),1)</f>
        <v>7.1999999999999995E-2</v>
      </c>
      <c r="Y114"/>
      <c r="Z114"/>
      <c r="AA114"/>
      <c r="AB114" s="70"/>
      <c r="AC114"/>
      <c r="AD114" s="71"/>
      <c r="AE114" s="71"/>
      <c r="AF114" s="70"/>
      <c r="AG114" s="71"/>
      <c r="AH114" s="71"/>
      <c r="AI114" s="70"/>
      <c r="AJ114" s="71"/>
      <c r="AK114" s="71"/>
      <c r="AL114" s="70"/>
      <c r="AM114" s="57">
        <v>0.5</v>
      </c>
      <c r="AN114" s="57">
        <v>0.15</v>
      </c>
      <c r="AO114" s="57">
        <v>6000</v>
      </c>
      <c r="AP114" s="57">
        <v>500</v>
      </c>
      <c r="AQ114" s="57">
        <v>20000</v>
      </c>
      <c r="AU114" s="70"/>
      <c r="AV114" s="9"/>
      <c r="BI114" s="57"/>
      <c r="BJ114" s="57"/>
    </row>
    <row r="115" spans="1:62">
      <c r="A115">
        <v>1000</v>
      </c>
      <c r="B115" s="53">
        <f ca="1">ROUND(((U115-$U$29)+($V$29-V115)),0)</f>
        <v>8</v>
      </c>
      <c r="C115" s="54">
        <f ca="1">C43</f>
        <v>9</v>
      </c>
      <c r="D115" s="13">
        <v>32</v>
      </c>
      <c r="E115">
        <f>ROUND(POWER(A115*D115/100,AM115),0)</f>
        <v>18</v>
      </c>
      <c r="I115" s="13">
        <v>12</v>
      </c>
      <c r="J115">
        <f>ROUND(POWER($A$27*I115/100,$AM$27),0)</f>
        <v>11</v>
      </c>
      <c r="K115" s="2">
        <v>3</v>
      </c>
      <c r="L115">
        <f ca="1">ROUND(30/K115*P115*N115,2)</f>
        <v>10.15</v>
      </c>
      <c r="M115" s="13">
        <v>0</v>
      </c>
      <c r="N115" s="16">
        <f ca="1">OFFSET(其他表格!$G$2,M115/100,0)</f>
        <v>0.7</v>
      </c>
      <c r="O115" s="13">
        <v>7</v>
      </c>
      <c r="P115" s="16">
        <f ca="1">OFFSET(其他表格!$B$1,O115,0)</f>
        <v>1.45</v>
      </c>
      <c r="Q115">
        <f>ROUND((E115+200)*AN115,2)</f>
        <v>32.700000000000003</v>
      </c>
      <c r="R115">
        <f>ROUND(($E$27+200)*$AN$27,2)</f>
        <v>30</v>
      </c>
      <c r="S115">
        <f>ROUND(POWER((E115+200-$J$27-200+AP115),2)/AO115,2)</f>
        <v>44.72</v>
      </c>
      <c r="T115">
        <f>ROUND(POWER(($E$27+200-J115-200+AP115),2)/AO115,2)</f>
        <v>39.85</v>
      </c>
      <c r="U115">
        <f ca="1">ROUND((Q115+S115)*(A115+A115)/AQ115*L115,0)</f>
        <v>79</v>
      </c>
      <c r="V115">
        <f ca="1">ROUND((R115+T115)*(A115+A115)/AQ115*L115,0)</f>
        <v>71</v>
      </c>
      <c r="W115" s="70">
        <f ca="1">MIN(ROUND(U115/A115,4),1)</f>
        <v>7.9000000000000001E-2</v>
      </c>
      <c r="X115" s="70">
        <f ca="1">MIN(ROUND(V115/A115,4),1)</f>
        <v>7.0999999999999994E-2</v>
      </c>
      <c r="Y115"/>
      <c r="Z115"/>
      <c r="AA115"/>
      <c r="AB115" s="70"/>
      <c r="AC115"/>
      <c r="AD115" s="71"/>
      <c r="AE115" s="71"/>
      <c r="AF115" s="70"/>
      <c r="AG115" s="71"/>
      <c r="AH115" s="71"/>
      <c r="AI115" s="70"/>
      <c r="AJ115" s="71"/>
      <c r="AK115" s="71"/>
      <c r="AL115" s="70"/>
      <c r="AM115" s="57">
        <v>0.5</v>
      </c>
      <c r="AN115" s="57">
        <v>0.15</v>
      </c>
      <c r="AO115" s="57">
        <v>6000</v>
      </c>
      <c r="AP115" s="57">
        <v>500</v>
      </c>
      <c r="AQ115" s="57">
        <v>20000</v>
      </c>
      <c r="AU115" s="70"/>
      <c r="AV115" s="9"/>
      <c r="BI115" s="57"/>
      <c r="BJ115" s="57"/>
    </row>
    <row r="116" spans="1:62">
      <c r="A116">
        <v>2000</v>
      </c>
      <c r="B116" s="53">
        <f ca="1">ROUND(((U116-$U$29)+($V$29-V116)),0)</f>
        <v>22</v>
      </c>
      <c r="C116" s="54">
        <f ca="1">C44</f>
        <v>22</v>
      </c>
      <c r="D116" s="13">
        <v>32</v>
      </c>
      <c r="E116">
        <f>ROUND(POWER(A116*D116/100,AM116),0)</f>
        <v>25</v>
      </c>
      <c r="I116" s="13">
        <v>12</v>
      </c>
      <c r="J116">
        <f>ROUND(POWER($A$28*I116/100,$AM$28),0)</f>
        <v>15</v>
      </c>
      <c r="K116" s="2">
        <v>3</v>
      </c>
      <c r="L116">
        <f ca="1">ROUND(30/K116*P116*N116,2)</f>
        <v>10.15</v>
      </c>
      <c r="M116" s="13">
        <v>0</v>
      </c>
      <c r="N116" s="16">
        <f ca="1">OFFSET(其他表格!$G$2,M116/100,0)</f>
        <v>0.7</v>
      </c>
      <c r="O116" s="13">
        <v>7</v>
      </c>
      <c r="P116" s="16">
        <f ca="1">OFFSET(其他表格!$B$1,O116,0)</f>
        <v>1.45</v>
      </c>
      <c r="Q116">
        <f>ROUND((E116+200)*AN116,2)</f>
        <v>33.75</v>
      </c>
      <c r="R116">
        <f>ROUND(($E$28+200)*$AN$28,2)</f>
        <v>30</v>
      </c>
      <c r="S116">
        <f>ROUND(POWER((E116+200-$J$28-200+AP116),2)/AO116,2)</f>
        <v>45.94</v>
      </c>
      <c r="T116">
        <f>ROUND(POWER(($E$28+200-J116-200+AP116),2)/AO116,2)</f>
        <v>39.200000000000003</v>
      </c>
      <c r="U116">
        <f ca="1">ROUND((Q116+S116)*(A116+A116)/AQ116*L116,0)</f>
        <v>162</v>
      </c>
      <c r="V116">
        <f ca="1">ROUND((R116+T116)*(A116+A116)/AQ116*L116,0)</f>
        <v>140</v>
      </c>
      <c r="W116" s="70">
        <f ca="1">MIN(ROUND(U116/A116,4),1)</f>
        <v>8.1000000000000003E-2</v>
      </c>
      <c r="X116" s="70">
        <f ca="1">MIN(ROUND(V116/A116,4),1)</f>
        <v>7.0000000000000007E-2</v>
      </c>
      <c r="Y116"/>
      <c r="Z116"/>
      <c r="AA116"/>
      <c r="AB116" s="70"/>
      <c r="AC116"/>
      <c r="AD116" s="71"/>
      <c r="AE116" s="71"/>
      <c r="AF116" s="70"/>
      <c r="AG116" s="71"/>
      <c r="AH116" s="71"/>
      <c r="AI116" s="70"/>
      <c r="AJ116" s="71"/>
      <c r="AK116" s="71"/>
      <c r="AL116" s="70"/>
      <c r="AM116" s="57">
        <v>0.5</v>
      </c>
      <c r="AN116" s="57">
        <v>0.15</v>
      </c>
      <c r="AO116" s="57">
        <v>6000</v>
      </c>
      <c r="AP116" s="57">
        <v>500</v>
      </c>
      <c r="AQ116" s="57">
        <v>20000</v>
      </c>
      <c r="AU116" s="70"/>
      <c r="AV116" s="9"/>
      <c r="BI116" s="57"/>
      <c r="BJ116" s="57"/>
    </row>
    <row r="117" spans="1:62">
      <c r="A117">
        <v>5000</v>
      </c>
      <c r="B117" s="53">
        <f ca="1">ROUND(((U117-$U$29)+($V$29-V117)),0)</f>
        <v>85</v>
      </c>
      <c r="C117" s="54">
        <f ca="1">C45</f>
        <v>85</v>
      </c>
      <c r="D117" s="13">
        <v>32</v>
      </c>
      <c r="E117">
        <f>ROUND(POWER(A117*D117/100,AM117),0)</f>
        <v>40</v>
      </c>
      <c r="I117" s="13">
        <v>12</v>
      </c>
      <c r="J117">
        <f>ROUND(POWER($A$29*I117/100,$AM$29),0)</f>
        <v>24</v>
      </c>
      <c r="K117" s="2">
        <v>3</v>
      </c>
      <c r="L117">
        <f ca="1">ROUND(30/K117*P117*N117,2)</f>
        <v>10.15</v>
      </c>
      <c r="M117" s="13">
        <v>0</v>
      </c>
      <c r="N117" s="16">
        <f ca="1">OFFSET(其他表格!$G$2,M117/100,0)</f>
        <v>0.7</v>
      </c>
      <c r="O117" s="13">
        <v>7</v>
      </c>
      <c r="P117" s="16">
        <f ca="1">OFFSET(其他表格!$B$1,O117,0)</f>
        <v>1.45</v>
      </c>
      <c r="Q117">
        <f>ROUND((E117+200)*AN117,2)</f>
        <v>36</v>
      </c>
      <c r="R117">
        <f>ROUND(($E$29+200)*$AN$29,2)</f>
        <v>30</v>
      </c>
      <c r="S117">
        <f>ROUND(POWER((E117+200-$J$29-200+AP117),2)/AO117,2)</f>
        <v>48.6</v>
      </c>
      <c r="T117">
        <f>ROUND(POWER(($E$29+200-J117-200+AP117),2)/AO117,2)</f>
        <v>37.76</v>
      </c>
      <c r="U117">
        <f ca="1">ROUND((Q117+S117)*(A117+A117)/AQ117*L117,0)</f>
        <v>429</v>
      </c>
      <c r="V117">
        <f ca="1">ROUND((R117+T117)*(A117+A117)/AQ117*L117,0)</f>
        <v>344</v>
      </c>
      <c r="W117" s="70">
        <f ca="1">MIN(ROUND(U117/A117,4),1)</f>
        <v>8.5800000000000001E-2</v>
      </c>
      <c r="X117" s="70">
        <f ca="1">MIN(ROUND(V117/A117,4),1)</f>
        <v>6.88E-2</v>
      </c>
      <c r="Y117"/>
      <c r="Z117"/>
      <c r="AA117"/>
      <c r="AB117" s="70"/>
      <c r="AC117"/>
      <c r="AD117" s="71"/>
      <c r="AE117" s="71"/>
      <c r="AF117" s="70"/>
      <c r="AG117" s="71"/>
      <c r="AH117" s="71"/>
      <c r="AI117" s="70"/>
      <c r="AJ117" s="71"/>
      <c r="AK117" s="71"/>
      <c r="AL117" s="70"/>
      <c r="AM117" s="57">
        <v>0.5</v>
      </c>
      <c r="AN117" s="57">
        <v>0.15</v>
      </c>
      <c r="AO117" s="57">
        <v>6000</v>
      </c>
      <c r="AP117" s="57">
        <v>500</v>
      </c>
      <c r="AQ117" s="57">
        <v>20000</v>
      </c>
      <c r="AU117" s="70"/>
      <c r="AV117" s="9"/>
      <c r="BI117" s="57"/>
      <c r="BJ117" s="57"/>
    </row>
    <row r="118" spans="1:62">
      <c r="D118" s="13"/>
      <c r="I118" s="13"/>
      <c r="M118" s="13"/>
      <c r="O118" s="13"/>
      <c r="P118" s="16"/>
      <c r="W118" s="70"/>
      <c r="X118" s="70"/>
      <c r="Y118"/>
      <c r="Z118"/>
      <c r="AA118"/>
      <c r="AB118" s="70"/>
      <c r="AC118"/>
      <c r="AD118" s="71"/>
      <c r="AE118" s="71"/>
      <c r="AF118" s="70"/>
      <c r="AG118" s="71"/>
      <c r="AH118" s="71"/>
      <c r="AI118" s="70"/>
      <c r="AJ118" s="71"/>
      <c r="AK118" s="71"/>
      <c r="AL118" s="70"/>
      <c r="AU118" s="70"/>
      <c r="AV118" s="9"/>
      <c r="BI118" s="57"/>
      <c r="BJ118" s="57"/>
    </row>
    <row r="119" spans="1:62" s="52" customFormat="1">
      <c r="A119" s="52" t="s">
        <v>184</v>
      </c>
      <c r="B119" s="66"/>
      <c r="C119" s="66"/>
      <c r="F119" s="67"/>
      <c r="H119" s="68"/>
      <c r="K119" s="69"/>
      <c r="AR119" s="74"/>
      <c r="AV119" s="54"/>
      <c r="AW119" s="77"/>
      <c r="AX119" s="78"/>
      <c r="BB119" s="79"/>
      <c r="BD119" s="79"/>
      <c r="BG119" s="57"/>
      <c r="BH119" s="57"/>
    </row>
    <row r="120" spans="1:62">
      <c r="A120">
        <v>100</v>
      </c>
      <c r="B120" s="53">
        <f t="shared" ref="B120" ca="1" si="200">ROUND(((U120-$U$29)+($V$29-V120)),0)</f>
        <v>0</v>
      </c>
      <c r="C120" s="54">
        <f t="shared" ref="C120" si="201">C48</f>
        <v>22</v>
      </c>
      <c r="D120" s="13">
        <v>77</v>
      </c>
      <c r="E120">
        <f t="shared" ref="E120" si="202">ROUND(POWER(A120*D120/100,AM120),0)</f>
        <v>9</v>
      </c>
      <c r="I120" s="13">
        <v>25</v>
      </c>
      <c r="J120">
        <f>ROUND(POWER($A$24*I120/100,$AM$24),0)</f>
        <v>5</v>
      </c>
      <c r="K120" s="2">
        <v>3</v>
      </c>
      <c r="L120">
        <f t="shared" ref="L120" ca="1" si="203">ROUND(30/K120*P120*N120,2)</f>
        <v>11.2</v>
      </c>
      <c r="M120" s="13">
        <v>0</v>
      </c>
      <c r="N120" s="16">
        <f ca="1">OFFSET(其他表格!$G$2,M120/100,0)</f>
        <v>0.7</v>
      </c>
      <c r="O120" s="13">
        <v>10</v>
      </c>
      <c r="P120" s="16">
        <f ca="1">OFFSET(其他表格!$B$1,O120,0)</f>
        <v>1.6</v>
      </c>
      <c r="Q120">
        <f t="shared" ref="Q120" si="204">ROUND((E120+200)*AN120,2)</f>
        <v>31.35</v>
      </c>
      <c r="R120">
        <f>ROUND(($E$24+200)*$AN$24,2)</f>
        <v>30</v>
      </c>
      <c r="S120">
        <f>ROUND(POWER((E120+200-$J$24-200+AP120),2)/AO120,2)</f>
        <v>43.18</v>
      </c>
      <c r="T120">
        <f>ROUND(POWER(($E$24+200-J120-200+AP120),2)/AO120,2)</f>
        <v>40.840000000000003</v>
      </c>
      <c r="U120">
        <f t="shared" ref="U120" ca="1" si="205">ROUND((Q120+S120)*(A120+A120)/AQ120*L120,0)</f>
        <v>8</v>
      </c>
      <c r="V120">
        <f t="shared" ref="V120" ca="1" si="206">ROUND((R120+T120)*(A120+A120)/AQ120*L120,0)</f>
        <v>8</v>
      </c>
      <c r="W120" s="70">
        <f t="shared" ref="W120" ca="1" si="207">MIN(ROUND(U120/A120,4),1)</f>
        <v>0.08</v>
      </c>
      <c r="X120" s="70">
        <f t="shared" ref="X120" ca="1" si="208">MIN(ROUND(V120/A120,4),1)</f>
        <v>0.08</v>
      </c>
      <c r="Y120"/>
      <c r="Z120"/>
      <c r="AA120"/>
      <c r="AB120" s="70"/>
      <c r="AC120"/>
      <c r="AD120" s="71"/>
      <c r="AE120" s="71"/>
      <c r="AF120" s="70"/>
      <c r="AG120" s="71"/>
      <c r="AH120" s="71"/>
      <c r="AI120" s="70"/>
      <c r="AJ120" s="71"/>
      <c r="AK120" s="71"/>
      <c r="AL120" s="70"/>
      <c r="AM120" s="57">
        <v>0.5</v>
      </c>
      <c r="AN120" s="57">
        <v>0.15</v>
      </c>
      <c r="AO120" s="57">
        <v>6000</v>
      </c>
      <c r="AP120" s="57">
        <v>500</v>
      </c>
      <c r="AQ120" s="57">
        <v>20000</v>
      </c>
      <c r="AU120" s="70"/>
      <c r="AV120" s="9"/>
      <c r="BI120" s="57"/>
      <c r="BJ120" s="57"/>
    </row>
    <row r="121" spans="1:62">
      <c r="A121">
        <v>200</v>
      </c>
      <c r="B121" s="53">
        <f ca="1">ROUND(((U121-$U$29)+($V$29-V121)),0)</f>
        <v>1</v>
      </c>
      <c r="C121" s="54">
        <f ca="1">C49</f>
        <v>3</v>
      </c>
      <c r="D121" s="13">
        <v>77</v>
      </c>
      <c r="E121">
        <f>ROUND(POWER(A121*D121/100,AM121),0)</f>
        <v>12</v>
      </c>
      <c r="I121" s="13">
        <v>25</v>
      </c>
      <c r="J121">
        <f>ROUND(POWER($A$25*I121/100,$AM$25),0)</f>
        <v>7</v>
      </c>
      <c r="K121" s="2">
        <v>3</v>
      </c>
      <c r="L121">
        <f ca="1">ROUND(30/K121*P121*N121,2)</f>
        <v>11.2</v>
      </c>
      <c r="M121" s="13">
        <v>0</v>
      </c>
      <c r="N121" s="16">
        <f ca="1">OFFSET(其他表格!$G$2,M121/100,0)</f>
        <v>0.7</v>
      </c>
      <c r="O121" s="13">
        <v>10</v>
      </c>
      <c r="P121" s="16">
        <f ca="1">OFFSET(其他表格!$B$1,O121,0)</f>
        <v>1.6</v>
      </c>
      <c r="Q121">
        <f>ROUND((E121+200)*AN121,2)</f>
        <v>31.8</v>
      </c>
      <c r="R121">
        <f>ROUND(($E$25+200)*$AN$25,2)</f>
        <v>30</v>
      </c>
      <c r="S121">
        <f>ROUND(POWER((E121+200-$J$25-200+AP121),2)/AO121,2)</f>
        <v>43.69</v>
      </c>
      <c r="T121">
        <f>ROUND(POWER(($E$25+200-J121-200+AP121),2)/AO121,2)</f>
        <v>40.51</v>
      </c>
      <c r="U121">
        <f ca="1">ROUND((Q121+S121)*(A121+A121)/AQ121*L121,0)</f>
        <v>17</v>
      </c>
      <c r="V121">
        <f ca="1">ROUND((R121+T121)*(A121+A121)/AQ121*L121,0)</f>
        <v>16</v>
      </c>
      <c r="W121" s="70">
        <f ca="1">MIN(ROUND(U121/A121,4),1)</f>
        <v>8.5000000000000006E-2</v>
      </c>
      <c r="X121" s="70">
        <f ca="1">MIN(ROUND(V121/A121,4),1)</f>
        <v>0.08</v>
      </c>
      <c r="Y121"/>
      <c r="Z121"/>
      <c r="AA121"/>
      <c r="AB121" s="70"/>
      <c r="AC121"/>
      <c r="AD121" s="71"/>
      <c r="AE121" s="71"/>
      <c r="AF121" s="70"/>
      <c r="AG121" s="71"/>
      <c r="AH121" s="71"/>
      <c r="AI121" s="70"/>
      <c r="AJ121" s="71"/>
      <c r="AK121" s="71"/>
      <c r="AL121" s="70"/>
      <c r="AM121" s="57">
        <v>0.5</v>
      </c>
      <c r="AN121" s="57">
        <v>0.15</v>
      </c>
      <c r="AO121" s="57">
        <v>6000</v>
      </c>
      <c r="AP121" s="57">
        <v>500</v>
      </c>
      <c r="AQ121" s="57">
        <v>20000</v>
      </c>
      <c r="AU121" s="70"/>
      <c r="AV121" s="9"/>
      <c r="BI121" s="57"/>
      <c r="BJ121" s="57"/>
    </row>
    <row r="122" spans="1:62">
      <c r="A122">
        <v>500</v>
      </c>
      <c r="B122" s="53">
        <f ca="1">ROUND(((U122-$U$29)+($V$29-V122)),0)</f>
        <v>5</v>
      </c>
      <c r="C122" s="54">
        <f ca="1">C50</f>
        <v>5</v>
      </c>
      <c r="D122" s="13">
        <v>77</v>
      </c>
      <c r="E122">
        <f>ROUND(POWER(A122*D122/100,AM122),0)</f>
        <v>20</v>
      </c>
      <c r="I122" s="13">
        <v>25</v>
      </c>
      <c r="J122">
        <f>ROUND(POWER($A$26*I122/100,$AM$26),0)</f>
        <v>11</v>
      </c>
      <c r="K122" s="2">
        <v>3</v>
      </c>
      <c r="L122">
        <f ca="1">ROUND(30/K122*P122*N122,2)</f>
        <v>11.2</v>
      </c>
      <c r="M122" s="13">
        <v>0</v>
      </c>
      <c r="N122" s="16">
        <f ca="1">OFFSET(其他表格!$G$2,M122/100,0)</f>
        <v>0.7</v>
      </c>
      <c r="O122" s="13">
        <v>10</v>
      </c>
      <c r="P122" s="16">
        <f ca="1">OFFSET(其他表格!$B$1,O122,0)</f>
        <v>1.6</v>
      </c>
      <c r="Q122">
        <f>ROUND((E122+200)*AN122,2)</f>
        <v>33</v>
      </c>
      <c r="R122">
        <f>ROUND(($E$26+200)*$AN$26,2)</f>
        <v>30</v>
      </c>
      <c r="S122">
        <f>ROUND(POWER((E122+200-$J$26-200+AP122),2)/AO122,2)</f>
        <v>45.07</v>
      </c>
      <c r="T122">
        <f>ROUND(POWER(($E$26+200-J122-200+AP122),2)/AO122,2)</f>
        <v>39.85</v>
      </c>
      <c r="U122">
        <f ca="1">ROUND((Q122+S122)*(A122+A122)/AQ122*L122,0)</f>
        <v>44</v>
      </c>
      <c r="V122">
        <f ca="1">ROUND((R122+T122)*(A122+A122)/AQ122*L122,0)</f>
        <v>39</v>
      </c>
      <c r="W122" s="70">
        <f ca="1">MIN(ROUND(U122/A122,4),1)</f>
        <v>8.7999999999999995E-2</v>
      </c>
      <c r="X122" s="70">
        <f ca="1">MIN(ROUND(V122/A122,4),1)</f>
        <v>7.8E-2</v>
      </c>
      <c r="Y122"/>
      <c r="Z122"/>
      <c r="AA122"/>
      <c r="AB122" s="70"/>
      <c r="AC122"/>
      <c r="AD122" s="71"/>
      <c r="AE122" s="71"/>
      <c r="AF122" s="70"/>
      <c r="AG122" s="71"/>
      <c r="AH122" s="71"/>
      <c r="AI122" s="70"/>
      <c r="AJ122" s="71"/>
      <c r="AK122" s="71"/>
      <c r="AL122" s="70"/>
      <c r="AM122" s="57">
        <v>0.5</v>
      </c>
      <c r="AN122" s="57">
        <v>0.15</v>
      </c>
      <c r="AO122" s="57">
        <v>6000</v>
      </c>
      <c r="AP122" s="57">
        <v>500</v>
      </c>
      <c r="AQ122" s="57">
        <v>20000</v>
      </c>
      <c r="AU122" s="70"/>
      <c r="AV122" s="9"/>
      <c r="BI122" s="57"/>
      <c r="BJ122" s="57"/>
    </row>
    <row r="123" spans="1:62">
      <c r="A123">
        <v>1000</v>
      </c>
      <c r="B123" s="53">
        <f ca="1">ROUND(((U123-$U$29)+($V$29-V123)),0)</f>
        <v>13</v>
      </c>
      <c r="C123" s="54">
        <f ca="1">C51</f>
        <v>15</v>
      </c>
      <c r="D123" s="13">
        <v>77</v>
      </c>
      <c r="E123">
        <f>ROUND(POWER(A123*D123/100,AM123),0)</f>
        <v>28</v>
      </c>
      <c r="I123" s="13">
        <v>25</v>
      </c>
      <c r="J123">
        <f>ROUND(POWER($A$27*I123/100,$AM$27),0)</f>
        <v>16</v>
      </c>
      <c r="K123" s="2">
        <v>3</v>
      </c>
      <c r="L123">
        <f ca="1">ROUND(30/K123*P123*N123,2)</f>
        <v>11.2</v>
      </c>
      <c r="M123" s="13">
        <v>0</v>
      </c>
      <c r="N123" s="16">
        <f ca="1">OFFSET(其他表格!$G$2,M123/100,0)</f>
        <v>0.7</v>
      </c>
      <c r="O123" s="13">
        <v>10</v>
      </c>
      <c r="P123" s="16">
        <f ca="1">OFFSET(其他表格!$B$1,O123,0)</f>
        <v>1.6</v>
      </c>
      <c r="Q123">
        <f>ROUND((E123+200)*AN123,2)</f>
        <v>34.200000000000003</v>
      </c>
      <c r="R123">
        <f>ROUND(($E$27+200)*$AN$27,2)</f>
        <v>30</v>
      </c>
      <c r="S123">
        <f>ROUND(POWER((E123+200-$J$27-200+AP123),2)/AO123,2)</f>
        <v>46.46</v>
      </c>
      <c r="T123">
        <f>ROUND(POWER(($E$27+200-J123-200+AP123),2)/AO123,2)</f>
        <v>39.04</v>
      </c>
      <c r="U123">
        <f ca="1">ROUND((Q123+S123)*(A123+A123)/AQ123*L123,0)</f>
        <v>90</v>
      </c>
      <c r="V123">
        <f ca="1">ROUND((R123+T123)*(A123+A123)/AQ123*L123,0)</f>
        <v>77</v>
      </c>
      <c r="W123" s="70">
        <f ca="1">MIN(ROUND(U123/A123,4),1)</f>
        <v>0.09</v>
      </c>
      <c r="X123" s="70">
        <f ca="1">MIN(ROUND(V123/A123,4),1)</f>
        <v>7.6999999999999999E-2</v>
      </c>
      <c r="Y123"/>
      <c r="Z123"/>
      <c r="AA123"/>
      <c r="AB123" s="70"/>
      <c r="AC123"/>
      <c r="AD123" s="71"/>
      <c r="AE123" s="71"/>
      <c r="AF123" s="70"/>
      <c r="AG123" s="71"/>
      <c r="AH123" s="71"/>
      <c r="AI123" s="70"/>
      <c r="AJ123" s="71"/>
      <c r="AK123" s="71"/>
      <c r="AL123" s="70"/>
      <c r="AM123" s="57">
        <v>0.5</v>
      </c>
      <c r="AN123" s="57">
        <v>0.15</v>
      </c>
      <c r="AO123" s="57">
        <v>6000</v>
      </c>
      <c r="AP123" s="57">
        <v>500</v>
      </c>
      <c r="AQ123" s="57">
        <v>20000</v>
      </c>
      <c r="AU123" s="70"/>
      <c r="AV123" s="9"/>
      <c r="BI123" s="57"/>
      <c r="BJ123" s="57"/>
    </row>
    <row r="124" spans="1:62">
      <c r="A124">
        <v>2000</v>
      </c>
      <c r="B124" s="53">
        <f ca="1">ROUND(((U124-$U$29)+($V$29-V124)),0)</f>
        <v>37</v>
      </c>
      <c r="C124" s="54">
        <f ca="1">C52</f>
        <v>37</v>
      </c>
      <c r="D124" s="13">
        <v>77</v>
      </c>
      <c r="E124">
        <f>ROUND(POWER(A124*D124/100,AM124),0)</f>
        <v>39</v>
      </c>
      <c r="I124" s="13">
        <v>25</v>
      </c>
      <c r="J124">
        <f>ROUND(POWER($A$28*I124/100,$AM$28),0)</f>
        <v>22</v>
      </c>
      <c r="K124" s="2">
        <v>3</v>
      </c>
      <c r="L124">
        <f ca="1">ROUND(30/K124*P124*N124,2)</f>
        <v>11.2</v>
      </c>
      <c r="M124" s="13">
        <v>0</v>
      </c>
      <c r="N124" s="16">
        <f ca="1">OFFSET(其他表格!$G$2,M124/100,0)</f>
        <v>0.7</v>
      </c>
      <c r="O124" s="13">
        <v>10</v>
      </c>
      <c r="P124" s="16">
        <f ca="1">OFFSET(其他表格!$B$1,O124,0)</f>
        <v>1.6</v>
      </c>
      <c r="Q124">
        <f>ROUND((E124+200)*AN124,2)</f>
        <v>35.85</v>
      </c>
      <c r="R124">
        <f>ROUND(($E$28+200)*$AN$28,2)</f>
        <v>30</v>
      </c>
      <c r="S124">
        <f>ROUND(POWER((E124+200-$J$28-200+AP124),2)/AO124,2)</f>
        <v>48.42</v>
      </c>
      <c r="T124">
        <f>ROUND(POWER(($E$28+200-J124-200+AP124),2)/AO124,2)</f>
        <v>38.08</v>
      </c>
      <c r="U124">
        <f ca="1">ROUND((Q124+S124)*(A124+A124)/AQ124*L124,0)</f>
        <v>189</v>
      </c>
      <c r="V124">
        <f ca="1">ROUND((R124+T124)*(A124+A124)/AQ124*L124,0)</f>
        <v>152</v>
      </c>
      <c r="W124" s="70">
        <f ca="1">MIN(ROUND(U124/A124,4),1)</f>
        <v>9.4500000000000001E-2</v>
      </c>
      <c r="X124" s="70">
        <f ca="1">MIN(ROUND(V124/A124,4),1)</f>
        <v>7.5999999999999998E-2</v>
      </c>
      <c r="Y124"/>
      <c r="Z124"/>
      <c r="AA124"/>
      <c r="AB124" s="70"/>
      <c r="AC124"/>
      <c r="AD124" s="71"/>
      <c r="AE124" s="71"/>
      <c r="AF124" s="70"/>
      <c r="AG124" s="71"/>
      <c r="AH124" s="71"/>
      <c r="AI124" s="70"/>
      <c r="AJ124" s="71"/>
      <c r="AK124" s="71"/>
      <c r="AL124" s="70"/>
      <c r="AM124" s="57">
        <v>0.5</v>
      </c>
      <c r="AN124" s="57">
        <v>0.15</v>
      </c>
      <c r="AO124" s="57">
        <v>6000</v>
      </c>
      <c r="AP124" s="57">
        <v>500</v>
      </c>
      <c r="AQ124" s="57">
        <v>20000</v>
      </c>
      <c r="AU124" s="70"/>
      <c r="AV124" s="9"/>
      <c r="BI124" s="57"/>
      <c r="BJ124" s="57"/>
    </row>
    <row r="125" spans="1:62">
      <c r="A125">
        <v>5000</v>
      </c>
      <c r="B125" s="53">
        <f ca="1">ROUND(((U125-$U$29)+($V$29-V125)),0)</f>
        <v>145</v>
      </c>
      <c r="C125" s="54">
        <f ca="1">C53</f>
        <v>145</v>
      </c>
      <c r="D125" s="13">
        <v>77</v>
      </c>
      <c r="E125">
        <f>ROUND(POWER(A125*D125/100,AM125),0)</f>
        <v>62</v>
      </c>
      <c r="I125" s="13">
        <v>25</v>
      </c>
      <c r="J125">
        <f>ROUND(POWER($A$29*I125/100,$AM$29),0)</f>
        <v>35</v>
      </c>
      <c r="K125" s="2">
        <v>3</v>
      </c>
      <c r="L125">
        <f ca="1">ROUND(30/K125*P125*N125,2)</f>
        <v>11.2</v>
      </c>
      <c r="M125" s="13">
        <v>0</v>
      </c>
      <c r="N125" s="16">
        <f ca="1">OFFSET(其他表格!$G$2,M125/100,0)</f>
        <v>0.7</v>
      </c>
      <c r="O125" s="13">
        <v>10</v>
      </c>
      <c r="P125" s="16">
        <f ca="1">OFFSET(其他表格!$B$1,O125,0)</f>
        <v>1.6</v>
      </c>
      <c r="Q125">
        <f>ROUND((E125+200)*AN125,2)</f>
        <v>39.299999999999997</v>
      </c>
      <c r="R125">
        <f>ROUND(($E$29+200)*$AN$29,2)</f>
        <v>30</v>
      </c>
      <c r="S125">
        <f>ROUND(POWER((E125+200-$J$29-200+AP125),2)/AO125,2)</f>
        <v>52.64</v>
      </c>
      <c r="T125">
        <f>ROUND(POWER(($E$29+200-J125-200+AP125),2)/AO125,2)</f>
        <v>36.04</v>
      </c>
      <c r="U125">
        <f ca="1">ROUND((Q125+S125)*(A125+A125)/AQ125*L125,0)</f>
        <v>515</v>
      </c>
      <c r="V125">
        <f ca="1">ROUND((R125+T125)*(A125+A125)/AQ125*L125,0)</f>
        <v>370</v>
      </c>
      <c r="W125" s="70">
        <f ca="1">MIN(ROUND(U125/A125,4),1)</f>
        <v>0.10299999999999999</v>
      </c>
      <c r="X125" s="70">
        <f ca="1">MIN(ROUND(V125/A125,4),1)</f>
        <v>7.3999999999999996E-2</v>
      </c>
      <c r="Y125"/>
      <c r="Z125"/>
      <c r="AA125"/>
      <c r="AB125" s="70"/>
      <c r="AC125"/>
      <c r="AD125" s="71"/>
      <c r="AE125" s="71"/>
      <c r="AF125" s="70"/>
      <c r="AG125" s="71"/>
      <c r="AH125" s="71"/>
      <c r="AI125" s="70"/>
      <c r="AJ125" s="71"/>
      <c r="AK125" s="71"/>
      <c r="AL125" s="70"/>
      <c r="AM125" s="57">
        <v>0.5</v>
      </c>
      <c r="AN125" s="57">
        <v>0.15</v>
      </c>
      <c r="AO125" s="57">
        <v>6000</v>
      </c>
      <c r="AP125" s="57">
        <v>500</v>
      </c>
      <c r="AQ125" s="57">
        <v>20000</v>
      </c>
      <c r="AU125" s="70"/>
      <c r="AV125" s="9"/>
      <c r="BI125" s="57"/>
      <c r="BJ125" s="57"/>
    </row>
  </sheetData>
  <phoneticPr fontId="8" type="noConversion"/>
  <pageMargins left="0.69930555555555596" right="0.69930555555555596" top="0.75" bottom="0.75" header="0.3" footer="0.3"/>
  <pageSetup paperSize="9" orientation="portrait" horizontalDpi="2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workbookViewId="0">
      <pane xSplit="1" ySplit="2" topLeftCell="B3" activePane="bottomRight" state="frozen"/>
      <selection pane="topRight"/>
      <selection pane="bottomLeft"/>
      <selection pane="bottomRight" activeCell="G36" sqref="G36"/>
    </sheetView>
  </sheetViews>
  <sheetFormatPr defaultColWidth="9" defaultRowHeight="13.5"/>
  <cols>
    <col min="1" max="1" width="8.25" customWidth="1"/>
    <col min="2" max="2" width="9" style="16"/>
    <col min="3" max="3" width="7.5" style="16" customWidth="1"/>
    <col min="4" max="4" width="10.375" style="44" customWidth="1"/>
    <col min="5" max="5" width="13" style="44" customWidth="1"/>
    <col min="6" max="6" width="12.5" style="44" customWidth="1"/>
    <col min="7" max="7" width="10.375" style="44" customWidth="1"/>
    <col min="8" max="8" width="13.25" style="44" customWidth="1"/>
    <col min="9" max="9" width="9.875" style="45" customWidth="1"/>
    <col min="10" max="10" width="7.5" style="44" customWidth="1"/>
    <col min="11" max="13" width="9" style="16"/>
    <col min="14" max="14" width="15" style="16" customWidth="1"/>
    <col min="15" max="15" width="15.125" style="44" customWidth="1"/>
    <col min="16" max="16" width="16" style="46" customWidth="1"/>
    <col min="17" max="17" width="7.5" style="5" hidden="1" customWidth="1"/>
    <col min="18" max="18" width="15.75" style="46" customWidth="1"/>
    <col min="19" max="19" width="9" style="16" hidden="1" customWidth="1"/>
    <col min="20" max="20" width="12.75" style="46" customWidth="1"/>
    <col min="21" max="21" width="9" style="16" hidden="1" customWidth="1"/>
    <col min="22" max="22" width="12.75" style="46" customWidth="1"/>
    <col min="23" max="23" width="9" style="16" hidden="1" customWidth="1"/>
    <col min="24" max="24" width="14.125" style="44" customWidth="1"/>
    <col min="25" max="25" width="9" style="16" hidden="1" customWidth="1"/>
    <col min="26" max="26" width="13.25" style="44" customWidth="1"/>
    <col min="27" max="27" width="9" style="16" hidden="1" customWidth="1"/>
    <col min="28" max="28" width="14.375" style="16" customWidth="1"/>
    <col min="29" max="29" width="9" style="16" hidden="1" customWidth="1"/>
    <col min="30" max="30" width="13" style="16" customWidth="1"/>
    <col min="31" max="31" width="8.25" style="16" hidden="1" customWidth="1"/>
    <col min="32" max="32" width="11.625" style="16" customWidth="1"/>
    <col min="33" max="33" width="9" style="16" hidden="1" customWidth="1"/>
    <col min="34" max="34" width="13.125" style="16" customWidth="1"/>
    <col min="35" max="35" width="9" style="16" hidden="1" customWidth="1"/>
    <col min="36" max="16384" width="9" style="16"/>
  </cols>
  <sheetData>
    <row r="1" spans="1:35">
      <c r="A1" t="s">
        <v>185</v>
      </c>
      <c r="P1" s="46" t="s">
        <v>186</v>
      </c>
    </row>
    <row r="2" spans="1:35" s="4" customFormat="1" ht="27">
      <c r="B2" s="4" t="s">
        <v>187</v>
      </c>
      <c r="C2" s="4" t="s">
        <v>188</v>
      </c>
      <c r="D2" s="47" t="s">
        <v>189</v>
      </c>
      <c r="E2" s="47" t="s">
        <v>190</v>
      </c>
      <c r="F2" s="47" t="s">
        <v>191</v>
      </c>
      <c r="G2" s="47" t="s">
        <v>192</v>
      </c>
      <c r="H2" s="47" t="s">
        <v>193</v>
      </c>
      <c r="I2" s="48" t="s">
        <v>194</v>
      </c>
      <c r="K2" s="4" t="s">
        <v>195</v>
      </c>
      <c r="L2" s="4" t="s">
        <v>196</v>
      </c>
      <c r="M2" s="4" t="s">
        <v>197</v>
      </c>
      <c r="O2" s="44" t="s">
        <v>198</v>
      </c>
      <c r="P2" s="49" t="str">
        <f>基本公式!A88</f>
        <v>建造</v>
      </c>
      <c r="Q2" s="50" t="s">
        <v>199</v>
      </c>
      <c r="R2" s="49" t="str">
        <f>基本公式!A89</f>
        <v>部队运输</v>
      </c>
      <c r="S2" s="4" t="s">
        <v>200</v>
      </c>
      <c r="T2" s="49" t="str">
        <f>基本公式!A90</f>
        <v>训练</v>
      </c>
      <c r="U2" s="4" t="s">
        <v>201</v>
      </c>
      <c r="V2" s="49" t="str">
        <f>基本公式!A91</f>
        <v>人口的基本消费</v>
      </c>
      <c r="W2" s="4" t="s">
        <v>202</v>
      </c>
      <c r="X2" s="47" t="str">
        <f>基本公式!A97</f>
        <v>科研</v>
      </c>
      <c r="Y2" s="4" t="s">
        <v>203</v>
      </c>
      <c r="Z2" s="47" t="str">
        <f>基本公式!A98</f>
        <v>城防</v>
      </c>
      <c r="AA2" s="4" t="s">
        <v>204</v>
      </c>
      <c r="AB2" s="4" t="str">
        <f>基本公式!A109</f>
        <v>武将俸禄</v>
      </c>
      <c r="AC2" s="4" t="s">
        <v>205</v>
      </c>
      <c r="AD2" s="4" t="str">
        <f>基本公式!A110</f>
        <v>武将招募</v>
      </c>
      <c r="AE2" s="4" t="s">
        <v>206</v>
      </c>
      <c r="AF2" s="4" t="str">
        <f>基本公式!A111</f>
        <v>武将赏赐</v>
      </c>
      <c r="AG2" s="4" t="s">
        <v>207</v>
      </c>
      <c r="AH2" s="4" t="str">
        <f>基本公式!A112</f>
        <v>武将技能</v>
      </c>
      <c r="AI2" s="4" t="s">
        <v>208</v>
      </c>
    </row>
    <row r="3" spans="1:35" s="7" customFormat="1">
      <c r="A3" s="32" t="s">
        <v>92</v>
      </c>
      <c r="D3" s="28"/>
      <c r="E3" s="28"/>
      <c r="F3" s="28"/>
      <c r="G3" s="28"/>
      <c r="H3" s="28"/>
      <c r="I3" s="41"/>
      <c r="J3" s="28"/>
      <c r="O3" s="42"/>
      <c r="P3" s="40"/>
      <c r="Q3" s="43"/>
      <c r="R3" s="40"/>
      <c r="T3" s="40"/>
      <c r="V3" s="40"/>
      <c r="X3" s="28"/>
      <c r="Z3" s="28"/>
    </row>
    <row r="4" spans="1:35">
      <c r="B4" s="16">
        <v>1</v>
      </c>
      <c r="C4" s="16">
        <v>0.1</v>
      </c>
      <c r="D4" s="30">
        <f t="shared" ref="D4" si="0">ROUND(C4*3600*(1+I4),0)</f>
        <v>396</v>
      </c>
      <c r="E4" s="44">
        <f>24*D4</f>
        <v>9504</v>
      </c>
      <c r="F4" s="44">
        <f t="shared" ref="F4" si="1">E4*G4</f>
        <v>9504</v>
      </c>
      <c r="G4" s="44">
        <v>1</v>
      </c>
      <c r="H4" s="30">
        <f>3*F4</f>
        <v>28512</v>
      </c>
      <c r="I4" s="45">
        <f t="shared" ref="I4" si="2">I5-0.1</f>
        <v>9.9999999999999395E-2</v>
      </c>
      <c r="K4" s="16">
        <f>C4+C26+C48</f>
        <v>0.3</v>
      </c>
      <c r="L4" s="16">
        <f t="shared" ref="L4" si="3">M4-M3</f>
        <v>0.01</v>
      </c>
      <c r="M4" s="16">
        <v>0.01</v>
      </c>
      <c r="O4" s="44">
        <f>M4*F4*基本公式!$B$150</f>
        <v>190.08</v>
      </c>
      <c r="P4" s="46">
        <f t="shared" ref="P4" si="4">ROUND(O4*Q4,0)</f>
        <v>57</v>
      </c>
      <c r="Q4" s="5">
        <v>0.3</v>
      </c>
      <c r="R4" s="46">
        <f t="shared" ref="R4" si="5">ROUND(O4*S4,0)</f>
        <v>67</v>
      </c>
      <c r="S4" s="5">
        <v>0.35</v>
      </c>
      <c r="T4" s="46">
        <f>ROUND(O4*U4+其他表格!S2,0)</f>
        <v>4029</v>
      </c>
      <c r="U4" s="5">
        <v>0.15</v>
      </c>
      <c r="V4" s="46">
        <f t="shared" ref="V4" si="6">ROUND(O4*W4,0)</f>
        <v>38</v>
      </c>
      <c r="W4" s="5">
        <v>0.2</v>
      </c>
    </row>
    <row r="5" spans="1:35">
      <c r="B5" s="16">
        <v>2</v>
      </c>
      <c r="C5" s="16">
        <f>C4+C4</f>
        <v>0.2</v>
      </c>
      <c r="D5" s="30">
        <f t="shared" ref="D5:D23" si="7">ROUND(C5*3600*(1+I5),0)</f>
        <v>864</v>
      </c>
      <c r="E5" s="44">
        <f t="shared" ref="E5" si="8">24*D5</f>
        <v>20736</v>
      </c>
      <c r="F5" s="44">
        <f t="shared" ref="F5:F13" si="9">E5*G5</f>
        <v>20736</v>
      </c>
      <c r="G5" s="44">
        <v>1</v>
      </c>
      <c r="H5" s="30">
        <f t="shared" ref="H5" si="10">3*F5</f>
        <v>62208</v>
      </c>
      <c r="I5" s="45">
        <f t="shared" ref="I5:I22" si="11">I6-0.1</f>
        <v>0.2</v>
      </c>
      <c r="K5" s="16">
        <f t="shared" ref="K5" si="12">C5+C27+C49</f>
        <v>0.6</v>
      </c>
      <c r="L5" s="16">
        <f t="shared" ref="L5:L10" si="13">M5-M4</f>
        <v>0.04</v>
      </c>
      <c r="M5" s="16">
        <v>0.05</v>
      </c>
      <c r="O5" s="44">
        <f>M5*F5*基本公式!$B$150</f>
        <v>2073.6</v>
      </c>
      <c r="P5" s="46">
        <f>ROUND(O5*Q5,0)</f>
        <v>622</v>
      </c>
      <c r="Q5" s="5">
        <v>0.3</v>
      </c>
      <c r="R5" s="46">
        <f>ROUND(O5*S5,0)</f>
        <v>726</v>
      </c>
      <c r="S5" s="5">
        <v>0.35</v>
      </c>
      <c r="T5" s="46">
        <f>ROUND(O5*U5+其他表格!S3,0)</f>
        <v>7311</v>
      </c>
      <c r="U5" s="5">
        <v>0.15</v>
      </c>
      <c r="V5" s="46">
        <f>ROUND(O5*W5,0)</f>
        <v>415</v>
      </c>
      <c r="W5" s="5">
        <v>0.2</v>
      </c>
    </row>
    <row r="6" spans="1:35">
      <c r="B6" s="16">
        <v>3</v>
      </c>
      <c r="C6" s="16">
        <f t="shared" ref="C6" si="14">C5+C4</f>
        <v>0.3</v>
      </c>
      <c r="D6" s="30">
        <f t="shared" si="7"/>
        <v>1404</v>
      </c>
      <c r="E6" s="44">
        <f t="shared" ref="E6:E23" si="15">24*D6</f>
        <v>33696</v>
      </c>
      <c r="F6" s="44">
        <f t="shared" si="9"/>
        <v>33696</v>
      </c>
      <c r="G6" s="44">
        <v>1</v>
      </c>
      <c r="H6" s="30">
        <f t="shared" ref="H6:H13" si="16">3*F6</f>
        <v>101088</v>
      </c>
      <c r="I6" s="45">
        <f t="shared" si="11"/>
        <v>0.29999999999999899</v>
      </c>
      <c r="K6" s="16">
        <f t="shared" ref="K6:K23" si="17">C6+C28+C50</f>
        <v>0.9</v>
      </c>
      <c r="L6" s="16">
        <f t="shared" si="13"/>
        <v>0.15</v>
      </c>
      <c r="M6" s="16">
        <v>0.2</v>
      </c>
      <c r="O6" s="44">
        <f>M6*F6*基本公式!$B$150</f>
        <v>13478.4</v>
      </c>
      <c r="P6" s="46">
        <f>ROUND(O6*Q6,0)</f>
        <v>4044</v>
      </c>
      <c r="Q6" s="5">
        <v>0.3</v>
      </c>
      <c r="R6" s="46">
        <f>ROUND(O6*S6,0)</f>
        <v>4717</v>
      </c>
      <c r="S6" s="5">
        <v>0.35</v>
      </c>
      <c r="T6" s="46">
        <f>ROUND(O6*U6+其他表格!S4,0)</f>
        <v>12022</v>
      </c>
      <c r="U6" s="5">
        <v>0.15</v>
      </c>
      <c r="V6" s="46">
        <f>ROUND(O6*W6,0)</f>
        <v>2696</v>
      </c>
      <c r="W6" s="5">
        <v>0.2</v>
      </c>
    </row>
    <row r="7" spans="1:35">
      <c r="B7" s="16">
        <v>4</v>
      </c>
      <c r="C7" s="16">
        <f>C6+C5</f>
        <v>0.5</v>
      </c>
      <c r="D7" s="30">
        <f t="shared" si="7"/>
        <v>2520</v>
      </c>
      <c r="E7" s="44">
        <f t="shared" si="15"/>
        <v>60480</v>
      </c>
      <c r="F7" s="44">
        <f t="shared" si="9"/>
        <v>60480</v>
      </c>
      <c r="G7" s="44">
        <v>1</v>
      </c>
      <c r="H7" s="30">
        <f t="shared" si="16"/>
        <v>181440</v>
      </c>
      <c r="I7" s="45">
        <f t="shared" si="11"/>
        <v>0.39999999999999902</v>
      </c>
      <c r="K7" s="16">
        <f t="shared" si="17"/>
        <v>1.5</v>
      </c>
      <c r="L7" s="16">
        <f t="shared" si="13"/>
        <v>0.25</v>
      </c>
      <c r="M7" s="16">
        <v>0.45</v>
      </c>
      <c r="O7" s="44">
        <f>M7*F7*基本公式!$B$150</f>
        <v>54432</v>
      </c>
      <c r="P7" s="46">
        <f>ROUND(O7*Q7,0)</f>
        <v>16330</v>
      </c>
      <c r="Q7" s="5">
        <v>0.3</v>
      </c>
      <c r="R7" s="46">
        <f>ROUND(O7*S7,0)</f>
        <v>19051</v>
      </c>
      <c r="S7" s="5">
        <v>0.35</v>
      </c>
      <c r="T7" s="46">
        <f>ROUND(O7*U7+其他表格!S5,0)</f>
        <v>20165</v>
      </c>
      <c r="U7" s="5">
        <v>0.15</v>
      </c>
      <c r="V7" s="46">
        <f>ROUND(O7*W7,0)</f>
        <v>10886</v>
      </c>
      <c r="W7" s="5">
        <v>0.2</v>
      </c>
    </row>
    <row r="8" spans="1:35">
      <c r="B8" s="16">
        <v>5</v>
      </c>
      <c r="C8" s="16">
        <f>C7+C6</f>
        <v>0.8</v>
      </c>
      <c r="D8" s="30">
        <f t="shared" si="7"/>
        <v>4320</v>
      </c>
      <c r="E8" s="44">
        <f t="shared" si="15"/>
        <v>103680</v>
      </c>
      <c r="F8" s="44">
        <f t="shared" si="9"/>
        <v>103680</v>
      </c>
      <c r="G8" s="44">
        <v>1</v>
      </c>
      <c r="H8" s="30">
        <f t="shared" si="16"/>
        <v>311040</v>
      </c>
      <c r="I8" s="45">
        <f t="shared" si="11"/>
        <v>0.499999999999999</v>
      </c>
      <c r="K8" s="16">
        <f t="shared" si="17"/>
        <v>2.4</v>
      </c>
      <c r="L8" s="16">
        <f t="shared" si="13"/>
        <v>0.4</v>
      </c>
      <c r="M8" s="16">
        <v>0.85</v>
      </c>
      <c r="O8" s="44">
        <f>M8*F8*基本公式!$B$150</f>
        <v>176256</v>
      </c>
      <c r="P8" s="46">
        <f>ROUND(O8*Q8,0)</f>
        <v>52877</v>
      </c>
      <c r="Q8" s="5">
        <v>0.3</v>
      </c>
      <c r="R8" s="46">
        <f>ROUND(O8*S8,0)</f>
        <v>61690</v>
      </c>
      <c r="S8" s="5">
        <v>0.35</v>
      </c>
      <c r="T8" s="46">
        <f>ROUND(O8*U8+其他表格!S6,0)</f>
        <v>38438</v>
      </c>
      <c r="U8" s="5">
        <v>0.15</v>
      </c>
      <c r="V8" s="46">
        <f>ROUND(O8*W8,0)</f>
        <v>35251</v>
      </c>
      <c r="W8" s="5">
        <v>0.2</v>
      </c>
    </row>
    <row r="9" spans="1:35">
      <c r="B9" s="16">
        <v>6</v>
      </c>
      <c r="C9" s="16">
        <f>C8+C7</f>
        <v>1.3</v>
      </c>
      <c r="D9" s="30">
        <f t="shared" si="7"/>
        <v>7488</v>
      </c>
      <c r="E9" s="44">
        <f t="shared" si="15"/>
        <v>179712</v>
      </c>
      <c r="F9" s="44">
        <f t="shared" si="9"/>
        <v>179712</v>
      </c>
      <c r="G9" s="44">
        <v>1</v>
      </c>
      <c r="H9" s="30">
        <f t="shared" si="16"/>
        <v>539136</v>
      </c>
      <c r="I9" s="45">
        <f t="shared" si="11"/>
        <v>0.59999999999999898</v>
      </c>
      <c r="K9" s="16">
        <f t="shared" si="17"/>
        <v>3.9</v>
      </c>
      <c r="L9" s="16">
        <f t="shared" si="13"/>
        <v>0.55000000000000004</v>
      </c>
      <c r="M9" s="16">
        <v>1.4</v>
      </c>
      <c r="O9" s="44">
        <f>M9*F9*基本公式!$B$150</f>
        <v>503193.59999999998</v>
      </c>
      <c r="P9" s="46">
        <f t="shared" ref="P9" si="18">ROUND(O9*Q9,0)</f>
        <v>150958</v>
      </c>
      <c r="Q9" s="5">
        <v>0.3</v>
      </c>
      <c r="R9" s="46">
        <f t="shared" ref="R9" si="19">ROUND(O9*S9,0)</f>
        <v>176118</v>
      </c>
      <c r="S9" s="5">
        <v>0.35</v>
      </c>
      <c r="T9" s="46">
        <f>ROUND(O9*U9+其他表格!S7,0)</f>
        <v>100479</v>
      </c>
      <c r="U9" s="5">
        <v>0.15</v>
      </c>
      <c r="V9" s="46">
        <f t="shared" ref="V9" si="20">ROUND(O9*W9,0)</f>
        <v>100639</v>
      </c>
      <c r="W9" s="5">
        <v>0.2</v>
      </c>
    </row>
    <row r="10" spans="1:35">
      <c r="B10" s="16">
        <v>7</v>
      </c>
      <c r="C10" s="16">
        <f>C9+C8</f>
        <v>2.1</v>
      </c>
      <c r="D10" s="30">
        <f t="shared" si="7"/>
        <v>12852</v>
      </c>
      <c r="E10" s="44">
        <f t="shared" si="15"/>
        <v>308448</v>
      </c>
      <c r="F10" s="44">
        <f t="shared" si="9"/>
        <v>308448</v>
      </c>
      <c r="G10" s="44">
        <v>1</v>
      </c>
      <c r="H10" s="30">
        <f t="shared" si="16"/>
        <v>925344</v>
      </c>
      <c r="I10" s="45">
        <f t="shared" si="11"/>
        <v>0.69999999999999896</v>
      </c>
      <c r="K10" s="16">
        <f t="shared" si="17"/>
        <v>6.3</v>
      </c>
      <c r="L10" s="16">
        <f t="shared" si="13"/>
        <v>0.9</v>
      </c>
      <c r="M10" s="16">
        <v>2.2999999999999998</v>
      </c>
      <c r="O10" s="44">
        <f>M10*F10*基本公式!$B$150</f>
        <v>1418860.8</v>
      </c>
      <c r="P10" s="46">
        <f t="shared" ref="P10:P23" si="21">ROUND(O10*Q10,0)</f>
        <v>425658</v>
      </c>
      <c r="Q10" s="5">
        <v>0.3</v>
      </c>
      <c r="R10" s="46">
        <f t="shared" ref="R10:R23" si="22">ROUND(O10*S10,0)</f>
        <v>496601</v>
      </c>
      <c r="S10" s="5">
        <v>0.35</v>
      </c>
      <c r="T10" s="46">
        <f>ROUND(O10*U10+其他表格!S8,0)</f>
        <v>237829</v>
      </c>
      <c r="U10" s="5">
        <v>0.15</v>
      </c>
      <c r="V10" s="46">
        <f t="shared" ref="V10:V23" si="23">ROUND(O10*W10,0)</f>
        <v>283772</v>
      </c>
      <c r="W10" s="5">
        <v>0.2</v>
      </c>
    </row>
    <row r="11" spans="1:35">
      <c r="A11" s="16"/>
      <c r="B11" s="16">
        <v>8</v>
      </c>
      <c r="C11" s="16">
        <f>C10+C9</f>
        <v>3.4</v>
      </c>
      <c r="D11" s="30">
        <f t="shared" si="7"/>
        <v>22032</v>
      </c>
      <c r="E11" s="44">
        <f t="shared" si="15"/>
        <v>528768</v>
      </c>
      <c r="F11" s="44">
        <f t="shared" si="9"/>
        <v>528768</v>
      </c>
      <c r="G11" s="44">
        <v>1</v>
      </c>
      <c r="H11" s="30">
        <f t="shared" si="16"/>
        <v>1586304</v>
      </c>
      <c r="I11" s="45">
        <f t="shared" si="11"/>
        <v>0.79999999999999905</v>
      </c>
      <c r="K11" s="16">
        <f t="shared" si="17"/>
        <v>10.199999999999999</v>
      </c>
      <c r="L11" s="16">
        <f t="shared" ref="L11" si="24">M11-M10</f>
        <v>2</v>
      </c>
      <c r="M11" s="16">
        <v>4.3</v>
      </c>
      <c r="O11" s="44">
        <f>M11*F11*基本公式!$B$150</f>
        <v>4547404.8</v>
      </c>
      <c r="P11" s="46">
        <f t="shared" si="21"/>
        <v>1364221</v>
      </c>
      <c r="Q11" s="5">
        <v>0.3</v>
      </c>
      <c r="R11" s="46">
        <f t="shared" si="22"/>
        <v>1591592</v>
      </c>
      <c r="S11" s="5">
        <v>0.35</v>
      </c>
      <c r="T11" s="46">
        <f>ROUND(O11*U11+其他表格!S9,0)</f>
        <v>707111</v>
      </c>
      <c r="U11" s="5">
        <v>0.15</v>
      </c>
      <c r="V11" s="46">
        <f t="shared" si="23"/>
        <v>909481</v>
      </c>
      <c r="W11" s="5">
        <v>0.2</v>
      </c>
    </row>
    <row r="12" spans="1:35">
      <c r="B12" s="16">
        <v>9</v>
      </c>
      <c r="C12" s="16">
        <f>C11+C9</f>
        <v>4.7</v>
      </c>
      <c r="D12" s="30">
        <f t="shared" si="7"/>
        <v>32148</v>
      </c>
      <c r="E12" s="44">
        <f t="shared" si="15"/>
        <v>771552</v>
      </c>
      <c r="F12" s="44">
        <f t="shared" si="9"/>
        <v>771552</v>
      </c>
      <c r="G12" s="44">
        <v>1</v>
      </c>
      <c r="H12" s="30">
        <f t="shared" si="16"/>
        <v>2314656</v>
      </c>
      <c r="I12" s="45">
        <f t="shared" si="11"/>
        <v>0.9</v>
      </c>
      <c r="K12" s="16">
        <f t="shared" si="17"/>
        <v>14.1</v>
      </c>
      <c r="L12" s="16">
        <f t="shared" ref="L12:L23" si="25">M12-M11</f>
        <v>2.7</v>
      </c>
      <c r="M12" s="16">
        <v>7</v>
      </c>
      <c r="O12" s="44">
        <f>M12*F12*基本公式!$B$150</f>
        <v>10801728</v>
      </c>
      <c r="P12" s="46">
        <f t="shared" si="21"/>
        <v>3240518</v>
      </c>
      <c r="Q12" s="5">
        <v>0.3</v>
      </c>
      <c r="R12" s="46">
        <f t="shared" si="22"/>
        <v>3780605</v>
      </c>
      <c r="S12" s="5">
        <v>0.35</v>
      </c>
      <c r="T12" s="46">
        <f>ROUND(O12*U12+其他表格!S10,0)</f>
        <v>1645259</v>
      </c>
      <c r="U12" s="5">
        <v>0.15</v>
      </c>
      <c r="V12" s="46">
        <f t="shared" si="23"/>
        <v>2160346</v>
      </c>
      <c r="W12" s="5">
        <v>0.2</v>
      </c>
    </row>
    <row r="13" spans="1:35">
      <c r="A13" s="21" t="s">
        <v>209</v>
      </c>
      <c r="B13" s="16">
        <v>10</v>
      </c>
      <c r="C13" s="16">
        <f>C12+C10</f>
        <v>6.8</v>
      </c>
      <c r="D13" s="30">
        <f t="shared" si="7"/>
        <v>48960</v>
      </c>
      <c r="E13" s="44">
        <f t="shared" si="15"/>
        <v>1175040</v>
      </c>
      <c r="F13" s="44">
        <f t="shared" si="9"/>
        <v>1175040</v>
      </c>
      <c r="G13" s="44">
        <v>1</v>
      </c>
      <c r="H13" s="30">
        <f t="shared" si="16"/>
        <v>3525120</v>
      </c>
      <c r="I13" s="45">
        <f t="shared" si="11"/>
        <v>1</v>
      </c>
      <c r="K13" s="16">
        <f t="shared" si="17"/>
        <v>20.399999999999999</v>
      </c>
      <c r="L13" s="16">
        <f t="shared" si="25"/>
        <v>4</v>
      </c>
      <c r="M13" s="16">
        <v>11</v>
      </c>
      <c r="O13" s="44">
        <f>M13*F13*基本公式!$B$150</f>
        <v>25850880</v>
      </c>
      <c r="P13" s="46">
        <f t="shared" si="21"/>
        <v>7755264</v>
      </c>
      <c r="Q13" s="5">
        <v>0.3</v>
      </c>
      <c r="R13" s="46">
        <f t="shared" si="22"/>
        <v>9047808</v>
      </c>
      <c r="S13" s="5">
        <v>0.35</v>
      </c>
      <c r="T13" s="46">
        <f>ROUND(O13*U13+其他表格!S11,0)</f>
        <v>3902632</v>
      </c>
      <c r="U13" s="5">
        <v>0.15</v>
      </c>
      <c r="V13" s="46">
        <f t="shared" si="23"/>
        <v>5170176</v>
      </c>
      <c r="W13" s="5">
        <v>0.2</v>
      </c>
    </row>
    <row r="14" spans="1:35">
      <c r="B14" s="16">
        <v>11</v>
      </c>
      <c r="C14" s="16">
        <f>C12+C11</f>
        <v>8.1</v>
      </c>
      <c r="D14" s="30">
        <f t="shared" si="7"/>
        <v>61236</v>
      </c>
      <c r="E14" s="44">
        <f t="shared" si="15"/>
        <v>1469664</v>
      </c>
      <c r="F14" s="44">
        <f t="shared" ref="F14" si="26">E14*G14</f>
        <v>1469664</v>
      </c>
      <c r="G14" s="44">
        <v>1</v>
      </c>
      <c r="H14" s="30">
        <f t="shared" ref="H14" si="27">3*F14</f>
        <v>4408992</v>
      </c>
      <c r="I14" s="45">
        <f t="shared" si="11"/>
        <v>1.1000000000000001</v>
      </c>
      <c r="K14" s="16">
        <f t="shared" si="17"/>
        <v>24.3</v>
      </c>
      <c r="L14" s="16">
        <f t="shared" si="25"/>
        <v>7</v>
      </c>
      <c r="M14" s="16">
        <v>18</v>
      </c>
      <c r="O14" s="44">
        <f>M14*F14*基本公式!$B$150</f>
        <v>52907904</v>
      </c>
      <c r="P14" s="46">
        <f t="shared" si="21"/>
        <v>15872371</v>
      </c>
      <c r="Q14" s="5">
        <v>0.3</v>
      </c>
      <c r="R14" s="46">
        <f t="shared" si="22"/>
        <v>18517766</v>
      </c>
      <c r="S14" s="5">
        <v>0.35</v>
      </c>
      <c r="T14" s="46">
        <f t="shared" ref="T14" si="28">ROUND(O14*U14,0)</f>
        <v>7936186</v>
      </c>
      <c r="U14" s="5">
        <v>0.15</v>
      </c>
      <c r="V14" s="46">
        <f t="shared" si="23"/>
        <v>10581581</v>
      </c>
      <c r="W14" s="5">
        <v>0.2</v>
      </c>
    </row>
    <row r="15" spans="1:35">
      <c r="B15" s="16">
        <v>12</v>
      </c>
      <c r="C15" s="16">
        <f>C13+C12</f>
        <v>11.5</v>
      </c>
      <c r="D15" s="30">
        <f t="shared" si="7"/>
        <v>91080</v>
      </c>
      <c r="E15" s="44">
        <f t="shared" si="15"/>
        <v>2185920</v>
      </c>
      <c r="F15" s="44">
        <f t="shared" ref="F15:F23" si="29">E15*G15</f>
        <v>2185920</v>
      </c>
      <c r="G15" s="44">
        <v>1</v>
      </c>
      <c r="H15" s="30">
        <f t="shared" ref="H15:H23" si="30">3*F15</f>
        <v>6557760</v>
      </c>
      <c r="I15" s="45">
        <f t="shared" si="11"/>
        <v>1.2</v>
      </c>
      <c r="K15" s="16">
        <f t="shared" si="17"/>
        <v>34.5</v>
      </c>
      <c r="L15" s="16">
        <f t="shared" si="25"/>
        <v>9</v>
      </c>
      <c r="M15" s="16">
        <v>27</v>
      </c>
      <c r="O15" s="44">
        <f>M15*F15*基本公式!$B$150</f>
        <v>118039680</v>
      </c>
      <c r="P15" s="46">
        <f t="shared" si="21"/>
        <v>35411904</v>
      </c>
      <c r="Q15" s="5">
        <v>0.3</v>
      </c>
      <c r="R15" s="46">
        <f t="shared" si="22"/>
        <v>41313888</v>
      </c>
      <c r="S15" s="5">
        <v>0.35</v>
      </c>
      <c r="T15" s="46">
        <f t="shared" ref="T15:T23" si="31">ROUND(O15*U15,0)</f>
        <v>17705952</v>
      </c>
      <c r="U15" s="5">
        <v>0.15</v>
      </c>
      <c r="V15" s="46">
        <f t="shared" si="23"/>
        <v>23607936</v>
      </c>
      <c r="W15" s="5">
        <v>0.2</v>
      </c>
    </row>
    <row r="16" spans="1:35">
      <c r="A16" s="16"/>
      <c r="B16" s="16">
        <v>13</v>
      </c>
      <c r="C16" s="16">
        <v>14.4</v>
      </c>
      <c r="D16" s="30">
        <f t="shared" si="7"/>
        <v>119232</v>
      </c>
      <c r="E16" s="44">
        <f t="shared" si="15"/>
        <v>2861568</v>
      </c>
      <c r="F16" s="44">
        <f t="shared" si="29"/>
        <v>2861568</v>
      </c>
      <c r="G16" s="44">
        <v>1</v>
      </c>
      <c r="H16" s="30">
        <f t="shared" si="30"/>
        <v>8584704</v>
      </c>
      <c r="I16" s="45">
        <f t="shared" si="11"/>
        <v>1.3</v>
      </c>
      <c r="K16" s="16">
        <f t="shared" si="17"/>
        <v>43.2</v>
      </c>
      <c r="L16" s="16">
        <f t="shared" si="25"/>
        <v>13</v>
      </c>
      <c r="M16" s="16">
        <v>40</v>
      </c>
      <c r="O16" s="44">
        <f>M16*F16*基本公式!$B$150</f>
        <v>228925440</v>
      </c>
      <c r="P16" s="46">
        <f t="shared" si="21"/>
        <v>68677632</v>
      </c>
      <c r="Q16" s="5">
        <v>0.3</v>
      </c>
      <c r="R16" s="46">
        <f t="shared" si="22"/>
        <v>80123904</v>
      </c>
      <c r="S16" s="5">
        <v>0.35</v>
      </c>
      <c r="T16" s="46">
        <f t="shared" si="31"/>
        <v>34338816</v>
      </c>
      <c r="U16" s="5">
        <v>0.15</v>
      </c>
      <c r="V16" s="46">
        <f t="shared" si="23"/>
        <v>45785088</v>
      </c>
      <c r="W16" s="5">
        <v>0.2</v>
      </c>
    </row>
    <row r="17" spans="1:27">
      <c r="A17" s="21" t="s">
        <v>210</v>
      </c>
      <c r="B17" s="16">
        <v>14</v>
      </c>
      <c r="C17" s="16">
        <v>17</v>
      </c>
      <c r="D17" s="30">
        <f t="shared" si="7"/>
        <v>146880</v>
      </c>
      <c r="E17" s="44">
        <f t="shared" si="15"/>
        <v>3525120</v>
      </c>
      <c r="F17" s="44">
        <f t="shared" si="29"/>
        <v>3525120</v>
      </c>
      <c r="G17" s="44">
        <v>1</v>
      </c>
      <c r="H17" s="30">
        <f t="shared" si="30"/>
        <v>10575360</v>
      </c>
      <c r="I17" s="45">
        <f t="shared" si="11"/>
        <v>1.4</v>
      </c>
      <c r="K17" s="16">
        <f t="shared" si="17"/>
        <v>51</v>
      </c>
      <c r="L17" s="16">
        <f t="shared" si="25"/>
        <v>16</v>
      </c>
      <c r="M17" s="16">
        <f>L16+M16+3</f>
        <v>56</v>
      </c>
      <c r="O17" s="44">
        <f>M17*F17*基本公式!$B$150</f>
        <v>394813440</v>
      </c>
      <c r="P17" s="46">
        <f t="shared" si="21"/>
        <v>118444032</v>
      </c>
      <c r="Q17" s="5">
        <v>0.3</v>
      </c>
      <c r="R17" s="46">
        <f t="shared" si="22"/>
        <v>138184704</v>
      </c>
      <c r="S17" s="5">
        <v>0.35</v>
      </c>
      <c r="T17" s="46">
        <f t="shared" si="31"/>
        <v>59222016</v>
      </c>
      <c r="U17" s="5">
        <v>0.15</v>
      </c>
      <c r="V17" s="46">
        <f t="shared" si="23"/>
        <v>78962688</v>
      </c>
      <c r="W17" s="5">
        <v>0.2</v>
      </c>
    </row>
    <row r="18" spans="1:27">
      <c r="B18" s="16">
        <v>15</v>
      </c>
      <c r="C18" s="16">
        <v>20</v>
      </c>
      <c r="D18" s="30">
        <f t="shared" si="7"/>
        <v>180000</v>
      </c>
      <c r="E18" s="44">
        <f t="shared" si="15"/>
        <v>4320000</v>
      </c>
      <c r="F18" s="44">
        <f t="shared" si="29"/>
        <v>4320000</v>
      </c>
      <c r="G18" s="44">
        <v>1</v>
      </c>
      <c r="H18" s="30">
        <f t="shared" si="30"/>
        <v>12960000</v>
      </c>
      <c r="I18" s="45">
        <f t="shared" si="11"/>
        <v>1.5</v>
      </c>
      <c r="K18" s="16">
        <f t="shared" si="17"/>
        <v>60</v>
      </c>
      <c r="L18" s="16">
        <f t="shared" si="25"/>
        <v>19</v>
      </c>
      <c r="M18" s="16">
        <f t="shared" ref="M18" si="32">M17+L17+3</f>
        <v>75</v>
      </c>
      <c r="O18" s="44">
        <f>M18*F18*基本公式!$B$150</f>
        <v>648000000</v>
      </c>
      <c r="P18" s="46">
        <f t="shared" si="21"/>
        <v>194400000</v>
      </c>
      <c r="Q18" s="5">
        <v>0.3</v>
      </c>
      <c r="R18" s="46">
        <f t="shared" si="22"/>
        <v>226800000</v>
      </c>
      <c r="S18" s="5">
        <v>0.35</v>
      </c>
      <c r="T18" s="46">
        <f t="shared" si="31"/>
        <v>97200000</v>
      </c>
      <c r="U18" s="5">
        <v>0.15</v>
      </c>
      <c r="V18" s="46">
        <f t="shared" si="23"/>
        <v>129600000</v>
      </c>
      <c r="W18" s="5">
        <v>0.2</v>
      </c>
    </row>
    <row r="19" spans="1:27">
      <c r="B19" s="16">
        <v>16</v>
      </c>
      <c r="C19" s="16">
        <v>23</v>
      </c>
      <c r="D19" s="30">
        <f t="shared" si="7"/>
        <v>215280</v>
      </c>
      <c r="E19" s="44">
        <f t="shared" si="15"/>
        <v>5166720</v>
      </c>
      <c r="F19" s="44">
        <f t="shared" si="29"/>
        <v>5166720</v>
      </c>
      <c r="G19" s="44">
        <v>1</v>
      </c>
      <c r="H19" s="30">
        <f t="shared" si="30"/>
        <v>15500160</v>
      </c>
      <c r="I19" s="45">
        <f t="shared" si="11"/>
        <v>1.6</v>
      </c>
      <c r="K19" s="16">
        <f t="shared" si="17"/>
        <v>69</v>
      </c>
      <c r="L19" s="16">
        <f t="shared" si="25"/>
        <v>22</v>
      </c>
      <c r="M19" s="16">
        <f>M18+L18+3</f>
        <v>97</v>
      </c>
      <c r="O19" s="44">
        <f>M19*F19*基本公式!$B$150</f>
        <v>1002343680</v>
      </c>
      <c r="P19" s="46">
        <f t="shared" si="21"/>
        <v>300703104</v>
      </c>
      <c r="Q19" s="5">
        <v>0.3</v>
      </c>
      <c r="R19" s="46">
        <f t="shared" si="22"/>
        <v>350820288</v>
      </c>
      <c r="S19" s="5">
        <v>0.35</v>
      </c>
      <c r="T19" s="46">
        <f t="shared" si="31"/>
        <v>150351552</v>
      </c>
      <c r="U19" s="5">
        <v>0.15</v>
      </c>
      <c r="V19" s="46">
        <f t="shared" si="23"/>
        <v>200468736</v>
      </c>
      <c r="W19" s="5">
        <v>0.2</v>
      </c>
    </row>
    <row r="20" spans="1:27">
      <c r="B20" s="16">
        <v>17</v>
      </c>
      <c r="C20" s="16">
        <v>26.3</v>
      </c>
      <c r="D20" s="30">
        <f t="shared" si="7"/>
        <v>255636</v>
      </c>
      <c r="E20" s="44">
        <f t="shared" si="15"/>
        <v>6135264</v>
      </c>
      <c r="F20" s="44">
        <f t="shared" si="29"/>
        <v>6135264</v>
      </c>
      <c r="G20" s="44">
        <v>1</v>
      </c>
      <c r="H20" s="30">
        <f t="shared" si="30"/>
        <v>18405792</v>
      </c>
      <c r="I20" s="45">
        <f t="shared" si="11"/>
        <v>1.7</v>
      </c>
      <c r="K20" s="16">
        <f t="shared" si="17"/>
        <v>78.900000000000006</v>
      </c>
      <c r="L20" s="16">
        <f t="shared" si="25"/>
        <v>25</v>
      </c>
      <c r="M20" s="16">
        <f>M19+L19+3</f>
        <v>122</v>
      </c>
      <c r="O20" s="44">
        <f>M20*F20*基本公式!$B$150</f>
        <v>1497004416</v>
      </c>
      <c r="P20" s="46">
        <f t="shared" si="21"/>
        <v>449101325</v>
      </c>
      <c r="Q20" s="5">
        <v>0.3</v>
      </c>
      <c r="R20" s="46">
        <f t="shared" si="22"/>
        <v>523951546</v>
      </c>
      <c r="S20" s="5">
        <v>0.35</v>
      </c>
      <c r="T20" s="46">
        <f t="shared" si="31"/>
        <v>224550662</v>
      </c>
      <c r="U20" s="5">
        <v>0.15</v>
      </c>
      <c r="V20" s="46">
        <f t="shared" si="23"/>
        <v>299400883</v>
      </c>
      <c r="W20" s="5">
        <v>0.2</v>
      </c>
    </row>
    <row r="21" spans="1:27">
      <c r="B21" s="16">
        <v>18</v>
      </c>
      <c r="C21" s="16">
        <v>30</v>
      </c>
      <c r="D21" s="30">
        <f t="shared" si="7"/>
        <v>302400</v>
      </c>
      <c r="E21" s="44">
        <f t="shared" si="15"/>
        <v>7257600</v>
      </c>
      <c r="F21" s="44">
        <f t="shared" si="29"/>
        <v>7257600</v>
      </c>
      <c r="G21" s="44">
        <v>1</v>
      </c>
      <c r="H21" s="30">
        <f t="shared" si="30"/>
        <v>21772800</v>
      </c>
      <c r="I21" s="45">
        <f t="shared" si="11"/>
        <v>1.8</v>
      </c>
      <c r="K21" s="16">
        <f t="shared" si="17"/>
        <v>90</v>
      </c>
      <c r="L21" s="16">
        <f t="shared" si="25"/>
        <v>28</v>
      </c>
      <c r="M21" s="16">
        <f>M20+L20+3</f>
        <v>150</v>
      </c>
      <c r="O21" s="44">
        <f>M21*F21*基本公式!$B$150</f>
        <v>2177280000</v>
      </c>
      <c r="P21" s="46">
        <f t="shared" si="21"/>
        <v>653184000</v>
      </c>
      <c r="Q21" s="5">
        <v>0.3</v>
      </c>
      <c r="R21" s="46">
        <f t="shared" si="22"/>
        <v>762048000</v>
      </c>
      <c r="S21" s="5">
        <v>0.35</v>
      </c>
      <c r="T21" s="46">
        <f t="shared" si="31"/>
        <v>326592000</v>
      </c>
      <c r="U21" s="5">
        <v>0.15</v>
      </c>
      <c r="V21" s="46">
        <f t="shared" si="23"/>
        <v>435456000</v>
      </c>
      <c r="W21" s="5">
        <v>0.2</v>
      </c>
    </row>
    <row r="22" spans="1:27">
      <c r="A22" s="22" t="s">
        <v>211</v>
      </c>
      <c r="B22" s="16">
        <v>19</v>
      </c>
      <c r="C22" s="16">
        <v>34</v>
      </c>
      <c r="D22" s="30">
        <f t="shared" si="7"/>
        <v>354960</v>
      </c>
      <c r="E22" s="44">
        <f t="shared" si="15"/>
        <v>8519040</v>
      </c>
      <c r="F22" s="44">
        <f t="shared" si="29"/>
        <v>8519040</v>
      </c>
      <c r="G22" s="44">
        <v>1</v>
      </c>
      <c r="H22" s="30">
        <f t="shared" si="30"/>
        <v>25557120</v>
      </c>
      <c r="I22" s="45">
        <f t="shared" si="11"/>
        <v>1.9</v>
      </c>
      <c r="K22" s="16">
        <f t="shared" si="17"/>
        <v>102</v>
      </c>
      <c r="L22" s="16">
        <f t="shared" si="25"/>
        <v>31</v>
      </c>
      <c r="M22" s="16">
        <f>M21+L21+3</f>
        <v>181</v>
      </c>
      <c r="O22" s="44">
        <f>M22*F22*基本公式!$B$150</f>
        <v>3083892480</v>
      </c>
      <c r="P22" s="46">
        <f t="shared" si="21"/>
        <v>925167744</v>
      </c>
      <c r="Q22" s="5">
        <v>0.3</v>
      </c>
      <c r="R22" s="46">
        <f t="shared" si="22"/>
        <v>1079362368</v>
      </c>
      <c r="S22" s="5">
        <v>0.35</v>
      </c>
      <c r="T22" s="46">
        <f t="shared" si="31"/>
        <v>462583872</v>
      </c>
      <c r="U22" s="5">
        <v>0.15</v>
      </c>
      <c r="V22" s="46">
        <f t="shared" si="23"/>
        <v>616778496</v>
      </c>
      <c r="W22" s="5">
        <v>0.2</v>
      </c>
    </row>
    <row r="23" spans="1:27">
      <c r="B23" s="16">
        <v>20</v>
      </c>
      <c r="C23" s="16">
        <v>40</v>
      </c>
      <c r="D23" s="30">
        <f t="shared" si="7"/>
        <v>432000</v>
      </c>
      <c r="E23" s="44">
        <f t="shared" si="15"/>
        <v>10368000</v>
      </c>
      <c r="F23" s="44">
        <f t="shared" si="29"/>
        <v>10368000</v>
      </c>
      <c r="G23" s="44">
        <v>1</v>
      </c>
      <c r="H23" s="30">
        <f t="shared" si="30"/>
        <v>31104000</v>
      </c>
      <c r="I23" s="45">
        <v>2</v>
      </c>
      <c r="K23" s="16">
        <f t="shared" si="17"/>
        <v>120</v>
      </c>
      <c r="L23" s="16">
        <f t="shared" si="25"/>
        <v>34</v>
      </c>
      <c r="M23" s="16">
        <f>M22+L22+3</f>
        <v>215</v>
      </c>
      <c r="O23" s="44">
        <f>M23*F23*基本公式!$B$150</f>
        <v>4458240000</v>
      </c>
      <c r="P23" s="46">
        <f t="shared" si="21"/>
        <v>1337472000</v>
      </c>
      <c r="Q23" s="5">
        <v>0.3</v>
      </c>
      <c r="R23" s="46">
        <f t="shared" si="22"/>
        <v>1560384000</v>
      </c>
      <c r="S23" s="5">
        <v>0.35</v>
      </c>
      <c r="T23" s="46">
        <f t="shared" si="31"/>
        <v>668736000</v>
      </c>
      <c r="U23" s="5">
        <v>0.15</v>
      </c>
      <c r="V23" s="46">
        <f t="shared" si="23"/>
        <v>891648000</v>
      </c>
      <c r="W23" s="5">
        <v>0.2</v>
      </c>
    </row>
    <row r="25" spans="1:27" s="7" customFormat="1">
      <c r="A25" s="32" t="s">
        <v>93</v>
      </c>
      <c r="D25" s="28"/>
      <c r="E25" s="28"/>
      <c r="F25" s="28"/>
      <c r="G25" s="28"/>
      <c r="H25" s="28"/>
      <c r="I25" s="41"/>
      <c r="J25" s="28"/>
      <c r="O25" s="42"/>
      <c r="P25" s="40"/>
      <c r="Q25" s="43"/>
      <c r="R25" s="40"/>
      <c r="T25" s="40"/>
      <c r="V25" s="40"/>
      <c r="X25" s="28"/>
      <c r="Z25" s="28"/>
    </row>
    <row r="26" spans="1:27">
      <c r="B26" s="16">
        <v>1</v>
      </c>
      <c r="C26" s="16">
        <v>0.1</v>
      </c>
      <c r="D26" s="30">
        <f t="shared" ref="D26" si="33">ROUND(C26*3600*(1+I26),0)</f>
        <v>396</v>
      </c>
      <c r="E26" s="44">
        <f>24*D26</f>
        <v>9504</v>
      </c>
      <c r="F26" s="44">
        <f t="shared" ref="F26" si="34">E26*G26</f>
        <v>9504</v>
      </c>
      <c r="G26" s="44">
        <v>1</v>
      </c>
      <c r="H26" s="30">
        <f>3*F26</f>
        <v>28512</v>
      </c>
      <c r="I26" s="45">
        <f t="shared" ref="I26" si="35">I27-0.1</f>
        <v>9.9999999999999395E-2</v>
      </c>
      <c r="L26" s="16">
        <f t="shared" ref="L26" si="36">M26-M25</f>
        <v>0.01</v>
      </c>
      <c r="M26" s="16">
        <v>0.01</v>
      </c>
      <c r="O26" s="44">
        <f>M26*F26*基本公式!$B$151</f>
        <v>190.08</v>
      </c>
      <c r="P26" s="46">
        <f t="shared" ref="P26" si="37">ROUND(O26*Q26,0)</f>
        <v>76</v>
      </c>
      <c r="Q26" s="5">
        <v>0.4</v>
      </c>
      <c r="R26" s="46">
        <f t="shared" ref="R26" si="38">ROUND(O26*S26,0)</f>
        <v>67</v>
      </c>
      <c r="S26" s="5">
        <v>0.35</v>
      </c>
      <c r="T26" s="46">
        <f>ROUND(O26*U26+其他表格!T2,0)</f>
        <v>5029</v>
      </c>
      <c r="U26" s="5">
        <v>0.15</v>
      </c>
      <c r="W26" s="5"/>
      <c r="X26" s="44">
        <f t="shared" ref="X26" si="39">ROUND(O26*Y26,0)</f>
        <v>38</v>
      </c>
      <c r="Y26" s="5">
        <v>0.2</v>
      </c>
      <c r="Z26" s="44">
        <f t="shared" ref="Z26" si="40">ROUND(O26*AA26,0)</f>
        <v>29</v>
      </c>
      <c r="AA26" s="5">
        <v>0.15</v>
      </c>
    </row>
    <row r="27" spans="1:27">
      <c r="B27" s="16">
        <v>2</v>
      </c>
      <c r="C27" s="16">
        <f>C26+C26</f>
        <v>0.2</v>
      </c>
      <c r="D27" s="30">
        <f t="shared" ref="D27:D45" si="41">ROUND(C27*3600*(1+I27),0)</f>
        <v>864</v>
      </c>
      <c r="E27" s="44">
        <f t="shared" ref="E27" si="42">24*D27</f>
        <v>20736</v>
      </c>
      <c r="F27" s="44">
        <f t="shared" ref="F27:F35" si="43">E27*G27</f>
        <v>20736</v>
      </c>
      <c r="G27" s="44">
        <v>1</v>
      </c>
      <c r="H27" s="30">
        <f t="shared" ref="H27" si="44">3*F27</f>
        <v>62208</v>
      </c>
      <c r="I27" s="45">
        <f t="shared" ref="I27:I44" si="45">I28-0.1</f>
        <v>0.2</v>
      </c>
      <c r="L27" s="16">
        <f t="shared" ref="L27:L45" si="46">M27-M26</f>
        <v>0.04</v>
      </c>
      <c r="M27" s="16">
        <v>0.05</v>
      </c>
      <c r="O27" s="44">
        <f>M27*F27*基本公式!$B$151</f>
        <v>2073.6</v>
      </c>
      <c r="P27" s="46">
        <f>ROUND(O27*Q27,0)</f>
        <v>829</v>
      </c>
      <c r="Q27" s="5">
        <v>0.4</v>
      </c>
      <c r="R27" s="46">
        <f>ROUND(O27*S27,0)</f>
        <v>726</v>
      </c>
      <c r="S27" s="5">
        <v>0.35</v>
      </c>
      <c r="T27" s="46">
        <f>ROUND(O27*U27+其他表格!T3,0)</f>
        <v>8311</v>
      </c>
      <c r="U27" s="5">
        <v>0.15</v>
      </c>
      <c r="W27" s="5"/>
      <c r="X27" s="44">
        <f>ROUND(O27*Y27,0)</f>
        <v>415</v>
      </c>
      <c r="Y27" s="5">
        <v>0.2</v>
      </c>
      <c r="Z27" s="44">
        <f>ROUND(O27*AA27,0)</f>
        <v>311</v>
      </c>
      <c r="AA27" s="5">
        <v>0.15</v>
      </c>
    </row>
    <row r="28" spans="1:27">
      <c r="B28" s="16">
        <v>3</v>
      </c>
      <c r="C28" s="16">
        <f t="shared" ref="C28" si="47">C27+C26</f>
        <v>0.3</v>
      </c>
      <c r="D28" s="30">
        <f t="shared" si="41"/>
        <v>1404</v>
      </c>
      <c r="E28" s="44">
        <f t="shared" ref="E28:E45" si="48">24*D28</f>
        <v>33696</v>
      </c>
      <c r="F28" s="44">
        <f t="shared" si="43"/>
        <v>33696</v>
      </c>
      <c r="G28" s="44">
        <v>1</v>
      </c>
      <c r="H28" s="30">
        <f t="shared" ref="H28:H45" si="49">3*F28</f>
        <v>101088</v>
      </c>
      <c r="I28" s="45">
        <f t="shared" si="45"/>
        <v>0.29999999999999899</v>
      </c>
      <c r="L28" s="16">
        <f t="shared" si="46"/>
        <v>0.15</v>
      </c>
      <c r="M28" s="16">
        <v>0.2</v>
      </c>
      <c r="O28" s="44">
        <f>M28*F28*基本公式!$B$151</f>
        <v>13478.4</v>
      </c>
      <c r="P28" s="46">
        <f>ROUND(O28*Q28,0)</f>
        <v>5391</v>
      </c>
      <c r="Q28" s="5">
        <v>0.4</v>
      </c>
      <c r="R28" s="46">
        <f>ROUND(O28*S28,0)</f>
        <v>4717</v>
      </c>
      <c r="S28" s="5">
        <v>0.35</v>
      </c>
      <c r="T28" s="46">
        <f>ROUND(O28*U28+其他表格!T4,0)</f>
        <v>13022</v>
      </c>
      <c r="U28" s="5">
        <v>0.15</v>
      </c>
      <c r="W28" s="5"/>
      <c r="X28" s="44">
        <f>ROUND(O28*Y28,0)</f>
        <v>2696</v>
      </c>
      <c r="Y28" s="5">
        <v>0.2</v>
      </c>
      <c r="Z28" s="44">
        <f>ROUND(O28*AA28,0)</f>
        <v>2022</v>
      </c>
      <c r="AA28" s="5">
        <v>0.15</v>
      </c>
    </row>
    <row r="29" spans="1:27">
      <c r="B29" s="16">
        <v>4</v>
      </c>
      <c r="C29" s="16">
        <f>C28+C27</f>
        <v>0.5</v>
      </c>
      <c r="D29" s="30">
        <f t="shared" si="41"/>
        <v>2520</v>
      </c>
      <c r="E29" s="44">
        <f t="shared" si="48"/>
        <v>60480</v>
      </c>
      <c r="F29" s="44">
        <f t="shared" si="43"/>
        <v>60480</v>
      </c>
      <c r="G29" s="44">
        <v>1</v>
      </c>
      <c r="H29" s="30">
        <f t="shared" si="49"/>
        <v>181440</v>
      </c>
      <c r="I29" s="45">
        <f t="shared" si="45"/>
        <v>0.39999999999999902</v>
      </c>
      <c r="L29" s="16">
        <f t="shared" si="46"/>
        <v>0.25</v>
      </c>
      <c r="M29" s="16">
        <v>0.45</v>
      </c>
      <c r="O29" s="44">
        <f>M29*F29*基本公式!$B$151</f>
        <v>54432</v>
      </c>
      <c r="P29" s="46">
        <f>ROUND(O29*Q29,0)</f>
        <v>21773</v>
      </c>
      <c r="Q29" s="5">
        <v>0.4</v>
      </c>
      <c r="R29" s="46">
        <f>ROUND(O29*S29,0)</f>
        <v>19051</v>
      </c>
      <c r="S29" s="5">
        <v>0.35</v>
      </c>
      <c r="T29" s="46">
        <f>ROUND(O29*U29+其他表格!T5,0)</f>
        <v>21165</v>
      </c>
      <c r="U29" s="5">
        <v>0.15</v>
      </c>
      <c r="W29" s="5"/>
      <c r="X29" s="44">
        <f>ROUND(O29*Y29,0)</f>
        <v>10886</v>
      </c>
      <c r="Y29" s="5">
        <v>0.2</v>
      </c>
      <c r="Z29" s="44">
        <f>ROUND(O29*AA29,0)</f>
        <v>8165</v>
      </c>
      <c r="AA29" s="5">
        <v>0.15</v>
      </c>
    </row>
    <row r="30" spans="1:27">
      <c r="B30" s="16">
        <v>5</v>
      </c>
      <c r="C30" s="16">
        <f>C29+C28</f>
        <v>0.8</v>
      </c>
      <c r="D30" s="30">
        <f t="shared" si="41"/>
        <v>4320</v>
      </c>
      <c r="E30" s="44">
        <f t="shared" si="48"/>
        <v>103680</v>
      </c>
      <c r="F30" s="44">
        <f t="shared" si="43"/>
        <v>103680</v>
      </c>
      <c r="G30" s="44">
        <v>1</v>
      </c>
      <c r="H30" s="30">
        <f t="shared" si="49"/>
        <v>311040</v>
      </c>
      <c r="I30" s="45">
        <f t="shared" si="45"/>
        <v>0.499999999999999</v>
      </c>
      <c r="L30" s="16">
        <f t="shared" si="46"/>
        <v>0.4</v>
      </c>
      <c r="M30" s="16">
        <v>0.85</v>
      </c>
      <c r="O30" s="44">
        <f>M30*F30*基本公式!$B$151</f>
        <v>176256</v>
      </c>
      <c r="P30" s="46">
        <f>ROUND(O30*Q30,0)</f>
        <v>70502</v>
      </c>
      <c r="Q30" s="5">
        <v>0.4</v>
      </c>
      <c r="R30" s="46">
        <f>ROUND(O30*S30,0)</f>
        <v>61690</v>
      </c>
      <c r="S30" s="5">
        <v>0.35</v>
      </c>
      <c r="T30" s="46">
        <f>ROUND(O30*U30+其他表格!T6,0)</f>
        <v>38438</v>
      </c>
      <c r="U30" s="5">
        <v>0.15</v>
      </c>
      <c r="W30" s="5"/>
      <c r="X30" s="44">
        <f t="shared" ref="X30" si="50">ROUND(O30*Y30,0)</f>
        <v>35251</v>
      </c>
      <c r="Y30" s="5">
        <v>0.2</v>
      </c>
      <c r="Z30" s="44">
        <f t="shared" ref="Z30" si="51">ROUND(O30*AA30,0)</f>
        <v>26438</v>
      </c>
      <c r="AA30" s="5">
        <v>0.15</v>
      </c>
    </row>
    <row r="31" spans="1:27">
      <c r="B31" s="16">
        <v>6</v>
      </c>
      <c r="C31" s="16">
        <f>C30+C29</f>
        <v>1.3</v>
      </c>
      <c r="D31" s="30">
        <f t="shared" si="41"/>
        <v>7488</v>
      </c>
      <c r="E31" s="44">
        <f t="shared" si="48"/>
        <v>179712</v>
      </c>
      <c r="F31" s="44">
        <f t="shared" si="43"/>
        <v>179712</v>
      </c>
      <c r="G31" s="44">
        <v>1</v>
      </c>
      <c r="H31" s="30">
        <f t="shared" si="49"/>
        <v>539136</v>
      </c>
      <c r="I31" s="45">
        <f t="shared" si="45"/>
        <v>0.59999999999999898</v>
      </c>
      <c r="L31" s="16">
        <f t="shared" si="46"/>
        <v>0.55000000000000004</v>
      </c>
      <c r="M31" s="16">
        <v>1.4</v>
      </c>
      <c r="O31" s="44">
        <f>M31*F31*基本公式!$B$151</f>
        <v>503193.59999999998</v>
      </c>
      <c r="P31" s="46">
        <f t="shared" ref="P31" si="52">ROUND(O31*Q31,0)</f>
        <v>201277</v>
      </c>
      <c r="Q31" s="5">
        <v>0.4</v>
      </c>
      <c r="R31" s="46">
        <f t="shared" ref="R31" si="53">ROUND(O31*S31,0)</f>
        <v>176118</v>
      </c>
      <c r="S31" s="5">
        <v>0.35</v>
      </c>
      <c r="T31" s="46">
        <f>ROUND(O31*U31+其他表格!T7,0)</f>
        <v>100479</v>
      </c>
      <c r="U31" s="5">
        <v>0.15</v>
      </c>
      <c r="W31" s="5"/>
      <c r="X31" s="44">
        <f t="shared" ref="X31:X45" si="54">ROUND(O31*Y31,0)</f>
        <v>100639</v>
      </c>
      <c r="Y31" s="5">
        <v>0.2</v>
      </c>
      <c r="Z31" s="44">
        <f t="shared" ref="Z31:Z45" si="55">ROUND(O31*AA31,0)</f>
        <v>75479</v>
      </c>
      <c r="AA31" s="5">
        <v>0.15</v>
      </c>
    </row>
    <row r="32" spans="1:27">
      <c r="B32" s="16">
        <v>7</v>
      </c>
      <c r="C32" s="16">
        <f>C31+C30</f>
        <v>2.1</v>
      </c>
      <c r="D32" s="30">
        <f t="shared" si="41"/>
        <v>12852</v>
      </c>
      <c r="E32" s="44">
        <f t="shared" si="48"/>
        <v>308448</v>
      </c>
      <c r="F32" s="44">
        <f t="shared" si="43"/>
        <v>308448</v>
      </c>
      <c r="G32" s="44">
        <v>1</v>
      </c>
      <c r="H32" s="30">
        <f t="shared" si="49"/>
        <v>925344</v>
      </c>
      <c r="I32" s="45">
        <f t="shared" si="45"/>
        <v>0.69999999999999896</v>
      </c>
      <c r="L32" s="16">
        <f t="shared" si="46"/>
        <v>0.9</v>
      </c>
      <c r="M32" s="16">
        <v>2.2999999999999998</v>
      </c>
      <c r="O32" s="44">
        <f>M32*F32*基本公式!$B$151</f>
        <v>1418860.8</v>
      </c>
      <c r="P32" s="46">
        <f t="shared" ref="P32:P45" si="56">ROUND(O32*Q32,0)</f>
        <v>567544</v>
      </c>
      <c r="Q32" s="5">
        <v>0.4</v>
      </c>
      <c r="R32" s="46">
        <f t="shared" ref="R32:R45" si="57">ROUND(O32*S32,0)</f>
        <v>496601</v>
      </c>
      <c r="S32" s="5">
        <v>0.35</v>
      </c>
      <c r="T32" s="46">
        <f>ROUND(O32*U32+其他表格!T8,0)</f>
        <v>237829</v>
      </c>
      <c r="U32" s="5">
        <v>0.15</v>
      </c>
      <c r="W32" s="5"/>
      <c r="X32" s="44">
        <f t="shared" si="54"/>
        <v>283772</v>
      </c>
      <c r="Y32" s="5">
        <v>0.2</v>
      </c>
      <c r="Z32" s="44">
        <f t="shared" si="55"/>
        <v>212829</v>
      </c>
      <c r="AA32" s="5">
        <v>0.15</v>
      </c>
    </row>
    <row r="33" spans="1:27">
      <c r="A33" s="16"/>
      <c r="B33" s="16">
        <v>8</v>
      </c>
      <c r="C33" s="16">
        <f>C32+C31</f>
        <v>3.4</v>
      </c>
      <c r="D33" s="30">
        <f t="shared" si="41"/>
        <v>22032</v>
      </c>
      <c r="E33" s="44">
        <f t="shared" si="48"/>
        <v>528768</v>
      </c>
      <c r="F33" s="44">
        <f t="shared" si="43"/>
        <v>528768</v>
      </c>
      <c r="G33" s="44">
        <v>1</v>
      </c>
      <c r="H33" s="30">
        <f t="shared" si="49"/>
        <v>1586304</v>
      </c>
      <c r="I33" s="45">
        <f t="shared" si="45"/>
        <v>0.79999999999999905</v>
      </c>
      <c r="L33" s="16">
        <f t="shared" si="46"/>
        <v>2</v>
      </c>
      <c r="M33" s="16">
        <v>4.3</v>
      </c>
      <c r="O33" s="44">
        <f>M33*F33*基本公式!$B$151</f>
        <v>4547404.8</v>
      </c>
      <c r="P33" s="46">
        <f t="shared" si="56"/>
        <v>1818962</v>
      </c>
      <c r="Q33" s="5">
        <v>0.4</v>
      </c>
      <c r="R33" s="46">
        <f t="shared" si="57"/>
        <v>1591592</v>
      </c>
      <c r="S33" s="5">
        <v>0.35</v>
      </c>
      <c r="T33" s="46">
        <f>ROUND(O33*U33+其他表格!T9,0)</f>
        <v>707111</v>
      </c>
      <c r="U33" s="5">
        <v>0.15</v>
      </c>
      <c r="W33" s="5"/>
      <c r="X33" s="44">
        <f t="shared" si="54"/>
        <v>909481</v>
      </c>
      <c r="Y33" s="5">
        <v>0.2</v>
      </c>
      <c r="Z33" s="44">
        <f t="shared" si="55"/>
        <v>682111</v>
      </c>
      <c r="AA33" s="5">
        <v>0.15</v>
      </c>
    </row>
    <row r="34" spans="1:27">
      <c r="B34" s="16">
        <v>9</v>
      </c>
      <c r="C34" s="16">
        <f>C33+C31</f>
        <v>4.7</v>
      </c>
      <c r="D34" s="30">
        <f t="shared" si="41"/>
        <v>32148</v>
      </c>
      <c r="E34" s="44">
        <f t="shared" si="48"/>
        <v>771552</v>
      </c>
      <c r="F34" s="44">
        <f t="shared" si="43"/>
        <v>771552</v>
      </c>
      <c r="G34" s="44">
        <v>1</v>
      </c>
      <c r="H34" s="30">
        <f t="shared" si="49"/>
        <v>2314656</v>
      </c>
      <c r="I34" s="45">
        <f t="shared" si="45"/>
        <v>0.9</v>
      </c>
      <c r="L34" s="16">
        <f t="shared" si="46"/>
        <v>2.7</v>
      </c>
      <c r="M34" s="16">
        <v>7</v>
      </c>
      <c r="O34" s="44">
        <f>M34*F34*基本公式!$B$151</f>
        <v>10801728</v>
      </c>
      <c r="P34" s="46">
        <f t="shared" si="56"/>
        <v>4320691</v>
      </c>
      <c r="Q34" s="5">
        <v>0.4</v>
      </c>
      <c r="R34" s="46">
        <f t="shared" si="57"/>
        <v>3780605</v>
      </c>
      <c r="S34" s="5">
        <v>0.35</v>
      </c>
      <c r="T34" s="46">
        <f>ROUND(O34*U34+其他表格!T10,0)</f>
        <v>1645259</v>
      </c>
      <c r="U34" s="5">
        <v>0.15</v>
      </c>
      <c r="W34" s="5"/>
      <c r="X34" s="44">
        <f t="shared" si="54"/>
        <v>2160346</v>
      </c>
      <c r="Y34" s="5">
        <v>0.2</v>
      </c>
      <c r="Z34" s="44">
        <f t="shared" si="55"/>
        <v>1620259</v>
      </c>
      <c r="AA34" s="5">
        <v>0.15</v>
      </c>
    </row>
    <row r="35" spans="1:27">
      <c r="A35" s="21" t="s">
        <v>209</v>
      </c>
      <c r="B35" s="16">
        <v>10</v>
      </c>
      <c r="C35" s="16">
        <f>C34+C32</f>
        <v>6.8</v>
      </c>
      <c r="D35" s="30">
        <f t="shared" si="41"/>
        <v>48960</v>
      </c>
      <c r="E35" s="44">
        <f t="shared" si="48"/>
        <v>1175040</v>
      </c>
      <c r="F35" s="44">
        <f t="shared" si="43"/>
        <v>1175040</v>
      </c>
      <c r="G35" s="44">
        <v>1</v>
      </c>
      <c r="H35" s="30">
        <f t="shared" si="49"/>
        <v>3525120</v>
      </c>
      <c r="I35" s="45">
        <f t="shared" si="45"/>
        <v>1</v>
      </c>
      <c r="L35" s="16">
        <f t="shared" si="46"/>
        <v>4</v>
      </c>
      <c r="M35" s="16">
        <v>11</v>
      </c>
      <c r="O35" s="44">
        <f>M35*F35*基本公式!$B$151</f>
        <v>25850880</v>
      </c>
      <c r="P35" s="46">
        <f t="shared" si="56"/>
        <v>10340352</v>
      </c>
      <c r="Q35" s="5">
        <v>0.4</v>
      </c>
      <c r="R35" s="46">
        <f t="shared" si="57"/>
        <v>9047808</v>
      </c>
      <c r="S35" s="5">
        <v>0.35</v>
      </c>
      <c r="T35" s="46">
        <f>ROUND(O35*U35+其他表格!T11,0)</f>
        <v>3902632</v>
      </c>
      <c r="U35" s="5">
        <v>0.15</v>
      </c>
      <c r="W35" s="5"/>
      <c r="X35" s="44">
        <f t="shared" si="54"/>
        <v>5170176</v>
      </c>
      <c r="Y35" s="5">
        <v>0.2</v>
      </c>
      <c r="Z35" s="44">
        <f t="shared" si="55"/>
        <v>3877632</v>
      </c>
      <c r="AA35" s="5">
        <v>0.15</v>
      </c>
    </row>
    <row r="36" spans="1:27">
      <c r="B36" s="16">
        <v>11</v>
      </c>
      <c r="C36" s="16">
        <f>C34+C33</f>
        <v>8.1</v>
      </c>
      <c r="D36" s="30">
        <f t="shared" si="41"/>
        <v>61236</v>
      </c>
      <c r="E36" s="44">
        <f t="shared" si="48"/>
        <v>1469664</v>
      </c>
      <c r="F36" s="44">
        <f t="shared" ref="F36" si="58">E36*G36</f>
        <v>1469664</v>
      </c>
      <c r="G36" s="44">
        <v>1</v>
      </c>
      <c r="H36" s="30">
        <f t="shared" si="49"/>
        <v>4408992</v>
      </c>
      <c r="I36" s="45">
        <f t="shared" si="45"/>
        <v>1.1000000000000001</v>
      </c>
      <c r="L36" s="16">
        <f t="shared" si="46"/>
        <v>7</v>
      </c>
      <c r="M36" s="16">
        <v>18</v>
      </c>
      <c r="O36" s="44">
        <f>M36*F36*基本公式!$B$151</f>
        <v>52907904</v>
      </c>
      <c r="P36" s="46">
        <f t="shared" si="56"/>
        <v>21163162</v>
      </c>
      <c r="Q36" s="5">
        <v>0.4</v>
      </c>
      <c r="R36" s="46">
        <f t="shared" si="57"/>
        <v>18517766</v>
      </c>
      <c r="S36" s="5">
        <v>0.35</v>
      </c>
      <c r="T36" s="46">
        <f t="shared" ref="T36" si="59">ROUND(O36*U36,0)</f>
        <v>7936186</v>
      </c>
      <c r="U36" s="5">
        <v>0.15</v>
      </c>
      <c r="W36" s="5"/>
      <c r="X36" s="44">
        <f t="shared" si="54"/>
        <v>10581581</v>
      </c>
      <c r="Y36" s="5">
        <v>0.2</v>
      </c>
      <c r="Z36" s="44">
        <f t="shared" si="55"/>
        <v>7936186</v>
      </c>
      <c r="AA36" s="5">
        <v>0.15</v>
      </c>
    </row>
    <row r="37" spans="1:27">
      <c r="B37" s="16">
        <v>12</v>
      </c>
      <c r="C37" s="16">
        <f>C35+C34</f>
        <v>11.5</v>
      </c>
      <c r="D37" s="30">
        <f t="shared" si="41"/>
        <v>91080</v>
      </c>
      <c r="E37" s="44">
        <f t="shared" si="48"/>
        <v>2185920</v>
      </c>
      <c r="F37" s="44">
        <f t="shared" ref="F37:F45" si="60">E37*G37</f>
        <v>2185920</v>
      </c>
      <c r="G37" s="44">
        <v>1</v>
      </c>
      <c r="H37" s="30">
        <f t="shared" si="49"/>
        <v>6557760</v>
      </c>
      <c r="I37" s="45">
        <f t="shared" si="45"/>
        <v>1.2</v>
      </c>
      <c r="L37" s="16">
        <f t="shared" si="46"/>
        <v>9</v>
      </c>
      <c r="M37" s="16">
        <v>27</v>
      </c>
      <c r="O37" s="44">
        <f>M37*F37*基本公式!$B$151</f>
        <v>118039680</v>
      </c>
      <c r="P37" s="46">
        <f t="shared" si="56"/>
        <v>47215872</v>
      </c>
      <c r="Q37" s="5">
        <v>0.4</v>
      </c>
      <c r="R37" s="46">
        <f t="shared" si="57"/>
        <v>41313888</v>
      </c>
      <c r="S37" s="5">
        <v>0.35</v>
      </c>
      <c r="T37" s="46">
        <f t="shared" ref="T37:T45" si="61">ROUND(O37*U37,0)</f>
        <v>17705952</v>
      </c>
      <c r="U37" s="5">
        <v>0.15</v>
      </c>
      <c r="W37" s="5"/>
      <c r="X37" s="44">
        <f t="shared" si="54"/>
        <v>23607936</v>
      </c>
      <c r="Y37" s="5">
        <v>0.2</v>
      </c>
      <c r="Z37" s="44">
        <f t="shared" si="55"/>
        <v>17705952</v>
      </c>
      <c r="AA37" s="5">
        <v>0.15</v>
      </c>
    </row>
    <row r="38" spans="1:27">
      <c r="A38" s="16"/>
      <c r="B38" s="16">
        <v>13</v>
      </c>
      <c r="C38" s="16">
        <v>14.4</v>
      </c>
      <c r="D38" s="30">
        <f t="shared" si="41"/>
        <v>119232</v>
      </c>
      <c r="E38" s="44">
        <f t="shared" si="48"/>
        <v>2861568</v>
      </c>
      <c r="F38" s="44">
        <f t="shared" si="60"/>
        <v>2861568</v>
      </c>
      <c r="G38" s="44">
        <v>1</v>
      </c>
      <c r="H38" s="30">
        <f t="shared" si="49"/>
        <v>8584704</v>
      </c>
      <c r="I38" s="45">
        <f t="shared" si="45"/>
        <v>1.3</v>
      </c>
      <c r="L38" s="16">
        <f t="shared" si="46"/>
        <v>13</v>
      </c>
      <c r="M38" s="16">
        <v>40</v>
      </c>
      <c r="O38" s="44">
        <f>M38*F38*基本公式!$B$151</f>
        <v>228925440</v>
      </c>
      <c r="P38" s="46">
        <f t="shared" si="56"/>
        <v>91570176</v>
      </c>
      <c r="Q38" s="5">
        <v>0.4</v>
      </c>
      <c r="R38" s="46">
        <f t="shared" si="57"/>
        <v>80123904</v>
      </c>
      <c r="S38" s="5">
        <v>0.35</v>
      </c>
      <c r="T38" s="46">
        <f t="shared" si="61"/>
        <v>34338816</v>
      </c>
      <c r="U38" s="5">
        <v>0.15</v>
      </c>
      <c r="W38" s="5"/>
      <c r="X38" s="44">
        <f t="shared" si="54"/>
        <v>45785088</v>
      </c>
      <c r="Y38" s="5">
        <v>0.2</v>
      </c>
      <c r="Z38" s="44">
        <f t="shared" si="55"/>
        <v>34338816</v>
      </c>
      <c r="AA38" s="5">
        <v>0.15</v>
      </c>
    </row>
    <row r="39" spans="1:27">
      <c r="A39" s="21" t="s">
        <v>210</v>
      </c>
      <c r="B39" s="16">
        <v>14</v>
      </c>
      <c r="C39" s="16">
        <v>17</v>
      </c>
      <c r="D39" s="30">
        <f t="shared" si="41"/>
        <v>146880</v>
      </c>
      <c r="E39" s="44">
        <f t="shared" si="48"/>
        <v>3525120</v>
      </c>
      <c r="F39" s="44">
        <f t="shared" si="60"/>
        <v>3525120</v>
      </c>
      <c r="G39" s="44">
        <v>1</v>
      </c>
      <c r="H39" s="30">
        <f t="shared" si="49"/>
        <v>10575360</v>
      </c>
      <c r="I39" s="45">
        <f t="shared" si="45"/>
        <v>1.4</v>
      </c>
      <c r="L39" s="16">
        <f t="shared" si="46"/>
        <v>16</v>
      </c>
      <c r="M39" s="16">
        <f>L38+M38+3</f>
        <v>56</v>
      </c>
      <c r="O39" s="44">
        <f>M39*F39*基本公式!$B$151</f>
        <v>394813440</v>
      </c>
      <c r="P39" s="46">
        <f t="shared" si="56"/>
        <v>157925376</v>
      </c>
      <c r="Q39" s="5">
        <v>0.4</v>
      </c>
      <c r="R39" s="46">
        <f t="shared" si="57"/>
        <v>138184704</v>
      </c>
      <c r="S39" s="5">
        <v>0.35</v>
      </c>
      <c r="T39" s="46">
        <f t="shared" si="61"/>
        <v>59222016</v>
      </c>
      <c r="U39" s="5">
        <v>0.15</v>
      </c>
      <c r="W39" s="5"/>
      <c r="X39" s="44">
        <f t="shared" si="54"/>
        <v>78962688</v>
      </c>
      <c r="Y39" s="5">
        <v>0.2</v>
      </c>
      <c r="Z39" s="44">
        <f t="shared" si="55"/>
        <v>59222016</v>
      </c>
      <c r="AA39" s="5">
        <v>0.15</v>
      </c>
    </row>
    <row r="40" spans="1:27">
      <c r="B40" s="16">
        <v>15</v>
      </c>
      <c r="C40" s="16">
        <v>20</v>
      </c>
      <c r="D40" s="30">
        <f t="shared" si="41"/>
        <v>180000</v>
      </c>
      <c r="E40" s="44">
        <f t="shared" si="48"/>
        <v>4320000</v>
      </c>
      <c r="F40" s="44">
        <f t="shared" si="60"/>
        <v>4320000</v>
      </c>
      <c r="G40" s="44">
        <v>1</v>
      </c>
      <c r="H40" s="30">
        <f t="shared" si="49"/>
        <v>12960000</v>
      </c>
      <c r="I40" s="45">
        <f t="shared" si="45"/>
        <v>1.5</v>
      </c>
      <c r="L40" s="16">
        <f t="shared" si="46"/>
        <v>19</v>
      </c>
      <c r="M40" s="16">
        <f t="shared" ref="M40" si="62">M39+L39+3</f>
        <v>75</v>
      </c>
      <c r="O40" s="44">
        <f>M40*F40*基本公式!$B$151</f>
        <v>648000000</v>
      </c>
      <c r="P40" s="46">
        <f t="shared" si="56"/>
        <v>259200000</v>
      </c>
      <c r="Q40" s="5">
        <v>0.4</v>
      </c>
      <c r="R40" s="46">
        <f t="shared" si="57"/>
        <v>226800000</v>
      </c>
      <c r="S40" s="5">
        <v>0.35</v>
      </c>
      <c r="T40" s="46">
        <f t="shared" si="61"/>
        <v>97200000</v>
      </c>
      <c r="U40" s="5">
        <v>0.15</v>
      </c>
      <c r="W40" s="5"/>
      <c r="X40" s="44">
        <f t="shared" si="54"/>
        <v>129600000</v>
      </c>
      <c r="Y40" s="5">
        <v>0.2</v>
      </c>
      <c r="Z40" s="44">
        <f t="shared" si="55"/>
        <v>97200000</v>
      </c>
      <c r="AA40" s="5">
        <v>0.15</v>
      </c>
    </row>
    <row r="41" spans="1:27">
      <c r="B41" s="16">
        <v>16</v>
      </c>
      <c r="C41" s="16">
        <v>23</v>
      </c>
      <c r="D41" s="30">
        <f t="shared" si="41"/>
        <v>215280</v>
      </c>
      <c r="E41" s="44">
        <f t="shared" si="48"/>
        <v>5166720</v>
      </c>
      <c r="F41" s="44">
        <f t="shared" si="60"/>
        <v>5166720</v>
      </c>
      <c r="G41" s="44">
        <v>1</v>
      </c>
      <c r="H41" s="30">
        <f t="shared" si="49"/>
        <v>15500160</v>
      </c>
      <c r="I41" s="45">
        <f t="shared" si="45"/>
        <v>1.6</v>
      </c>
      <c r="L41" s="16">
        <f t="shared" si="46"/>
        <v>22</v>
      </c>
      <c r="M41" s="16">
        <f>M40+L40+3</f>
        <v>97</v>
      </c>
      <c r="O41" s="44">
        <f>M41*F41*基本公式!$B$151</f>
        <v>1002343680</v>
      </c>
      <c r="P41" s="46">
        <f t="shared" si="56"/>
        <v>400937472</v>
      </c>
      <c r="Q41" s="5">
        <v>0.4</v>
      </c>
      <c r="R41" s="46">
        <f t="shared" si="57"/>
        <v>350820288</v>
      </c>
      <c r="S41" s="5">
        <v>0.35</v>
      </c>
      <c r="T41" s="46">
        <f t="shared" si="61"/>
        <v>150351552</v>
      </c>
      <c r="U41" s="5">
        <v>0.15</v>
      </c>
      <c r="W41" s="5"/>
      <c r="X41" s="44">
        <f t="shared" si="54"/>
        <v>200468736</v>
      </c>
      <c r="Y41" s="5">
        <v>0.2</v>
      </c>
      <c r="Z41" s="44">
        <f t="shared" si="55"/>
        <v>150351552</v>
      </c>
      <c r="AA41" s="5">
        <v>0.15</v>
      </c>
    </row>
    <row r="42" spans="1:27">
      <c r="B42" s="16">
        <v>17</v>
      </c>
      <c r="C42" s="16">
        <v>26.3</v>
      </c>
      <c r="D42" s="30">
        <f t="shared" si="41"/>
        <v>255636</v>
      </c>
      <c r="E42" s="44">
        <f t="shared" si="48"/>
        <v>6135264</v>
      </c>
      <c r="F42" s="44">
        <f t="shared" si="60"/>
        <v>6135264</v>
      </c>
      <c r="G42" s="44">
        <v>1</v>
      </c>
      <c r="H42" s="30">
        <f t="shared" si="49"/>
        <v>18405792</v>
      </c>
      <c r="I42" s="45">
        <f t="shared" si="45"/>
        <v>1.7</v>
      </c>
      <c r="L42" s="16">
        <f t="shared" si="46"/>
        <v>25</v>
      </c>
      <c r="M42" s="16">
        <f>M41+L41+3</f>
        <v>122</v>
      </c>
      <c r="O42" s="44">
        <f>M42*F42*基本公式!$B$151</f>
        <v>1497004416</v>
      </c>
      <c r="P42" s="46">
        <f t="shared" si="56"/>
        <v>598801766</v>
      </c>
      <c r="Q42" s="5">
        <v>0.4</v>
      </c>
      <c r="R42" s="46">
        <f t="shared" si="57"/>
        <v>523951546</v>
      </c>
      <c r="S42" s="5">
        <v>0.35</v>
      </c>
      <c r="T42" s="46">
        <f t="shared" si="61"/>
        <v>224550662</v>
      </c>
      <c r="U42" s="5">
        <v>0.15</v>
      </c>
      <c r="W42" s="5"/>
      <c r="X42" s="44">
        <f t="shared" si="54"/>
        <v>299400883</v>
      </c>
      <c r="Y42" s="5">
        <v>0.2</v>
      </c>
      <c r="Z42" s="44">
        <f t="shared" si="55"/>
        <v>224550662</v>
      </c>
      <c r="AA42" s="5">
        <v>0.15</v>
      </c>
    </row>
    <row r="43" spans="1:27">
      <c r="B43" s="16">
        <v>18</v>
      </c>
      <c r="C43" s="16">
        <v>30</v>
      </c>
      <c r="D43" s="30">
        <f t="shared" si="41"/>
        <v>302400</v>
      </c>
      <c r="E43" s="44">
        <f t="shared" si="48"/>
        <v>7257600</v>
      </c>
      <c r="F43" s="44">
        <f t="shared" si="60"/>
        <v>7257600</v>
      </c>
      <c r="G43" s="44">
        <v>1</v>
      </c>
      <c r="H43" s="30">
        <f t="shared" si="49"/>
        <v>21772800</v>
      </c>
      <c r="I43" s="45">
        <f t="shared" si="45"/>
        <v>1.8</v>
      </c>
      <c r="L43" s="16">
        <f t="shared" si="46"/>
        <v>28</v>
      </c>
      <c r="M43" s="16">
        <f>M42+L42+3</f>
        <v>150</v>
      </c>
      <c r="O43" s="44">
        <f>M43*F43*基本公式!$B$151</f>
        <v>2177280000</v>
      </c>
      <c r="P43" s="46">
        <f t="shared" si="56"/>
        <v>870912000</v>
      </c>
      <c r="Q43" s="5">
        <v>0.4</v>
      </c>
      <c r="R43" s="46">
        <f t="shared" si="57"/>
        <v>762048000</v>
      </c>
      <c r="S43" s="5">
        <v>0.35</v>
      </c>
      <c r="T43" s="46">
        <f t="shared" si="61"/>
        <v>326592000</v>
      </c>
      <c r="U43" s="5">
        <v>0.15</v>
      </c>
      <c r="W43" s="5"/>
      <c r="X43" s="44">
        <f t="shared" si="54"/>
        <v>435456000</v>
      </c>
      <c r="Y43" s="5">
        <v>0.2</v>
      </c>
      <c r="Z43" s="44">
        <f t="shared" si="55"/>
        <v>326592000</v>
      </c>
      <c r="AA43" s="5">
        <v>0.15</v>
      </c>
    </row>
    <row r="44" spans="1:27">
      <c r="A44" s="22" t="s">
        <v>211</v>
      </c>
      <c r="B44" s="16">
        <v>19</v>
      </c>
      <c r="C44" s="16">
        <v>34</v>
      </c>
      <c r="D44" s="30">
        <f t="shared" si="41"/>
        <v>354960</v>
      </c>
      <c r="E44" s="44">
        <f t="shared" si="48"/>
        <v>8519040</v>
      </c>
      <c r="F44" s="44">
        <f t="shared" si="60"/>
        <v>8519040</v>
      </c>
      <c r="G44" s="44">
        <v>1</v>
      </c>
      <c r="H44" s="30">
        <f t="shared" si="49"/>
        <v>25557120</v>
      </c>
      <c r="I44" s="45">
        <f t="shared" si="45"/>
        <v>1.9</v>
      </c>
      <c r="L44" s="16">
        <f t="shared" si="46"/>
        <v>31</v>
      </c>
      <c r="M44" s="16">
        <f>M43+L43+3</f>
        <v>181</v>
      </c>
      <c r="O44" s="44">
        <f>M44*F44*基本公式!$B$151</f>
        <v>3083892480</v>
      </c>
      <c r="P44" s="46">
        <f t="shared" si="56"/>
        <v>1233556992</v>
      </c>
      <c r="Q44" s="5">
        <v>0.4</v>
      </c>
      <c r="R44" s="46">
        <f t="shared" si="57"/>
        <v>1079362368</v>
      </c>
      <c r="S44" s="5">
        <v>0.35</v>
      </c>
      <c r="T44" s="46">
        <f t="shared" si="61"/>
        <v>462583872</v>
      </c>
      <c r="U44" s="5">
        <v>0.15</v>
      </c>
      <c r="W44" s="5"/>
      <c r="X44" s="44">
        <f t="shared" si="54"/>
        <v>616778496</v>
      </c>
      <c r="Y44" s="5">
        <v>0.2</v>
      </c>
      <c r="Z44" s="44">
        <f t="shared" si="55"/>
        <v>462583872</v>
      </c>
      <c r="AA44" s="5">
        <v>0.15</v>
      </c>
    </row>
    <row r="45" spans="1:27">
      <c r="B45" s="16">
        <v>20</v>
      </c>
      <c r="C45" s="16">
        <v>40</v>
      </c>
      <c r="D45" s="30">
        <f t="shared" si="41"/>
        <v>432000</v>
      </c>
      <c r="E45" s="44">
        <f t="shared" si="48"/>
        <v>10368000</v>
      </c>
      <c r="F45" s="44">
        <f t="shared" si="60"/>
        <v>10368000</v>
      </c>
      <c r="G45" s="44">
        <v>1</v>
      </c>
      <c r="H45" s="30">
        <f t="shared" si="49"/>
        <v>31104000</v>
      </c>
      <c r="I45" s="45">
        <v>2</v>
      </c>
      <c r="L45" s="16">
        <f t="shared" si="46"/>
        <v>34</v>
      </c>
      <c r="M45" s="16">
        <f>M44+L44+3</f>
        <v>215</v>
      </c>
      <c r="O45" s="44">
        <f>M45*F45*基本公式!$B$151</f>
        <v>4458240000</v>
      </c>
      <c r="P45" s="46">
        <f t="shared" si="56"/>
        <v>1783296000</v>
      </c>
      <c r="Q45" s="5">
        <v>0.4</v>
      </c>
      <c r="R45" s="46">
        <f t="shared" si="57"/>
        <v>1560384000</v>
      </c>
      <c r="S45" s="5">
        <v>0.35</v>
      </c>
      <c r="T45" s="46">
        <f t="shared" si="61"/>
        <v>668736000</v>
      </c>
      <c r="U45" s="5">
        <v>0.15</v>
      </c>
      <c r="W45" s="5"/>
      <c r="X45" s="44">
        <f t="shared" si="54"/>
        <v>891648000</v>
      </c>
      <c r="Y45" s="5">
        <v>0.2</v>
      </c>
      <c r="Z45" s="44">
        <f t="shared" si="55"/>
        <v>668736000</v>
      </c>
      <c r="AA45" s="5">
        <v>0.15</v>
      </c>
    </row>
    <row r="47" spans="1:27" s="7" customFormat="1">
      <c r="A47" s="32" t="s">
        <v>94</v>
      </c>
      <c r="D47" s="28"/>
      <c r="E47" s="28"/>
      <c r="F47" s="28"/>
      <c r="G47" s="28"/>
      <c r="H47" s="28"/>
      <c r="I47" s="41"/>
      <c r="J47" s="28"/>
      <c r="O47" s="42"/>
      <c r="P47" s="40"/>
      <c r="Q47" s="43"/>
      <c r="R47" s="40"/>
      <c r="T47" s="40"/>
      <c r="V47" s="40"/>
      <c r="X47" s="28"/>
      <c r="Z47" s="28"/>
    </row>
    <row r="48" spans="1:27">
      <c r="B48" s="16">
        <v>1</v>
      </c>
      <c r="C48" s="16">
        <v>0.1</v>
      </c>
      <c r="D48" s="30">
        <f t="shared" ref="D48" si="63">ROUND(C48*3600*(1+I48),0)</f>
        <v>396</v>
      </c>
      <c r="E48" s="44">
        <f>24*D48</f>
        <v>9504</v>
      </c>
      <c r="F48" s="44">
        <f t="shared" ref="F48" si="64">E48*G48</f>
        <v>9504</v>
      </c>
      <c r="G48" s="44">
        <v>1</v>
      </c>
      <c r="H48" s="30">
        <f>3*F48</f>
        <v>28512</v>
      </c>
      <c r="I48" s="45">
        <f t="shared" ref="I48" si="65">I49-0.1</f>
        <v>9.9999999999999395E-2</v>
      </c>
      <c r="L48" s="16">
        <f t="shared" ref="L48" si="66">M48-M47</f>
        <v>0.01</v>
      </c>
      <c r="M48" s="16">
        <v>0.01</v>
      </c>
      <c r="O48" s="44">
        <f>M48*F48*基本公式!$B$152</f>
        <v>190.08</v>
      </c>
      <c r="P48" s="46">
        <f t="shared" ref="P48" si="67">ROUND(O48*Q48,0)</f>
        <v>48</v>
      </c>
      <c r="Q48" s="5">
        <v>0.25</v>
      </c>
      <c r="R48" s="46">
        <f t="shared" ref="R48" si="68">ROUND(O48*S48,0)</f>
        <v>19</v>
      </c>
      <c r="S48" s="5">
        <v>0.1</v>
      </c>
      <c r="T48" s="46">
        <f>ROUND(O48*U48+其他表格!U2,0)</f>
        <v>4019</v>
      </c>
      <c r="U48" s="5">
        <v>0.1</v>
      </c>
      <c r="W48" s="5"/>
      <c r="X48" s="44">
        <f t="shared" ref="X48" si="69">ROUND(O48*Y48,0)</f>
        <v>76</v>
      </c>
      <c r="Y48" s="5">
        <v>0.4</v>
      </c>
      <c r="Z48" s="44">
        <f t="shared" ref="Z48" si="70">ROUND(O48*AA48,0)</f>
        <v>29</v>
      </c>
      <c r="AA48" s="5">
        <v>0.15</v>
      </c>
    </row>
    <row r="49" spans="1:27">
      <c r="B49" s="16">
        <v>2</v>
      </c>
      <c r="C49" s="16">
        <f>C48+C48</f>
        <v>0.2</v>
      </c>
      <c r="D49" s="30">
        <f t="shared" ref="D49:D67" si="71">ROUND(C49*3600*(1+I49),0)</f>
        <v>864</v>
      </c>
      <c r="E49" s="44">
        <f t="shared" ref="E49" si="72">24*D49</f>
        <v>20736</v>
      </c>
      <c r="F49" s="44">
        <f t="shared" ref="F49:F57" si="73">E49*G49</f>
        <v>20736</v>
      </c>
      <c r="G49" s="44">
        <v>1</v>
      </c>
      <c r="H49" s="30">
        <f t="shared" ref="H49" si="74">3*F49</f>
        <v>62208</v>
      </c>
      <c r="I49" s="45">
        <f t="shared" ref="I49:I66" si="75">I50-0.1</f>
        <v>0.2</v>
      </c>
      <c r="L49" s="16">
        <f t="shared" ref="L49:L67" si="76">M49-M48</f>
        <v>0.04</v>
      </c>
      <c r="M49" s="16">
        <v>0.05</v>
      </c>
      <c r="O49" s="44">
        <f>M49*F49*基本公式!$B$152</f>
        <v>2073.6</v>
      </c>
      <c r="P49" s="46">
        <f>ROUND(O49*Q49,0)</f>
        <v>518</v>
      </c>
      <c r="Q49" s="5">
        <v>0.25</v>
      </c>
      <c r="R49" s="46">
        <f>ROUND(O49*S49,0)</f>
        <v>207</v>
      </c>
      <c r="S49" s="5">
        <v>0.1</v>
      </c>
      <c r="T49" s="46">
        <f>ROUND(O49*U49+其他表格!U3,0)</f>
        <v>7207</v>
      </c>
      <c r="U49" s="5">
        <v>0.1</v>
      </c>
      <c r="W49" s="5"/>
      <c r="X49" s="44">
        <f>ROUND(O49*Y49,0)</f>
        <v>829</v>
      </c>
      <c r="Y49" s="5">
        <v>0.4</v>
      </c>
      <c r="Z49" s="44">
        <f>ROUND(O49*AA49,0)</f>
        <v>311</v>
      </c>
      <c r="AA49" s="5">
        <v>0.15</v>
      </c>
    </row>
    <row r="50" spans="1:27">
      <c r="B50" s="16">
        <v>3</v>
      </c>
      <c r="C50" s="16">
        <f t="shared" ref="C50" si="77">C49+C48</f>
        <v>0.3</v>
      </c>
      <c r="D50" s="30">
        <f t="shared" si="71"/>
        <v>1404</v>
      </c>
      <c r="E50" s="44">
        <f t="shared" ref="E50:E67" si="78">24*D50</f>
        <v>33696</v>
      </c>
      <c r="F50" s="44">
        <f t="shared" si="73"/>
        <v>33696</v>
      </c>
      <c r="G50" s="44">
        <v>1</v>
      </c>
      <c r="H50" s="30">
        <f t="shared" ref="H50:H67" si="79">3*F50</f>
        <v>101088</v>
      </c>
      <c r="I50" s="45">
        <f t="shared" si="75"/>
        <v>0.29999999999999899</v>
      </c>
      <c r="L50" s="16">
        <f t="shared" si="76"/>
        <v>0.15</v>
      </c>
      <c r="M50" s="16">
        <v>0.2</v>
      </c>
      <c r="O50" s="44">
        <f>M50*F50*基本公式!$B$152</f>
        <v>13478.4</v>
      </c>
      <c r="P50" s="46">
        <f>ROUND(O50*Q50,0)</f>
        <v>3370</v>
      </c>
      <c r="Q50" s="5">
        <v>0.25</v>
      </c>
      <c r="R50" s="46">
        <f>ROUND(O50*S50,0)</f>
        <v>1348</v>
      </c>
      <c r="S50" s="5">
        <v>0.1</v>
      </c>
      <c r="T50" s="46">
        <f>ROUND(O50*U50+其他表格!U4,0)</f>
        <v>11348</v>
      </c>
      <c r="U50" s="5">
        <v>0.1</v>
      </c>
      <c r="W50" s="5"/>
      <c r="X50" s="44">
        <f>ROUND(O50*Y50,0)</f>
        <v>5391</v>
      </c>
      <c r="Y50" s="5">
        <v>0.4</v>
      </c>
      <c r="Z50" s="44">
        <f>ROUND(O50*AA50,0)</f>
        <v>2022</v>
      </c>
      <c r="AA50" s="5">
        <v>0.15</v>
      </c>
    </row>
    <row r="51" spans="1:27">
      <c r="B51" s="16">
        <v>4</v>
      </c>
      <c r="C51" s="16">
        <f>C50+C49</f>
        <v>0.5</v>
      </c>
      <c r="D51" s="30">
        <f t="shared" si="71"/>
        <v>2520</v>
      </c>
      <c r="E51" s="44">
        <f t="shared" si="78"/>
        <v>60480</v>
      </c>
      <c r="F51" s="44">
        <f t="shared" si="73"/>
        <v>60480</v>
      </c>
      <c r="G51" s="44">
        <v>1</v>
      </c>
      <c r="H51" s="30">
        <f t="shared" si="79"/>
        <v>181440</v>
      </c>
      <c r="I51" s="45">
        <f t="shared" si="75"/>
        <v>0.39999999999999902</v>
      </c>
      <c r="L51" s="16">
        <f t="shared" si="76"/>
        <v>0.25</v>
      </c>
      <c r="M51" s="16">
        <v>0.45</v>
      </c>
      <c r="O51" s="44">
        <f>M51*F51*基本公式!$B$152</f>
        <v>54432</v>
      </c>
      <c r="P51" s="46">
        <f>ROUND(O51*Q51,0)</f>
        <v>13608</v>
      </c>
      <c r="Q51" s="5">
        <v>0.25</v>
      </c>
      <c r="R51" s="46">
        <f>ROUND(O51*S51,0)</f>
        <v>5443</v>
      </c>
      <c r="S51" s="5">
        <v>0.1</v>
      </c>
      <c r="T51" s="46">
        <f>ROUND(O51*U51+其他表格!U5,0)</f>
        <v>17443</v>
      </c>
      <c r="U51" s="5">
        <v>0.1</v>
      </c>
      <c r="W51" s="5"/>
      <c r="X51" s="44">
        <f>ROUND(O51*Y51,0)</f>
        <v>21773</v>
      </c>
      <c r="Y51" s="5">
        <v>0.4</v>
      </c>
      <c r="Z51" s="44">
        <f>ROUND(O51*AA51,0)</f>
        <v>8165</v>
      </c>
      <c r="AA51" s="5">
        <v>0.15</v>
      </c>
    </row>
    <row r="52" spans="1:27">
      <c r="B52" s="16">
        <v>5</v>
      </c>
      <c r="C52" s="16">
        <f>C51+C50</f>
        <v>0.8</v>
      </c>
      <c r="D52" s="30">
        <f t="shared" si="71"/>
        <v>4320</v>
      </c>
      <c r="E52" s="44">
        <f t="shared" si="78"/>
        <v>103680</v>
      </c>
      <c r="F52" s="44">
        <f t="shared" si="73"/>
        <v>103680</v>
      </c>
      <c r="G52" s="44">
        <v>1</v>
      </c>
      <c r="H52" s="30">
        <f t="shared" si="79"/>
        <v>311040</v>
      </c>
      <c r="I52" s="45">
        <f t="shared" si="75"/>
        <v>0.499999999999999</v>
      </c>
      <c r="L52" s="16">
        <f t="shared" si="76"/>
        <v>0.4</v>
      </c>
      <c r="M52" s="16">
        <v>0.85</v>
      </c>
      <c r="O52" s="44">
        <f>M52*F52*基本公式!$B$152</f>
        <v>176256</v>
      </c>
      <c r="P52" s="46">
        <f>ROUND(O52*Q52,0)</f>
        <v>44064</v>
      </c>
      <c r="Q52" s="5">
        <v>0.25</v>
      </c>
      <c r="R52" s="46">
        <f>ROUND(O52*S52,0)</f>
        <v>17626</v>
      </c>
      <c r="S52" s="5">
        <v>0.1</v>
      </c>
      <c r="T52" s="46">
        <f>ROUND(O52*U52+其他表格!U6,0)</f>
        <v>29626</v>
      </c>
      <c r="U52" s="5">
        <v>0.1</v>
      </c>
      <c r="W52" s="5"/>
      <c r="X52" s="44">
        <f t="shared" ref="X52" si="80">ROUND(O52*Y52,0)</f>
        <v>70502</v>
      </c>
      <c r="Y52" s="5">
        <v>0.4</v>
      </c>
      <c r="Z52" s="44">
        <f t="shared" ref="Z52" si="81">ROUND(O52*AA52,0)</f>
        <v>26438</v>
      </c>
      <c r="AA52" s="5">
        <v>0.15</v>
      </c>
    </row>
    <row r="53" spans="1:27">
      <c r="B53" s="16">
        <v>6</v>
      </c>
      <c r="C53" s="16">
        <f>C52+C51</f>
        <v>1.3</v>
      </c>
      <c r="D53" s="30">
        <f t="shared" si="71"/>
        <v>7488</v>
      </c>
      <c r="E53" s="44">
        <f t="shared" si="78"/>
        <v>179712</v>
      </c>
      <c r="F53" s="44">
        <f t="shared" si="73"/>
        <v>179712</v>
      </c>
      <c r="G53" s="44">
        <v>1</v>
      </c>
      <c r="H53" s="30">
        <f t="shared" si="79"/>
        <v>539136</v>
      </c>
      <c r="I53" s="45">
        <f t="shared" si="75"/>
        <v>0.59999999999999898</v>
      </c>
      <c r="L53" s="16">
        <f t="shared" si="76"/>
        <v>0.55000000000000004</v>
      </c>
      <c r="M53" s="16">
        <v>1.4</v>
      </c>
      <c r="O53" s="44">
        <f>M53*F53*基本公式!$B$152</f>
        <v>503193.59999999998</v>
      </c>
      <c r="P53" s="46">
        <f t="shared" ref="P53" si="82">ROUND(O53*Q53,0)</f>
        <v>125798</v>
      </c>
      <c r="Q53" s="5">
        <v>0.25</v>
      </c>
      <c r="R53" s="46">
        <f t="shared" ref="R53" si="83">ROUND(O53*S53,0)</f>
        <v>50319</v>
      </c>
      <c r="S53" s="5">
        <v>0.1</v>
      </c>
      <c r="T53" s="46">
        <f>ROUND(O53*U53+其他表格!U7,0)</f>
        <v>70319</v>
      </c>
      <c r="U53" s="5">
        <v>0.1</v>
      </c>
      <c r="W53" s="5"/>
      <c r="X53" s="44">
        <f t="shared" ref="X53:X67" si="84">ROUND(O53*Y53,0)</f>
        <v>201277</v>
      </c>
      <c r="Y53" s="5">
        <v>0.4</v>
      </c>
      <c r="Z53" s="44">
        <f t="shared" ref="Z53:Z67" si="85">ROUND(O53*AA53,0)</f>
        <v>75479</v>
      </c>
      <c r="AA53" s="5">
        <v>0.15</v>
      </c>
    </row>
    <row r="54" spans="1:27">
      <c r="B54" s="16">
        <v>7</v>
      </c>
      <c r="C54" s="16">
        <f>C53+C52</f>
        <v>2.1</v>
      </c>
      <c r="D54" s="30">
        <f t="shared" si="71"/>
        <v>12852</v>
      </c>
      <c r="E54" s="44">
        <f t="shared" si="78"/>
        <v>308448</v>
      </c>
      <c r="F54" s="44">
        <f t="shared" si="73"/>
        <v>308448</v>
      </c>
      <c r="G54" s="44">
        <v>1</v>
      </c>
      <c r="H54" s="30">
        <f t="shared" si="79"/>
        <v>925344</v>
      </c>
      <c r="I54" s="45">
        <f t="shared" si="75"/>
        <v>0.69999999999999896</v>
      </c>
      <c r="L54" s="16">
        <f t="shared" si="76"/>
        <v>0.9</v>
      </c>
      <c r="M54" s="16">
        <v>2.2999999999999998</v>
      </c>
      <c r="O54" s="44">
        <f>M54*F54*基本公式!$B$152</f>
        <v>1418860.8</v>
      </c>
      <c r="P54" s="46">
        <f t="shared" ref="P54:P67" si="86">ROUND(O54*Q54,0)</f>
        <v>354715</v>
      </c>
      <c r="Q54" s="5">
        <v>0.25</v>
      </c>
      <c r="R54" s="46">
        <f t="shared" ref="R54:R67" si="87">ROUND(O54*S54,0)</f>
        <v>141886</v>
      </c>
      <c r="S54" s="5">
        <v>0.1</v>
      </c>
      <c r="T54" s="46">
        <f>ROUND(O54*U54+其他表格!U8,0)</f>
        <v>161886</v>
      </c>
      <c r="U54" s="5">
        <v>0.1</v>
      </c>
      <c r="W54" s="5"/>
      <c r="X54" s="44">
        <f t="shared" si="84"/>
        <v>567544</v>
      </c>
      <c r="Y54" s="5">
        <v>0.4</v>
      </c>
      <c r="Z54" s="44">
        <f t="shared" si="85"/>
        <v>212829</v>
      </c>
      <c r="AA54" s="5">
        <v>0.15</v>
      </c>
    </row>
    <row r="55" spans="1:27">
      <c r="A55" s="16"/>
      <c r="B55" s="16">
        <v>8</v>
      </c>
      <c r="C55" s="16">
        <f>C54+C53</f>
        <v>3.4</v>
      </c>
      <c r="D55" s="30">
        <f t="shared" si="71"/>
        <v>22032</v>
      </c>
      <c r="E55" s="44">
        <f t="shared" si="78"/>
        <v>528768</v>
      </c>
      <c r="F55" s="44">
        <f t="shared" si="73"/>
        <v>528768</v>
      </c>
      <c r="G55" s="44">
        <v>1</v>
      </c>
      <c r="H55" s="30">
        <f t="shared" si="79"/>
        <v>1586304</v>
      </c>
      <c r="I55" s="45">
        <f t="shared" si="75"/>
        <v>0.79999999999999905</v>
      </c>
      <c r="L55" s="16">
        <f t="shared" si="76"/>
        <v>2</v>
      </c>
      <c r="M55" s="16">
        <v>4.3</v>
      </c>
      <c r="O55" s="44">
        <f>M55*F55*基本公式!$B$152</f>
        <v>4547404.8</v>
      </c>
      <c r="P55" s="46">
        <f t="shared" si="86"/>
        <v>1136851</v>
      </c>
      <c r="Q55" s="5">
        <v>0.25</v>
      </c>
      <c r="R55" s="46">
        <f t="shared" si="87"/>
        <v>454740</v>
      </c>
      <c r="S55" s="5">
        <v>0.1</v>
      </c>
      <c r="T55" s="46">
        <f>ROUND(O55*U55+其他表格!U9,0)</f>
        <v>474740</v>
      </c>
      <c r="U55" s="5">
        <v>0.1</v>
      </c>
      <c r="W55" s="5"/>
      <c r="X55" s="44">
        <f t="shared" si="84"/>
        <v>1818962</v>
      </c>
      <c r="Y55" s="5">
        <v>0.4</v>
      </c>
      <c r="Z55" s="44">
        <f t="shared" si="85"/>
        <v>682111</v>
      </c>
      <c r="AA55" s="5">
        <v>0.15</v>
      </c>
    </row>
    <row r="56" spans="1:27">
      <c r="B56" s="16">
        <v>9</v>
      </c>
      <c r="C56" s="16">
        <f>C55+C53</f>
        <v>4.7</v>
      </c>
      <c r="D56" s="30">
        <f t="shared" si="71"/>
        <v>32148</v>
      </c>
      <c r="E56" s="44">
        <f t="shared" si="78"/>
        <v>771552</v>
      </c>
      <c r="F56" s="44">
        <f t="shared" si="73"/>
        <v>771552</v>
      </c>
      <c r="G56" s="44">
        <v>1</v>
      </c>
      <c r="H56" s="30">
        <f t="shared" si="79"/>
        <v>2314656</v>
      </c>
      <c r="I56" s="45">
        <f t="shared" si="75"/>
        <v>0.9</v>
      </c>
      <c r="L56" s="16">
        <f t="shared" si="76"/>
        <v>2.7</v>
      </c>
      <c r="M56" s="16">
        <v>7</v>
      </c>
      <c r="O56" s="44">
        <f>M56*F56*基本公式!$B$152</f>
        <v>10801728</v>
      </c>
      <c r="P56" s="46">
        <f t="shared" si="86"/>
        <v>2700432</v>
      </c>
      <c r="Q56" s="5">
        <v>0.25</v>
      </c>
      <c r="R56" s="46">
        <f t="shared" si="87"/>
        <v>1080173</v>
      </c>
      <c r="S56" s="5">
        <v>0.1</v>
      </c>
      <c r="T56" s="46">
        <f>ROUND(O56*U56+其他表格!U10,0)</f>
        <v>1100173</v>
      </c>
      <c r="U56" s="5">
        <v>0.1</v>
      </c>
      <c r="W56" s="5"/>
      <c r="X56" s="44">
        <f t="shared" si="84"/>
        <v>4320691</v>
      </c>
      <c r="Y56" s="5">
        <v>0.4</v>
      </c>
      <c r="Z56" s="44">
        <f t="shared" si="85"/>
        <v>1620259</v>
      </c>
      <c r="AA56" s="5">
        <v>0.15</v>
      </c>
    </row>
    <row r="57" spans="1:27">
      <c r="A57" s="21" t="s">
        <v>209</v>
      </c>
      <c r="B57" s="16">
        <v>10</v>
      </c>
      <c r="C57" s="16">
        <f>C56+C54</f>
        <v>6.8</v>
      </c>
      <c r="D57" s="30">
        <f t="shared" si="71"/>
        <v>48960</v>
      </c>
      <c r="E57" s="44">
        <f t="shared" si="78"/>
        <v>1175040</v>
      </c>
      <c r="F57" s="44">
        <f t="shared" si="73"/>
        <v>1175040</v>
      </c>
      <c r="G57" s="44">
        <v>1</v>
      </c>
      <c r="H57" s="30">
        <f t="shared" si="79"/>
        <v>3525120</v>
      </c>
      <c r="I57" s="45">
        <f t="shared" si="75"/>
        <v>1</v>
      </c>
      <c r="L57" s="16">
        <f t="shared" si="76"/>
        <v>4</v>
      </c>
      <c r="M57" s="16">
        <v>11</v>
      </c>
      <c r="O57" s="44">
        <f>M57*F57*基本公式!$B$152</f>
        <v>25850880</v>
      </c>
      <c r="P57" s="46">
        <f t="shared" si="86"/>
        <v>6462720</v>
      </c>
      <c r="Q57" s="5">
        <v>0.25</v>
      </c>
      <c r="R57" s="46">
        <f t="shared" si="87"/>
        <v>2585088</v>
      </c>
      <c r="S57" s="5">
        <v>0.1</v>
      </c>
      <c r="T57" s="46">
        <f>ROUND(O57*U57+其他表格!U11,0)</f>
        <v>2605088</v>
      </c>
      <c r="U57" s="5">
        <v>0.1</v>
      </c>
      <c r="W57" s="5"/>
      <c r="X57" s="44">
        <f t="shared" si="84"/>
        <v>10340352</v>
      </c>
      <c r="Y57" s="5">
        <v>0.4</v>
      </c>
      <c r="Z57" s="44">
        <f t="shared" si="85"/>
        <v>3877632</v>
      </c>
      <c r="AA57" s="5">
        <v>0.15</v>
      </c>
    </row>
    <row r="58" spans="1:27">
      <c r="B58" s="16">
        <v>11</v>
      </c>
      <c r="C58" s="16">
        <f>C56+C55</f>
        <v>8.1</v>
      </c>
      <c r="D58" s="30">
        <f t="shared" si="71"/>
        <v>61236</v>
      </c>
      <c r="E58" s="44">
        <f t="shared" si="78"/>
        <v>1469664</v>
      </c>
      <c r="F58" s="44">
        <f t="shared" ref="F58" si="88">E58*G58</f>
        <v>1469664</v>
      </c>
      <c r="G58" s="44">
        <v>1</v>
      </c>
      <c r="H58" s="30">
        <f t="shared" si="79"/>
        <v>4408992</v>
      </c>
      <c r="I58" s="45">
        <f t="shared" si="75"/>
        <v>1.1000000000000001</v>
      </c>
      <c r="L58" s="16">
        <f t="shared" si="76"/>
        <v>7</v>
      </c>
      <c r="M58" s="16">
        <v>18</v>
      </c>
      <c r="O58" s="44">
        <f>M58*F58*基本公式!$B$152</f>
        <v>52907904</v>
      </c>
      <c r="P58" s="46">
        <f t="shared" si="86"/>
        <v>13226976</v>
      </c>
      <c r="Q58" s="5">
        <v>0.25</v>
      </c>
      <c r="R58" s="46">
        <f t="shared" si="87"/>
        <v>5290790</v>
      </c>
      <c r="S58" s="5">
        <v>0.1</v>
      </c>
      <c r="T58" s="46">
        <f t="shared" ref="T58" si="89">ROUND(O58*U58,0)</f>
        <v>5290790</v>
      </c>
      <c r="U58" s="5">
        <v>0.1</v>
      </c>
      <c r="W58" s="5"/>
      <c r="X58" s="44">
        <f t="shared" si="84"/>
        <v>21163162</v>
      </c>
      <c r="Y58" s="5">
        <v>0.4</v>
      </c>
      <c r="Z58" s="44">
        <f t="shared" si="85"/>
        <v>7936186</v>
      </c>
      <c r="AA58" s="5">
        <v>0.15</v>
      </c>
    </row>
    <row r="59" spans="1:27">
      <c r="B59" s="16">
        <v>12</v>
      </c>
      <c r="C59" s="16">
        <f>C57+C56</f>
        <v>11.5</v>
      </c>
      <c r="D59" s="30">
        <f t="shared" si="71"/>
        <v>91080</v>
      </c>
      <c r="E59" s="44">
        <f t="shared" si="78"/>
        <v>2185920</v>
      </c>
      <c r="F59" s="44">
        <f t="shared" ref="F59:F67" si="90">E59*G59</f>
        <v>2185920</v>
      </c>
      <c r="G59" s="44">
        <v>1</v>
      </c>
      <c r="H59" s="30">
        <f t="shared" si="79"/>
        <v>6557760</v>
      </c>
      <c r="I59" s="45">
        <f t="shared" si="75"/>
        <v>1.2</v>
      </c>
      <c r="L59" s="16">
        <f t="shared" si="76"/>
        <v>9</v>
      </c>
      <c r="M59" s="16">
        <v>27</v>
      </c>
      <c r="O59" s="44">
        <f>M59*F59*基本公式!$B$152</f>
        <v>118039680</v>
      </c>
      <c r="P59" s="46">
        <f t="shared" si="86"/>
        <v>29509920</v>
      </c>
      <c r="Q59" s="5">
        <v>0.25</v>
      </c>
      <c r="R59" s="46">
        <f t="shared" si="87"/>
        <v>11803968</v>
      </c>
      <c r="S59" s="5">
        <v>0.1</v>
      </c>
      <c r="T59" s="46">
        <f t="shared" ref="T59:T67" si="91">ROUND(O59*U59,0)</f>
        <v>11803968</v>
      </c>
      <c r="U59" s="5">
        <v>0.1</v>
      </c>
      <c r="W59" s="5"/>
      <c r="X59" s="44">
        <f t="shared" si="84"/>
        <v>47215872</v>
      </c>
      <c r="Y59" s="5">
        <v>0.4</v>
      </c>
      <c r="Z59" s="44">
        <f t="shared" si="85"/>
        <v>17705952</v>
      </c>
      <c r="AA59" s="5">
        <v>0.15</v>
      </c>
    </row>
    <row r="60" spans="1:27">
      <c r="A60" s="16"/>
      <c r="B60" s="16">
        <v>13</v>
      </c>
      <c r="C60" s="16">
        <v>14.4</v>
      </c>
      <c r="D60" s="30">
        <f t="shared" si="71"/>
        <v>119232</v>
      </c>
      <c r="E60" s="44">
        <f t="shared" si="78"/>
        <v>2861568</v>
      </c>
      <c r="F60" s="44">
        <f t="shared" si="90"/>
        <v>2861568</v>
      </c>
      <c r="G60" s="44">
        <v>1</v>
      </c>
      <c r="H60" s="30">
        <f t="shared" si="79"/>
        <v>8584704</v>
      </c>
      <c r="I60" s="45">
        <f t="shared" si="75"/>
        <v>1.3</v>
      </c>
      <c r="L60" s="16">
        <f t="shared" si="76"/>
        <v>13</v>
      </c>
      <c r="M60" s="16">
        <v>40</v>
      </c>
      <c r="O60" s="44">
        <f>M60*F60*基本公式!$B$152</f>
        <v>228925440</v>
      </c>
      <c r="P60" s="46">
        <f t="shared" si="86"/>
        <v>57231360</v>
      </c>
      <c r="Q60" s="5">
        <v>0.25</v>
      </c>
      <c r="R60" s="46">
        <f t="shared" si="87"/>
        <v>22892544</v>
      </c>
      <c r="S60" s="5">
        <v>0.1</v>
      </c>
      <c r="T60" s="46">
        <f t="shared" si="91"/>
        <v>22892544</v>
      </c>
      <c r="U60" s="5">
        <v>0.1</v>
      </c>
      <c r="W60" s="5"/>
      <c r="X60" s="44">
        <f t="shared" si="84"/>
        <v>91570176</v>
      </c>
      <c r="Y60" s="5">
        <v>0.4</v>
      </c>
      <c r="Z60" s="44">
        <f t="shared" si="85"/>
        <v>34338816</v>
      </c>
      <c r="AA60" s="5">
        <v>0.15</v>
      </c>
    </row>
    <row r="61" spans="1:27">
      <c r="A61" s="21" t="s">
        <v>210</v>
      </c>
      <c r="B61" s="16">
        <v>14</v>
      </c>
      <c r="C61" s="16">
        <v>17</v>
      </c>
      <c r="D61" s="30">
        <f t="shared" si="71"/>
        <v>146880</v>
      </c>
      <c r="E61" s="44">
        <f t="shared" si="78"/>
        <v>3525120</v>
      </c>
      <c r="F61" s="44">
        <f t="shared" si="90"/>
        <v>3525120</v>
      </c>
      <c r="G61" s="44">
        <v>1</v>
      </c>
      <c r="H61" s="30">
        <f t="shared" si="79"/>
        <v>10575360</v>
      </c>
      <c r="I61" s="45">
        <f t="shared" si="75"/>
        <v>1.4</v>
      </c>
      <c r="L61" s="16">
        <f t="shared" si="76"/>
        <v>16</v>
      </c>
      <c r="M61" s="16">
        <f>L60+M60+3</f>
        <v>56</v>
      </c>
      <c r="O61" s="44">
        <f>M61*F61*基本公式!$B$152</f>
        <v>394813440</v>
      </c>
      <c r="P61" s="46">
        <f t="shared" si="86"/>
        <v>98703360</v>
      </c>
      <c r="Q61" s="5">
        <v>0.25</v>
      </c>
      <c r="R61" s="46">
        <f t="shared" si="87"/>
        <v>39481344</v>
      </c>
      <c r="S61" s="5">
        <v>0.1</v>
      </c>
      <c r="T61" s="46">
        <f t="shared" si="91"/>
        <v>39481344</v>
      </c>
      <c r="U61" s="5">
        <v>0.1</v>
      </c>
      <c r="W61" s="5"/>
      <c r="X61" s="44">
        <f t="shared" si="84"/>
        <v>157925376</v>
      </c>
      <c r="Y61" s="5">
        <v>0.4</v>
      </c>
      <c r="Z61" s="44">
        <f t="shared" si="85"/>
        <v>59222016</v>
      </c>
      <c r="AA61" s="5">
        <v>0.15</v>
      </c>
    </row>
    <row r="62" spans="1:27">
      <c r="B62" s="16">
        <v>15</v>
      </c>
      <c r="C62" s="16">
        <v>20</v>
      </c>
      <c r="D62" s="30">
        <f t="shared" si="71"/>
        <v>180000</v>
      </c>
      <c r="E62" s="44">
        <f t="shared" si="78"/>
        <v>4320000</v>
      </c>
      <c r="F62" s="44">
        <f t="shared" si="90"/>
        <v>4320000</v>
      </c>
      <c r="G62" s="44">
        <v>1</v>
      </c>
      <c r="H62" s="30">
        <f t="shared" si="79"/>
        <v>12960000</v>
      </c>
      <c r="I62" s="45">
        <f t="shared" si="75"/>
        <v>1.5</v>
      </c>
      <c r="L62" s="16">
        <f t="shared" si="76"/>
        <v>19</v>
      </c>
      <c r="M62" s="16">
        <f t="shared" ref="M62" si="92">M61+L61+3</f>
        <v>75</v>
      </c>
      <c r="O62" s="44">
        <f>M62*F62*基本公式!$B$152</f>
        <v>648000000</v>
      </c>
      <c r="P62" s="46">
        <f t="shared" si="86"/>
        <v>162000000</v>
      </c>
      <c r="Q62" s="5">
        <v>0.25</v>
      </c>
      <c r="R62" s="46">
        <f t="shared" si="87"/>
        <v>64800000</v>
      </c>
      <c r="S62" s="5">
        <v>0.1</v>
      </c>
      <c r="T62" s="46">
        <f t="shared" si="91"/>
        <v>64800000</v>
      </c>
      <c r="U62" s="5">
        <v>0.1</v>
      </c>
      <c r="W62" s="5"/>
      <c r="X62" s="44">
        <f t="shared" si="84"/>
        <v>259200000</v>
      </c>
      <c r="Y62" s="5">
        <v>0.4</v>
      </c>
      <c r="Z62" s="44">
        <f t="shared" si="85"/>
        <v>97200000</v>
      </c>
      <c r="AA62" s="5">
        <v>0.15</v>
      </c>
    </row>
    <row r="63" spans="1:27">
      <c r="B63" s="16">
        <v>16</v>
      </c>
      <c r="C63" s="16">
        <v>23</v>
      </c>
      <c r="D63" s="30">
        <f t="shared" si="71"/>
        <v>215280</v>
      </c>
      <c r="E63" s="44">
        <f t="shared" si="78"/>
        <v>5166720</v>
      </c>
      <c r="F63" s="44">
        <f t="shared" si="90"/>
        <v>5166720</v>
      </c>
      <c r="G63" s="44">
        <v>1</v>
      </c>
      <c r="H63" s="30">
        <f t="shared" si="79"/>
        <v>15500160</v>
      </c>
      <c r="I63" s="45">
        <f t="shared" si="75"/>
        <v>1.6</v>
      </c>
      <c r="L63" s="16">
        <f t="shared" si="76"/>
        <v>22</v>
      </c>
      <c r="M63" s="16">
        <f>M62+L62+3</f>
        <v>97</v>
      </c>
      <c r="O63" s="44">
        <f>M63*F63*基本公式!$B$152</f>
        <v>1002343680</v>
      </c>
      <c r="P63" s="46">
        <f t="shared" si="86"/>
        <v>250585920</v>
      </c>
      <c r="Q63" s="5">
        <v>0.25</v>
      </c>
      <c r="R63" s="46">
        <f t="shared" si="87"/>
        <v>100234368</v>
      </c>
      <c r="S63" s="5">
        <v>0.1</v>
      </c>
      <c r="T63" s="46">
        <f t="shared" si="91"/>
        <v>100234368</v>
      </c>
      <c r="U63" s="5">
        <v>0.1</v>
      </c>
      <c r="W63" s="5"/>
      <c r="X63" s="44">
        <f t="shared" si="84"/>
        <v>400937472</v>
      </c>
      <c r="Y63" s="5">
        <v>0.4</v>
      </c>
      <c r="Z63" s="44">
        <f t="shared" si="85"/>
        <v>150351552</v>
      </c>
      <c r="AA63" s="5">
        <v>0.15</v>
      </c>
    </row>
    <row r="64" spans="1:27">
      <c r="B64" s="16">
        <v>17</v>
      </c>
      <c r="C64" s="16">
        <v>26.3</v>
      </c>
      <c r="D64" s="30">
        <f t="shared" si="71"/>
        <v>255636</v>
      </c>
      <c r="E64" s="44">
        <f t="shared" si="78"/>
        <v>6135264</v>
      </c>
      <c r="F64" s="44">
        <f t="shared" si="90"/>
        <v>6135264</v>
      </c>
      <c r="G64" s="44">
        <v>1</v>
      </c>
      <c r="H64" s="30">
        <f t="shared" si="79"/>
        <v>18405792</v>
      </c>
      <c r="I64" s="45">
        <f t="shared" si="75"/>
        <v>1.7</v>
      </c>
      <c r="L64" s="16">
        <f t="shared" si="76"/>
        <v>25</v>
      </c>
      <c r="M64" s="16">
        <f>M63+L63+3</f>
        <v>122</v>
      </c>
      <c r="O64" s="44">
        <f>M64*F64*基本公式!$B$152</f>
        <v>1497004416</v>
      </c>
      <c r="P64" s="46">
        <f t="shared" si="86"/>
        <v>374251104</v>
      </c>
      <c r="Q64" s="5">
        <v>0.25</v>
      </c>
      <c r="R64" s="46">
        <f t="shared" si="87"/>
        <v>149700442</v>
      </c>
      <c r="S64" s="5">
        <v>0.1</v>
      </c>
      <c r="T64" s="46">
        <f t="shared" si="91"/>
        <v>149700442</v>
      </c>
      <c r="U64" s="5">
        <v>0.1</v>
      </c>
      <c r="W64" s="5"/>
      <c r="X64" s="44">
        <f t="shared" si="84"/>
        <v>598801766</v>
      </c>
      <c r="Y64" s="5">
        <v>0.4</v>
      </c>
      <c r="Z64" s="44">
        <f t="shared" si="85"/>
        <v>224550662</v>
      </c>
      <c r="AA64" s="5">
        <v>0.15</v>
      </c>
    </row>
    <row r="65" spans="1:35">
      <c r="B65" s="16">
        <v>18</v>
      </c>
      <c r="C65" s="16">
        <v>30</v>
      </c>
      <c r="D65" s="30">
        <f t="shared" si="71"/>
        <v>302400</v>
      </c>
      <c r="E65" s="44">
        <f t="shared" si="78"/>
        <v>7257600</v>
      </c>
      <c r="F65" s="44">
        <f t="shared" si="90"/>
        <v>7257600</v>
      </c>
      <c r="G65" s="44">
        <v>1</v>
      </c>
      <c r="H65" s="30">
        <f t="shared" si="79"/>
        <v>21772800</v>
      </c>
      <c r="I65" s="45">
        <f t="shared" si="75"/>
        <v>1.8</v>
      </c>
      <c r="L65" s="16">
        <f t="shared" si="76"/>
        <v>28</v>
      </c>
      <c r="M65" s="16">
        <f>M64+L64+3</f>
        <v>150</v>
      </c>
      <c r="O65" s="44">
        <f>M65*F65*基本公式!$B$152</f>
        <v>2177280000</v>
      </c>
      <c r="P65" s="46">
        <f t="shared" si="86"/>
        <v>544320000</v>
      </c>
      <c r="Q65" s="5">
        <v>0.25</v>
      </c>
      <c r="R65" s="46">
        <f t="shared" si="87"/>
        <v>217728000</v>
      </c>
      <c r="S65" s="5">
        <v>0.1</v>
      </c>
      <c r="T65" s="46">
        <f t="shared" si="91"/>
        <v>217728000</v>
      </c>
      <c r="U65" s="5">
        <v>0.1</v>
      </c>
      <c r="W65" s="5"/>
      <c r="X65" s="44">
        <f t="shared" si="84"/>
        <v>870912000</v>
      </c>
      <c r="Y65" s="5">
        <v>0.4</v>
      </c>
      <c r="Z65" s="44">
        <f t="shared" si="85"/>
        <v>326592000</v>
      </c>
      <c r="AA65" s="5">
        <v>0.15</v>
      </c>
    </row>
    <row r="66" spans="1:35">
      <c r="A66" s="22" t="s">
        <v>211</v>
      </c>
      <c r="B66" s="16">
        <v>19</v>
      </c>
      <c r="C66" s="16">
        <v>34</v>
      </c>
      <c r="D66" s="30">
        <f t="shared" si="71"/>
        <v>354960</v>
      </c>
      <c r="E66" s="44">
        <f t="shared" si="78"/>
        <v>8519040</v>
      </c>
      <c r="F66" s="44">
        <f t="shared" si="90"/>
        <v>8519040</v>
      </c>
      <c r="G66" s="44">
        <v>1</v>
      </c>
      <c r="H66" s="30">
        <f t="shared" si="79"/>
        <v>25557120</v>
      </c>
      <c r="I66" s="45">
        <f t="shared" si="75"/>
        <v>1.9</v>
      </c>
      <c r="L66" s="16">
        <f t="shared" si="76"/>
        <v>31</v>
      </c>
      <c r="M66" s="16">
        <f>M65+L65+3</f>
        <v>181</v>
      </c>
      <c r="O66" s="44">
        <f>M66*F66*基本公式!$B$152</f>
        <v>3083892480</v>
      </c>
      <c r="P66" s="46">
        <f t="shared" si="86"/>
        <v>770973120</v>
      </c>
      <c r="Q66" s="5">
        <v>0.25</v>
      </c>
      <c r="R66" s="46">
        <f t="shared" si="87"/>
        <v>308389248</v>
      </c>
      <c r="S66" s="5">
        <v>0.1</v>
      </c>
      <c r="T66" s="46">
        <f t="shared" si="91"/>
        <v>308389248</v>
      </c>
      <c r="U66" s="5">
        <v>0.1</v>
      </c>
      <c r="W66" s="5"/>
      <c r="X66" s="44">
        <f t="shared" si="84"/>
        <v>1233556992</v>
      </c>
      <c r="Y66" s="5">
        <v>0.4</v>
      </c>
      <c r="Z66" s="44">
        <f t="shared" si="85"/>
        <v>462583872</v>
      </c>
      <c r="AA66" s="5">
        <v>0.15</v>
      </c>
    </row>
    <row r="67" spans="1:35">
      <c r="B67" s="16">
        <v>20</v>
      </c>
      <c r="C67" s="16">
        <v>40</v>
      </c>
      <c r="D67" s="30">
        <f t="shared" si="71"/>
        <v>432000</v>
      </c>
      <c r="E67" s="44">
        <f t="shared" si="78"/>
        <v>10368000</v>
      </c>
      <c r="F67" s="44">
        <f t="shared" si="90"/>
        <v>10368000</v>
      </c>
      <c r="G67" s="44">
        <v>1</v>
      </c>
      <c r="H67" s="30">
        <f t="shared" si="79"/>
        <v>31104000</v>
      </c>
      <c r="I67" s="45">
        <v>2</v>
      </c>
      <c r="L67" s="16">
        <f t="shared" si="76"/>
        <v>34</v>
      </c>
      <c r="M67" s="16">
        <f>M66+L66+3</f>
        <v>215</v>
      </c>
      <c r="O67" s="44">
        <f>M67*F67*基本公式!$B$152</f>
        <v>4458240000</v>
      </c>
      <c r="P67" s="46">
        <f t="shared" si="86"/>
        <v>1114560000</v>
      </c>
      <c r="Q67" s="5">
        <v>0.25</v>
      </c>
      <c r="R67" s="46">
        <f t="shared" si="87"/>
        <v>445824000</v>
      </c>
      <c r="S67" s="5">
        <v>0.1</v>
      </c>
      <c r="T67" s="46">
        <f t="shared" si="91"/>
        <v>445824000</v>
      </c>
      <c r="U67" s="5">
        <v>0.1</v>
      </c>
      <c r="W67" s="5"/>
      <c r="X67" s="44">
        <f t="shared" si="84"/>
        <v>1783296000</v>
      </c>
      <c r="Y67" s="5">
        <v>0.4</v>
      </c>
      <c r="Z67" s="44">
        <f t="shared" si="85"/>
        <v>668736000</v>
      </c>
      <c r="AA67" s="5">
        <v>0.15</v>
      </c>
    </row>
    <row r="69" spans="1:35" s="7" customFormat="1" ht="27">
      <c r="A69" s="32" t="s">
        <v>212</v>
      </c>
      <c r="B69" s="37" t="s">
        <v>213</v>
      </c>
      <c r="D69" s="28"/>
      <c r="E69" s="28"/>
      <c r="F69" s="28"/>
      <c r="G69" s="28"/>
      <c r="H69" s="28"/>
      <c r="I69" s="41"/>
      <c r="J69" s="28" t="s">
        <v>214</v>
      </c>
      <c r="N69" s="7" t="s">
        <v>215</v>
      </c>
      <c r="O69" s="42"/>
      <c r="P69" s="40"/>
      <c r="Q69" s="43"/>
      <c r="R69" s="40"/>
      <c r="T69" s="40"/>
      <c r="V69" s="40"/>
      <c r="X69" s="28"/>
      <c r="Z69" s="28"/>
    </row>
    <row r="70" spans="1:35">
      <c r="C70" s="16">
        <v>0.03</v>
      </c>
      <c r="D70" s="30">
        <f>ROUND(建筑!G23*J70*(1+I70)*C70,0)</f>
        <v>45</v>
      </c>
      <c r="E70" s="44">
        <f>24*D70</f>
        <v>1080</v>
      </c>
      <c r="F70" s="44">
        <f t="shared" ref="F70" si="93">E70*G70</f>
        <v>1080</v>
      </c>
      <c r="G70" s="44">
        <v>1</v>
      </c>
      <c r="I70" s="45">
        <v>0.05</v>
      </c>
      <c r="J70" s="45">
        <v>0.3</v>
      </c>
      <c r="L70" s="16">
        <f t="shared" ref="L70" si="94">M70-M69</f>
        <v>0.01</v>
      </c>
      <c r="M70" s="16">
        <v>0.01</v>
      </c>
      <c r="N70" s="44">
        <f t="shared" ref="N70" si="95">M70*F70</f>
        <v>10.8</v>
      </c>
      <c r="O70" s="44">
        <f>N70*基本公式!$B$114</f>
        <v>7.02</v>
      </c>
      <c r="S70" s="5"/>
      <c r="U70" s="5"/>
      <c r="W70" s="5"/>
      <c r="X70" s="44">
        <f t="shared" ref="X70" si="96">ROUND(O70*Y70,0)</f>
        <v>2</v>
      </c>
      <c r="Y70" s="5">
        <v>0.35</v>
      </c>
      <c r="AB70" s="44">
        <f t="shared" ref="AB70" si="97">ROUND(O70*AC70,0)</f>
        <v>1</v>
      </c>
      <c r="AC70" s="5">
        <v>0.15</v>
      </c>
      <c r="AD70" s="44">
        <f t="shared" ref="AD70" si="98">ROUND(O70*AE70,0)</f>
        <v>1</v>
      </c>
      <c r="AE70" s="5">
        <v>0.1</v>
      </c>
      <c r="AF70" s="44">
        <f t="shared" ref="AF70" si="99">ROUND(O70*AG70,0)</f>
        <v>0</v>
      </c>
      <c r="AG70" s="5">
        <v>0.05</v>
      </c>
      <c r="AH70" s="44">
        <f t="shared" ref="AH70" si="100">ROUND(O70*AI70,0)</f>
        <v>2</v>
      </c>
      <c r="AI70" s="5">
        <v>0.35</v>
      </c>
    </row>
    <row r="71" spans="1:35">
      <c r="C71" s="16">
        <v>0.03</v>
      </c>
      <c r="D71" s="30">
        <f>ROUND(建筑!G24*J71*(1+I71)*C71,0)</f>
        <v>92</v>
      </c>
      <c r="E71" s="44">
        <f t="shared" ref="E71" si="101">24*D71</f>
        <v>2208</v>
      </c>
      <c r="F71" s="44">
        <f t="shared" ref="F71:F89" si="102">E71*G71</f>
        <v>2208</v>
      </c>
      <c r="G71" s="44">
        <v>1</v>
      </c>
      <c r="I71" s="45">
        <f>I70+0.05</f>
        <v>0.1</v>
      </c>
      <c r="J71" s="45">
        <v>0.3</v>
      </c>
      <c r="L71" s="16">
        <f t="shared" ref="L71:L89" si="103">M71-M70</f>
        <v>0.04</v>
      </c>
      <c r="M71" s="16">
        <v>0.05</v>
      </c>
      <c r="N71" s="44">
        <f t="shared" ref="N71:N86" si="104">M71*F71</f>
        <v>110.4</v>
      </c>
      <c r="O71" s="44">
        <f>N71*基本公式!$B$114</f>
        <v>71.760000000000005</v>
      </c>
      <c r="S71" s="5"/>
      <c r="U71" s="5"/>
      <c r="W71" s="5"/>
      <c r="X71" s="44">
        <f>ROUND(O71*Y71,0)</f>
        <v>25</v>
      </c>
      <c r="Y71" s="5">
        <v>0.35</v>
      </c>
      <c r="AB71" s="44">
        <f>ROUND(O71*AC71,0)</f>
        <v>11</v>
      </c>
      <c r="AC71" s="5">
        <v>0.15</v>
      </c>
      <c r="AD71" s="44">
        <f>ROUND(O71*AE71,0)</f>
        <v>7</v>
      </c>
      <c r="AE71" s="5">
        <v>0.1</v>
      </c>
      <c r="AF71" s="44">
        <f>ROUND(O71*AG71,0)</f>
        <v>4</v>
      </c>
      <c r="AG71" s="5">
        <v>0.05</v>
      </c>
      <c r="AH71" s="44">
        <f>ROUND(O71*AI71,0)</f>
        <v>25</v>
      </c>
      <c r="AI71" s="5">
        <v>0.35</v>
      </c>
    </row>
    <row r="72" spans="1:35">
      <c r="C72" s="16">
        <v>0.03</v>
      </c>
      <c r="D72" s="30">
        <f>ROUND(建筑!G25*J72*(1+I72)*C72,0)</f>
        <v>143</v>
      </c>
      <c r="E72" s="44">
        <f t="shared" ref="E72:E89" si="105">24*D72</f>
        <v>3432</v>
      </c>
      <c r="F72" s="44">
        <f t="shared" si="102"/>
        <v>3432</v>
      </c>
      <c r="G72" s="44">
        <v>1</v>
      </c>
      <c r="I72" s="45">
        <f t="shared" ref="I72" si="106">I71+0.05</f>
        <v>0.15</v>
      </c>
      <c r="J72" s="45">
        <v>0.3</v>
      </c>
      <c r="L72" s="16">
        <f t="shared" si="103"/>
        <v>0.15</v>
      </c>
      <c r="M72" s="16">
        <v>0.2</v>
      </c>
      <c r="N72" s="44">
        <f t="shared" si="104"/>
        <v>686.4</v>
      </c>
      <c r="O72" s="44">
        <f>N72*基本公式!$B$114</f>
        <v>446.16</v>
      </c>
      <c r="S72" s="5"/>
      <c r="U72" s="5"/>
      <c r="W72" s="5"/>
      <c r="X72" s="44">
        <f>ROUND(O72*Y72,0)</f>
        <v>156</v>
      </c>
      <c r="Y72" s="5">
        <v>0.35</v>
      </c>
      <c r="AB72" s="44">
        <f>ROUND(O72*AC72,0)</f>
        <v>67</v>
      </c>
      <c r="AC72" s="5">
        <v>0.15</v>
      </c>
      <c r="AD72" s="44">
        <f>ROUND(O72*AE72,0)</f>
        <v>45</v>
      </c>
      <c r="AE72" s="5">
        <v>0.1</v>
      </c>
      <c r="AF72" s="44">
        <f>ROUND(O72*AG72,0)</f>
        <v>22</v>
      </c>
      <c r="AG72" s="5">
        <v>0.05</v>
      </c>
      <c r="AH72" s="44">
        <f>ROUND(O72*AI72,0)</f>
        <v>156</v>
      </c>
      <c r="AI72" s="5">
        <v>0.35</v>
      </c>
    </row>
    <row r="73" spans="1:35">
      <c r="C73" s="16">
        <v>0.03</v>
      </c>
      <c r="D73" s="30">
        <f>ROUND(建筑!G26*J73*(1+I73)*C73,0)</f>
        <v>246</v>
      </c>
      <c r="E73" s="44">
        <f t="shared" si="105"/>
        <v>5904</v>
      </c>
      <c r="F73" s="44">
        <f t="shared" si="102"/>
        <v>5904</v>
      </c>
      <c r="G73" s="44">
        <v>1</v>
      </c>
      <c r="I73" s="45">
        <f t="shared" ref="I73:I89" si="107">I72+0.05</f>
        <v>0.2</v>
      </c>
      <c r="J73" s="45">
        <v>0.3</v>
      </c>
      <c r="L73" s="16">
        <f t="shared" si="103"/>
        <v>0.25</v>
      </c>
      <c r="M73" s="16">
        <v>0.45</v>
      </c>
      <c r="N73" s="44">
        <f t="shared" si="104"/>
        <v>2656.8</v>
      </c>
      <c r="O73" s="44">
        <f>N73*基本公式!$B$114</f>
        <v>1726.92</v>
      </c>
      <c r="S73" s="5"/>
      <c r="U73" s="5"/>
      <c r="W73" s="5"/>
      <c r="X73" s="44">
        <f t="shared" ref="X73" si="108">ROUND(O73*Y73,0)</f>
        <v>604</v>
      </c>
      <c r="Y73" s="5">
        <v>0.35</v>
      </c>
      <c r="AB73" s="44">
        <f>ROUND(O73*AC73,0)</f>
        <v>259</v>
      </c>
      <c r="AC73" s="5">
        <v>0.15</v>
      </c>
      <c r="AD73" s="44">
        <f>ROUND(O73*AE73,0)</f>
        <v>173</v>
      </c>
      <c r="AE73" s="5">
        <v>0.1</v>
      </c>
      <c r="AF73" s="44">
        <f>ROUND(O73*AG73,0)</f>
        <v>86</v>
      </c>
      <c r="AG73" s="5">
        <v>0.05</v>
      </c>
      <c r="AH73" s="44">
        <f>ROUND(O73*AI73,0)</f>
        <v>604</v>
      </c>
      <c r="AI73" s="5">
        <v>0.35</v>
      </c>
    </row>
    <row r="74" spans="1:35">
      <c r="C74" s="16">
        <v>0.03</v>
      </c>
      <c r="D74" s="30">
        <f>ROUND(建筑!G27*J74*(1+I74)*C74,0)</f>
        <v>426</v>
      </c>
      <c r="E74" s="44">
        <f t="shared" si="105"/>
        <v>10224</v>
      </c>
      <c r="F74" s="44">
        <f t="shared" si="102"/>
        <v>10224</v>
      </c>
      <c r="G74" s="44">
        <v>1</v>
      </c>
      <c r="I74" s="45">
        <f t="shared" si="107"/>
        <v>0.25</v>
      </c>
      <c r="J74" s="45">
        <v>0.3</v>
      </c>
      <c r="L74" s="16">
        <f t="shared" si="103"/>
        <v>0.4</v>
      </c>
      <c r="M74" s="16">
        <v>0.85</v>
      </c>
      <c r="N74" s="44">
        <f t="shared" si="104"/>
        <v>8690.4</v>
      </c>
      <c r="O74" s="44">
        <f>N74*基本公式!$B$114</f>
        <v>5648.76</v>
      </c>
      <c r="S74" s="5"/>
      <c r="U74" s="5"/>
      <c r="W74" s="5"/>
      <c r="X74" s="44">
        <f t="shared" ref="X74:X89" si="109">ROUND(O74*Y74,0)</f>
        <v>1977</v>
      </c>
      <c r="Y74" s="5">
        <v>0.35</v>
      </c>
      <c r="AB74" s="44">
        <f t="shared" ref="AB74" si="110">ROUND(O74*AC74,0)</f>
        <v>847</v>
      </c>
      <c r="AC74" s="5">
        <v>0.15</v>
      </c>
      <c r="AD74" s="44">
        <f t="shared" ref="AD74" si="111">ROUND(O74*AE74,0)</f>
        <v>565</v>
      </c>
      <c r="AE74" s="5">
        <v>0.1</v>
      </c>
      <c r="AF74" s="44">
        <f t="shared" ref="AF74" si="112">ROUND(O74*AG74,0)</f>
        <v>282</v>
      </c>
      <c r="AG74" s="5">
        <v>0.05</v>
      </c>
      <c r="AH74" s="44">
        <f t="shared" ref="AH74" si="113">ROUND(O74*AI74,0)</f>
        <v>1977</v>
      </c>
      <c r="AI74" s="5">
        <v>0.35</v>
      </c>
    </row>
    <row r="75" spans="1:35">
      <c r="C75" s="16">
        <v>0.03</v>
      </c>
      <c r="D75" s="30">
        <f>ROUND(建筑!G28*J75*(1+I75)*C75,0)</f>
        <v>1129</v>
      </c>
      <c r="E75" s="44">
        <f t="shared" si="105"/>
        <v>27096</v>
      </c>
      <c r="F75" s="44">
        <f t="shared" si="102"/>
        <v>27096</v>
      </c>
      <c r="G75" s="44">
        <v>1</v>
      </c>
      <c r="I75" s="45">
        <f t="shared" si="107"/>
        <v>0.3</v>
      </c>
      <c r="J75" s="45">
        <v>0.3</v>
      </c>
      <c r="L75" s="16">
        <f t="shared" si="103"/>
        <v>0.55000000000000004</v>
      </c>
      <c r="M75" s="16">
        <v>1.4</v>
      </c>
      <c r="N75" s="44">
        <f t="shared" si="104"/>
        <v>37934.400000000001</v>
      </c>
      <c r="O75" s="44">
        <f>N75*基本公式!$B$114</f>
        <v>24657.360000000001</v>
      </c>
      <c r="S75" s="5"/>
      <c r="U75" s="5"/>
      <c r="W75" s="5"/>
      <c r="X75" s="44">
        <f t="shared" si="109"/>
        <v>8630</v>
      </c>
      <c r="Y75" s="5">
        <v>0.35</v>
      </c>
      <c r="AB75" s="44">
        <f t="shared" ref="AB75:AB89" si="114">ROUND(O75*AC75,0)</f>
        <v>3699</v>
      </c>
      <c r="AC75" s="5">
        <v>0.15</v>
      </c>
      <c r="AD75" s="44">
        <f t="shared" ref="AD75:AD89" si="115">ROUND(O75*AE75,0)</f>
        <v>2466</v>
      </c>
      <c r="AE75" s="5">
        <v>0.1</v>
      </c>
      <c r="AF75" s="44">
        <f t="shared" ref="AF75:AF89" si="116">ROUND(O75*AG75,0)</f>
        <v>1233</v>
      </c>
      <c r="AG75" s="5">
        <v>0.05</v>
      </c>
      <c r="AH75" s="44">
        <f t="shared" ref="AH75:AH89" si="117">ROUND(O75*AI75,0)</f>
        <v>8630</v>
      </c>
      <c r="AI75" s="5">
        <v>0.35</v>
      </c>
    </row>
    <row r="76" spans="1:35">
      <c r="C76" s="16">
        <v>0.03</v>
      </c>
      <c r="D76" s="30">
        <f>ROUND(建筑!G29*J76*(1+I76)*C76,0)</f>
        <v>2310</v>
      </c>
      <c r="E76" s="44">
        <f t="shared" si="105"/>
        <v>55440</v>
      </c>
      <c r="F76" s="44">
        <f t="shared" si="102"/>
        <v>55440</v>
      </c>
      <c r="G76" s="44">
        <v>1</v>
      </c>
      <c r="I76" s="45">
        <f t="shared" si="107"/>
        <v>0.35</v>
      </c>
      <c r="J76" s="45">
        <v>0.3</v>
      </c>
      <c r="L76" s="16">
        <f t="shared" si="103"/>
        <v>0.9</v>
      </c>
      <c r="M76" s="16">
        <v>2.2999999999999998</v>
      </c>
      <c r="N76" s="44">
        <f t="shared" si="104"/>
        <v>127512</v>
      </c>
      <c r="O76" s="44">
        <f>N76*基本公式!$B$114</f>
        <v>82882.8</v>
      </c>
      <c r="S76" s="5"/>
      <c r="U76" s="5"/>
      <c r="W76" s="5"/>
      <c r="X76" s="44">
        <f t="shared" si="109"/>
        <v>29009</v>
      </c>
      <c r="Y76" s="5">
        <v>0.35</v>
      </c>
      <c r="AB76" s="44">
        <f t="shared" si="114"/>
        <v>12432</v>
      </c>
      <c r="AC76" s="5">
        <v>0.15</v>
      </c>
      <c r="AD76" s="44">
        <f t="shared" si="115"/>
        <v>8288</v>
      </c>
      <c r="AE76" s="5">
        <v>0.1</v>
      </c>
      <c r="AF76" s="44">
        <f t="shared" si="116"/>
        <v>4144</v>
      </c>
      <c r="AG76" s="5">
        <v>0.05</v>
      </c>
      <c r="AH76" s="44">
        <f t="shared" si="117"/>
        <v>29009</v>
      </c>
      <c r="AI76" s="5">
        <v>0.35</v>
      </c>
    </row>
    <row r="77" spans="1:35">
      <c r="A77" s="16"/>
      <c r="C77" s="16">
        <v>0.03</v>
      </c>
      <c r="D77" s="30">
        <f>ROUND(建筑!G30*J77*(1+I77)*C77,0)</f>
        <v>4307</v>
      </c>
      <c r="E77" s="44">
        <f t="shared" si="105"/>
        <v>103368</v>
      </c>
      <c r="F77" s="44">
        <f t="shared" si="102"/>
        <v>103368</v>
      </c>
      <c r="G77" s="44">
        <v>1</v>
      </c>
      <c r="I77" s="45">
        <f t="shared" si="107"/>
        <v>0.4</v>
      </c>
      <c r="J77" s="45">
        <v>0.3</v>
      </c>
      <c r="L77" s="16">
        <f t="shared" si="103"/>
        <v>2</v>
      </c>
      <c r="M77" s="16">
        <v>4.3</v>
      </c>
      <c r="N77" s="44">
        <f t="shared" si="104"/>
        <v>444482.4</v>
      </c>
      <c r="O77" s="44">
        <f>N77*基本公式!$B$114</f>
        <v>288913.56</v>
      </c>
      <c r="S77" s="5"/>
      <c r="U77" s="5"/>
      <c r="W77" s="5"/>
      <c r="X77" s="44">
        <f t="shared" si="109"/>
        <v>101120</v>
      </c>
      <c r="Y77" s="5">
        <v>0.35</v>
      </c>
      <c r="AB77" s="44">
        <f t="shared" si="114"/>
        <v>43337</v>
      </c>
      <c r="AC77" s="5">
        <v>0.15</v>
      </c>
      <c r="AD77" s="44">
        <f t="shared" si="115"/>
        <v>28891</v>
      </c>
      <c r="AE77" s="5">
        <v>0.1</v>
      </c>
      <c r="AF77" s="44">
        <f t="shared" si="116"/>
        <v>14446</v>
      </c>
      <c r="AG77" s="5">
        <v>0.05</v>
      </c>
      <c r="AH77" s="44">
        <f t="shared" si="117"/>
        <v>101120</v>
      </c>
      <c r="AI77" s="5">
        <v>0.35</v>
      </c>
    </row>
    <row r="78" spans="1:35">
      <c r="C78" s="16">
        <v>0.03</v>
      </c>
      <c r="D78" s="30">
        <f>ROUND(建筑!G31*J78*(1+I78)*C78,0)</f>
        <v>6435</v>
      </c>
      <c r="E78" s="44">
        <f t="shared" si="105"/>
        <v>154440</v>
      </c>
      <c r="F78" s="44">
        <f t="shared" si="102"/>
        <v>154440</v>
      </c>
      <c r="G78" s="44">
        <v>1</v>
      </c>
      <c r="I78" s="45">
        <f t="shared" si="107"/>
        <v>0.45</v>
      </c>
      <c r="J78" s="45">
        <v>0.3</v>
      </c>
      <c r="L78" s="16">
        <f t="shared" si="103"/>
        <v>2.7</v>
      </c>
      <c r="M78" s="16">
        <v>7</v>
      </c>
      <c r="N78" s="44">
        <f t="shared" si="104"/>
        <v>1081080</v>
      </c>
      <c r="O78" s="44">
        <f>N78*基本公式!$B$114</f>
        <v>702702</v>
      </c>
      <c r="S78" s="5"/>
      <c r="U78" s="5"/>
      <c r="W78" s="5"/>
      <c r="X78" s="44">
        <f t="shared" si="109"/>
        <v>245946</v>
      </c>
      <c r="Y78" s="5">
        <v>0.35</v>
      </c>
      <c r="AB78" s="44">
        <f t="shared" si="114"/>
        <v>105405</v>
      </c>
      <c r="AC78" s="5">
        <v>0.15</v>
      </c>
      <c r="AD78" s="44">
        <f t="shared" si="115"/>
        <v>70270</v>
      </c>
      <c r="AE78" s="5">
        <v>0.1</v>
      </c>
      <c r="AF78" s="44">
        <f t="shared" si="116"/>
        <v>35135</v>
      </c>
      <c r="AG78" s="5">
        <v>0.05</v>
      </c>
      <c r="AH78" s="44">
        <f t="shared" si="117"/>
        <v>245946</v>
      </c>
      <c r="AI78" s="5">
        <v>0.35</v>
      </c>
    </row>
    <row r="79" spans="1:35">
      <c r="A79" s="21" t="s">
        <v>209</v>
      </c>
      <c r="C79" s="16">
        <v>0.03</v>
      </c>
      <c r="D79" s="30">
        <f>ROUND(建筑!G32*J79*(1+I79)*C79,0)</f>
        <v>10124</v>
      </c>
      <c r="E79" s="44">
        <f t="shared" si="105"/>
        <v>242976</v>
      </c>
      <c r="F79" s="44">
        <f t="shared" si="102"/>
        <v>242976</v>
      </c>
      <c r="G79" s="44">
        <v>1</v>
      </c>
      <c r="I79" s="45">
        <f t="shared" si="107"/>
        <v>0.5</v>
      </c>
      <c r="J79" s="45">
        <v>0.3</v>
      </c>
      <c r="L79" s="16">
        <f t="shared" si="103"/>
        <v>4</v>
      </c>
      <c r="M79" s="16">
        <v>11</v>
      </c>
      <c r="N79" s="44">
        <f t="shared" si="104"/>
        <v>2672736</v>
      </c>
      <c r="O79" s="44">
        <f>N79*基本公式!$B$114</f>
        <v>1737278.4</v>
      </c>
      <c r="S79" s="5"/>
      <c r="U79" s="5"/>
      <c r="W79" s="5"/>
      <c r="X79" s="44">
        <f t="shared" si="109"/>
        <v>608047</v>
      </c>
      <c r="Y79" s="5">
        <v>0.35</v>
      </c>
      <c r="AB79" s="44">
        <f t="shared" si="114"/>
        <v>260592</v>
      </c>
      <c r="AC79" s="5">
        <v>0.15</v>
      </c>
      <c r="AD79" s="44">
        <f t="shared" si="115"/>
        <v>173728</v>
      </c>
      <c r="AE79" s="5">
        <v>0.1</v>
      </c>
      <c r="AF79" s="44">
        <f t="shared" si="116"/>
        <v>86864</v>
      </c>
      <c r="AG79" s="5">
        <v>0.05</v>
      </c>
      <c r="AH79" s="44">
        <f t="shared" si="117"/>
        <v>608047</v>
      </c>
      <c r="AI79" s="5">
        <v>0.35</v>
      </c>
    </row>
    <row r="80" spans="1:35">
      <c r="C80" s="16">
        <v>0.03</v>
      </c>
      <c r="D80" s="30">
        <f>ROUND(建筑!G33*J80*(1+I80)*C80,0)</f>
        <v>15224</v>
      </c>
      <c r="E80" s="44">
        <f t="shared" si="105"/>
        <v>365376</v>
      </c>
      <c r="F80" s="44">
        <f t="shared" si="102"/>
        <v>365376</v>
      </c>
      <c r="G80" s="44">
        <v>1</v>
      </c>
      <c r="I80" s="45">
        <f t="shared" si="107"/>
        <v>0.55000000000000004</v>
      </c>
      <c r="J80" s="45">
        <v>0.3</v>
      </c>
      <c r="L80" s="16">
        <f t="shared" si="103"/>
        <v>7</v>
      </c>
      <c r="M80" s="16">
        <v>18</v>
      </c>
      <c r="N80" s="44">
        <f t="shared" si="104"/>
        <v>6576768</v>
      </c>
      <c r="O80" s="44">
        <f>N80*基本公式!$B$114</f>
        <v>4274899.2</v>
      </c>
      <c r="S80" s="5"/>
      <c r="U80" s="5"/>
      <c r="W80" s="5"/>
      <c r="X80" s="44">
        <f t="shared" si="109"/>
        <v>1496215</v>
      </c>
      <c r="Y80" s="5">
        <v>0.35</v>
      </c>
      <c r="AB80" s="44">
        <f t="shared" si="114"/>
        <v>641235</v>
      </c>
      <c r="AC80" s="5">
        <v>0.15</v>
      </c>
      <c r="AD80" s="44">
        <f t="shared" si="115"/>
        <v>427490</v>
      </c>
      <c r="AE80" s="5">
        <v>0.1</v>
      </c>
      <c r="AF80" s="44">
        <f t="shared" si="116"/>
        <v>213745</v>
      </c>
      <c r="AG80" s="5">
        <v>0.05</v>
      </c>
      <c r="AH80" s="44">
        <f t="shared" si="117"/>
        <v>1496215</v>
      </c>
      <c r="AI80" s="5">
        <v>0.35</v>
      </c>
    </row>
    <row r="81" spans="1:35">
      <c r="C81" s="16">
        <v>0.03</v>
      </c>
      <c r="D81" s="30">
        <f>ROUND(建筑!G34*J81*(1+I81)*C81,0)</f>
        <v>28231</v>
      </c>
      <c r="E81" s="44">
        <f t="shared" si="105"/>
        <v>677544</v>
      </c>
      <c r="F81" s="44">
        <f t="shared" si="102"/>
        <v>677544</v>
      </c>
      <c r="G81" s="44">
        <v>1</v>
      </c>
      <c r="I81" s="45">
        <f t="shared" si="107"/>
        <v>0.6</v>
      </c>
      <c r="J81" s="45">
        <v>0.3</v>
      </c>
      <c r="L81" s="16">
        <f t="shared" si="103"/>
        <v>9</v>
      </c>
      <c r="M81" s="16">
        <v>27</v>
      </c>
      <c r="N81" s="44">
        <f t="shared" si="104"/>
        <v>18293688</v>
      </c>
      <c r="O81" s="44">
        <f>N81*基本公式!$B$114</f>
        <v>11890897.199999999</v>
      </c>
      <c r="S81" s="5"/>
      <c r="U81" s="5"/>
      <c r="W81" s="5"/>
      <c r="X81" s="44">
        <f t="shared" si="109"/>
        <v>4161814</v>
      </c>
      <c r="Y81" s="5">
        <v>0.35</v>
      </c>
      <c r="AB81" s="44">
        <f t="shared" si="114"/>
        <v>1783635</v>
      </c>
      <c r="AC81" s="5">
        <v>0.15</v>
      </c>
      <c r="AD81" s="44">
        <f t="shared" si="115"/>
        <v>1189090</v>
      </c>
      <c r="AE81" s="5">
        <v>0.1</v>
      </c>
      <c r="AF81" s="44">
        <f t="shared" si="116"/>
        <v>594545</v>
      </c>
      <c r="AG81" s="5">
        <v>0.05</v>
      </c>
      <c r="AH81" s="44">
        <f t="shared" si="117"/>
        <v>4161814</v>
      </c>
      <c r="AI81" s="5">
        <v>0.35</v>
      </c>
    </row>
    <row r="82" spans="1:35">
      <c r="A82" s="16"/>
      <c r="C82" s="16">
        <v>0.03</v>
      </c>
      <c r="D82" s="30">
        <f>ROUND(建筑!G35*J82*(1+I82)*C82,0)</f>
        <v>39835</v>
      </c>
      <c r="E82" s="44">
        <f t="shared" si="105"/>
        <v>956040</v>
      </c>
      <c r="F82" s="44">
        <f t="shared" si="102"/>
        <v>956040</v>
      </c>
      <c r="G82" s="44">
        <v>1</v>
      </c>
      <c r="I82" s="45">
        <f t="shared" si="107"/>
        <v>0.65</v>
      </c>
      <c r="J82" s="45">
        <v>0.3</v>
      </c>
      <c r="L82" s="16">
        <f t="shared" si="103"/>
        <v>13</v>
      </c>
      <c r="M82" s="16">
        <v>40</v>
      </c>
      <c r="N82" s="44">
        <f t="shared" si="104"/>
        <v>38241600</v>
      </c>
      <c r="O82" s="44">
        <f>N82*基本公式!$B$114</f>
        <v>24857040</v>
      </c>
      <c r="S82" s="5"/>
      <c r="U82" s="5"/>
      <c r="W82" s="5"/>
      <c r="X82" s="44">
        <f t="shared" si="109"/>
        <v>8699964</v>
      </c>
      <c r="Y82" s="5">
        <v>0.35</v>
      </c>
      <c r="AB82" s="44">
        <f t="shared" si="114"/>
        <v>3728556</v>
      </c>
      <c r="AC82" s="5">
        <v>0.15</v>
      </c>
      <c r="AD82" s="44">
        <f t="shared" si="115"/>
        <v>2485704</v>
      </c>
      <c r="AE82" s="5">
        <v>0.1</v>
      </c>
      <c r="AF82" s="44">
        <f t="shared" si="116"/>
        <v>1242852</v>
      </c>
      <c r="AG82" s="5">
        <v>0.05</v>
      </c>
      <c r="AH82" s="44">
        <f t="shared" si="117"/>
        <v>8699964</v>
      </c>
      <c r="AI82" s="5">
        <v>0.35</v>
      </c>
    </row>
    <row r="83" spans="1:35">
      <c r="A83" s="21" t="s">
        <v>210</v>
      </c>
      <c r="C83" s="16">
        <v>0.03</v>
      </c>
      <c r="D83" s="30">
        <f>ROUND(建筑!G36*J83*(1+I83)*C83,0)</f>
        <v>50690</v>
      </c>
      <c r="E83" s="44">
        <f t="shared" si="105"/>
        <v>1216560</v>
      </c>
      <c r="F83" s="44">
        <f t="shared" si="102"/>
        <v>1216560</v>
      </c>
      <c r="G83" s="44">
        <v>1</v>
      </c>
      <c r="I83" s="45">
        <f t="shared" si="107"/>
        <v>0.7</v>
      </c>
      <c r="J83" s="45">
        <v>0.3</v>
      </c>
      <c r="L83" s="16">
        <f t="shared" si="103"/>
        <v>16</v>
      </c>
      <c r="M83" s="16">
        <f>L82+M82+3</f>
        <v>56</v>
      </c>
      <c r="N83" s="44">
        <f t="shared" si="104"/>
        <v>68127360</v>
      </c>
      <c r="O83" s="44">
        <f>N83*基本公式!$B$114</f>
        <v>44282784</v>
      </c>
      <c r="S83" s="5"/>
      <c r="U83" s="5"/>
      <c r="W83" s="5"/>
      <c r="X83" s="44">
        <f t="shared" si="109"/>
        <v>15498974</v>
      </c>
      <c r="Y83" s="5">
        <v>0.35</v>
      </c>
      <c r="AB83" s="44">
        <f t="shared" si="114"/>
        <v>6642418</v>
      </c>
      <c r="AC83" s="5">
        <v>0.15</v>
      </c>
      <c r="AD83" s="44">
        <f t="shared" si="115"/>
        <v>4428278</v>
      </c>
      <c r="AE83" s="5">
        <v>0.1</v>
      </c>
      <c r="AF83" s="44">
        <f t="shared" si="116"/>
        <v>2214139</v>
      </c>
      <c r="AG83" s="5">
        <v>0.05</v>
      </c>
      <c r="AH83" s="44">
        <f t="shared" si="117"/>
        <v>15498974</v>
      </c>
      <c r="AI83" s="5">
        <v>0.35</v>
      </c>
    </row>
    <row r="84" spans="1:35">
      <c r="C84" s="16">
        <v>0.03</v>
      </c>
      <c r="D84" s="30">
        <f>ROUND(建筑!G37*J84*(1+I84)*C84,0)</f>
        <v>63353</v>
      </c>
      <c r="E84" s="44">
        <f t="shared" si="105"/>
        <v>1520472</v>
      </c>
      <c r="F84" s="44">
        <f t="shared" si="102"/>
        <v>1520472</v>
      </c>
      <c r="G84" s="44">
        <v>1</v>
      </c>
      <c r="I84" s="45">
        <f t="shared" si="107"/>
        <v>0.75</v>
      </c>
      <c r="J84" s="45">
        <v>0.3</v>
      </c>
      <c r="L84" s="16">
        <f t="shared" si="103"/>
        <v>19</v>
      </c>
      <c r="M84" s="16">
        <f t="shared" ref="M84" si="118">M83+L83+3</f>
        <v>75</v>
      </c>
      <c r="N84" s="44">
        <f t="shared" si="104"/>
        <v>114035400</v>
      </c>
      <c r="O84" s="44">
        <f>N84*基本公式!$B$114</f>
        <v>74123010</v>
      </c>
      <c r="S84" s="5"/>
      <c r="U84" s="5"/>
      <c r="W84" s="5"/>
      <c r="X84" s="44">
        <f t="shared" si="109"/>
        <v>25943054</v>
      </c>
      <c r="Y84" s="5">
        <v>0.35</v>
      </c>
      <c r="AB84" s="44">
        <f t="shared" si="114"/>
        <v>11118452</v>
      </c>
      <c r="AC84" s="5">
        <v>0.15</v>
      </c>
      <c r="AD84" s="44">
        <f t="shared" si="115"/>
        <v>7412301</v>
      </c>
      <c r="AE84" s="5">
        <v>0.1</v>
      </c>
      <c r="AF84" s="44">
        <f t="shared" si="116"/>
        <v>3706151</v>
      </c>
      <c r="AG84" s="5">
        <v>0.05</v>
      </c>
      <c r="AH84" s="44">
        <f t="shared" si="117"/>
        <v>25943054</v>
      </c>
      <c r="AI84" s="5">
        <v>0.35</v>
      </c>
    </row>
    <row r="85" spans="1:35">
      <c r="C85" s="16">
        <v>0.03</v>
      </c>
      <c r="D85" s="30">
        <f>ROUND(建筑!G38*J85*(1+I85)*C85,0)</f>
        <v>76368</v>
      </c>
      <c r="E85" s="44">
        <f t="shared" si="105"/>
        <v>1832832</v>
      </c>
      <c r="F85" s="44">
        <f t="shared" si="102"/>
        <v>1832832</v>
      </c>
      <c r="G85" s="44">
        <v>1</v>
      </c>
      <c r="I85" s="45">
        <f t="shared" si="107"/>
        <v>0.8</v>
      </c>
      <c r="J85" s="45">
        <v>0.3</v>
      </c>
      <c r="L85" s="16">
        <f t="shared" si="103"/>
        <v>22</v>
      </c>
      <c r="M85" s="16">
        <f>M84+L84+3</f>
        <v>97</v>
      </c>
      <c r="N85" s="44">
        <f t="shared" si="104"/>
        <v>177784704</v>
      </c>
      <c r="O85" s="44">
        <f>N85*基本公式!$B$114</f>
        <v>115560057.59999999</v>
      </c>
      <c r="S85" s="5"/>
      <c r="U85" s="5"/>
      <c r="W85" s="5"/>
      <c r="X85" s="44">
        <f t="shared" si="109"/>
        <v>40446020</v>
      </c>
      <c r="Y85" s="5">
        <v>0.35</v>
      </c>
      <c r="AB85" s="44">
        <f t="shared" si="114"/>
        <v>17334009</v>
      </c>
      <c r="AC85" s="5">
        <v>0.15</v>
      </c>
      <c r="AD85" s="44">
        <f t="shared" si="115"/>
        <v>11556006</v>
      </c>
      <c r="AE85" s="5">
        <v>0.1</v>
      </c>
      <c r="AF85" s="44">
        <f t="shared" si="116"/>
        <v>5778003</v>
      </c>
      <c r="AG85" s="5">
        <v>0.05</v>
      </c>
      <c r="AH85" s="44">
        <f t="shared" si="117"/>
        <v>40446020</v>
      </c>
      <c r="AI85" s="5">
        <v>0.35</v>
      </c>
    </row>
    <row r="86" spans="1:35">
      <c r="C86" s="16">
        <v>0.03</v>
      </c>
      <c r="D86" s="30">
        <f>ROUND(建筑!G39*J86*(1+I86)*C86,0)</f>
        <v>90851</v>
      </c>
      <c r="E86" s="44">
        <f t="shared" si="105"/>
        <v>2180424</v>
      </c>
      <c r="F86" s="44">
        <f t="shared" si="102"/>
        <v>2180424</v>
      </c>
      <c r="G86" s="44">
        <v>1</v>
      </c>
      <c r="I86" s="45">
        <f t="shared" si="107"/>
        <v>0.85</v>
      </c>
      <c r="J86" s="45">
        <v>0.3</v>
      </c>
      <c r="L86" s="16">
        <f t="shared" si="103"/>
        <v>25</v>
      </c>
      <c r="M86" s="16">
        <f>M85+L85+3</f>
        <v>122</v>
      </c>
      <c r="N86" s="44">
        <f t="shared" si="104"/>
        <v>266011728</v>
      </c>
      <c r="O86" s="44">
        <f>N86*基本公式!$B$114</f>
        <v>172907623.19999999</v>
      </c>
      <c r="S86" s="5"/>
      <c r="U86" s="5"/>
      <c r="W86" s="5"/>
      <c r="X86" s="44">
        <f t="shared" si="109"/>
        <v>60517668</v>
      </c>
      <c r="Y86" s="5">
        <v>0.35</v>
      </c>
      <c r="AB86" s="44">
        <f t="shared" si="114"/>
        <v>25936143</v>
      </c>
      <c r="AC86" s="5">
        <v>0.15</v>
      </c>
      <c r="AD86" s="44">
        <f t="shared" si="115"/>
        <v>17290762</v>
      </c>
      <c r="AE86" s="5">
        <v>0.1</v>
      </c>
      <c r="AF86" s="44">
        <f t="shared" si="116"/>
        <v>8645381</v>
      </c>
      <c r="AG86" s="5">
        <v>0.05</v>
      </c>
      <c r="AH86" s="44">
        <f t="shared" si="117"/>
        <v>60517668</v>
      </c>
      <c r="AI86" s="5">
        <v>0.35</v>
      </c>
    </row>
    <row r="87" spans="1:35">
      <c r="C87" s="16">
        <v>0.03</v>
      </c>
      <c r="D87" s="30">
        <f>ROUND(建筑!G40*J87*(1+I87)*C87,0)</f>
        <v>107203</v>
      </c>
      <c r="E87" s="44">
        <f t="shared" si="105"/>
        <v>2572872</v>
      </c>
      <c r="F87" s="44">
        <f t="shared" si="102"/>
        <v>2572872</v>
      </c>
      <c r="G87" s="44">
        <v>1</v>
      </c>
      <c r="I87" s="45">
        <f t="shared" si="107"/>
        <v>0.9</v>
      </c>
      <c r="J87" s="45">
        <v>0.3</v>
      </c>
      <c r="L87" s="16">
        <f t="shared" si="103"/>
        <v>28</v>
      </c>
      <c r="M87" s="16">
        <f>M86+L86+3</f>
        <v>150</v>
      </c>
      <c r="N87" s="44">
        <f t="shared" ref="N87" si="119">M87*F87</f>
        <v>385930800</v>
      </c>
      <c r="O87" s="44">
        <f>N87*基本公式!$B$114</f>
        <v>250855020</v>
      </c>
      <c r="S87" s="5"/>
      <c r="U87" s="5"/>
      <c r="W87" s="5"/>
      <c r="X87" s="44">
        <f t="shared" si="109"/>
        <v>87799257</v>
      </c>
      <c r="Y87" s="5">
        <v>0.35</v>
      </c>
      <c r="AB87" s="44">
        <f t="shared" si="114"/>
        <v>37628253</v>
      </c>
      <c r="AC87" s="5">
        <v>0.15</v>
      </c>
      <c r="AD87" s="44">
        <f t="shared" si="115"/>
        <v>25085502</v>
      </c>
      <c r="AE87" s="5">
        <v>0.1</v>
      </c>
      <c r="AF87" s="44">
        <f t="shared" si="116"/>
        <v>12542751</v>
      </c>
      <c r="AG87" s="5">
        <v>0.05</v>
      </c>
      <c r="AH87" s="44">
        <f t="shared" si="117"/>
        <v>87799257</v>
      </c>
      <c r="AI87" s="5">
        <v>0.35</v>
      </c>
    </row>
    <row r="88" spans="1:35">
      <c r="A88" s="22" t="s">
        <v>211</v>
      </c>
      <c r="C88" s="16">
        <v>0.03</v>
      </c>
      <c r="D88" s="30">
        <f>ROUND(建筑!G41*J88*(1+I88)*C88,0)</f>
        <v>125084</v>
      </c>
      <c r="E88" s="44">
        <f t="shared" si="105"/>
        <v>3002016</v>
      </c>
      <c r="F88" s="44">
        <f t="shared" si="102"/>
        <v>3002016</v>
      </c>
      <c r="G88" s="44">
        <v>1</v>
      </c>
      <c r="I88" s="45">
        <f t="shared" si="107"/>
        <v>0.95</v>
      </c>
      <c r="J88" s="45">
        <v>0.3</v>
      </c>
      <c r="L88" s="16">
        <f t="shared" si="103"/>
        <v>31</v>
      </c>
      <c r="M88" s="16">
        <f>M87+L87+3</f>
        <v>181</v>
      </c>
      <c r="N88" s="44">
        <f>M88*F88</f>
        <v>543364896</v>
      </c>
      <c r="O88" s="44">
        <f>N88*基本公式!$B$114</f>
        <v>353187182.39999998</v>
      </c>
      <c r="S88" s="5"/>
      <c r="U88" s="5"/>
      <c r="W88" s="5"/>
      <c r="X88" s="44">
        <f t="shared" si="109"/>
        <v>123615514</v>
      </c>
      <c r="Y88" s="5">
        <v>0.35</v>
      </c>
      <c r="AB88" s="44">
        <f t="shared" si="114"/>
        <v>52978077</v>
      </c>
      <c r="AC88" s="5">
        <v>0.15</v>
      </c>
      <c r="AD88" s="44">
        <f t="shared" si="115"/>
        <v>35318718</v>
      </c>
      <c r="AE88" s="5">
        <v>0.1</v>
      </c>
      <c r="AF88" s="44">
        <f t="shared" si="116"/>
        <v>17659359</v>
      </c>
      <c r="AG88" s="5">
        <v>0.05</v>
      </c>
      <c r="AH88" s="44">
        <f t="shared" si="117"/>
        <v>123615514</v>
      </c>
      <c r="AI88" s="5">
        <v>0.35</v>
      </c>
    </row>
    <row r="89" spans="1:35">
      <c r="C89" s="16">
        <v>0.03</v>
      </c>
      <c r="D89" s="30">
        <f>ROUND(建筑!G42*J89*(1+I89)*C89,0)</f>
        <v>150930</v>
      </c>
      <c r="E89" s="44">
        <f t="shared" si="105"/>
        <v>3622320</v>
      </c>
      <c r="F89" s="44">
        <f t="shared" si="102"/>
        <v>3622320</v>
      </c>
      <c r="G89" s="44">
        <v>1</v>
      </c>
      <c r="I89" s="45">
        <f t="shared" si="107"/>
        <v>1</v>
      </c>
      <c r="J89" s="45">
        <v>0.3</v>
      </c>
      <c r="L89" s="16">
        <f t="shared" si="103"/>
        <v>34</v>
      </c>
      <c r="M89" s="16">
        <f>M88+L88+3</f>
        <v>215</v>
      </c>
      <c r="N89" s="44">
        <f>M89*F89</f>
        <v>778798800</v>
      </c>
      <c r="O89" s="44">
        <f>N89*基本公式!$B$114</f>
        <v>506219220</v>
      </c>
      <c r="S89" s="5"/>
      <c r="U89" s="5"/>
      <c r="W89" s="5"/>
      <c r="X89" s="44">
        <f t="shared" si="109"/>
        <v>177176727</v>
      </c>
      <c r="Y89" s="5">
        <v>0.35</v>
      </c>
      <c r="AB89" s="44">
        <f t="shared" si="114"/>
        <v>75932883</v>
      </c>
      <c r="AC89" s="5">
        <v>0.15</v>
      </c>
      <c r="AD89" s="44">
        <f t="shared" si="115"/>
        <v>50621922</v>
      </c>
      <c r="AE89" s="5">
        <v>0.1</v>
      </c>
      <c r="AF89" s="44">
        <f t="shared" si="116"/>
        <v>25310961</v>
      </c>
      <c r="AG89" s="5">
        <v>0.05</v>
      </c>
      <c r="AH89" s="44">
        <f t="shared" si="117"/>
        <v>177176727</v>
      </c>
      <c r="AI89" s="5">
        <v>0.35</v>
      </c>
    </row>
  </sheetData>
  <phoneticPr fontId="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7"/>
  <sheetViews>
    <sheetView workbookViewId="0">
      <pane xSplit="1" ySplit="2" topLeftCell="B3" activePane="bottomRight" state="frozen"/>
      <selection pane="topRight"/>
      <selection pane="bottomLeft"/>
      <selection pane="bottomRight" activeCell="C4" sqref="C4"/>
    </sheetView>
  </sheetViews>
  <sheetFormatPr defaultColWidth="9" defaultRowHeight="13.5"/>
  <cols>
    <col min="3" max="3" width="13.625" style="33" customWidth="1"/>
    <col min="4" max="4" width="10.75" style="34" customWidth="1"/>
    <col min="5" max="5" width="13.625" style="33" customWidth="1"/>
    <col min="6" max="6" width="9" style="34"/>
    <col min="7" max="7" width="13.625" style="33" customWidth="1"/>
    <col min="8" max="8" width="9" style="34"/>
    <col min="9" max="9" width="13.625" style="35" customWidth="1"/>
    <col min="10" max="10" width="9" style="34"/>
  </cols>
  <sheetData>
    <row r="1" spans="1:14">
      <c r="A1" t="s">
        <v>216</v>
      </c>
      <c r="B1" t="s">
        <v>187</v>
      </c>
      <c r="C1" s="33" t="s">
        <v>217</v>
      </c>
      <c r="D1" s="34" t="s">
        <v>218</v>
      </c>
      <c r="E1" s="33" t="s">
        <v>219</v>
      </c>
      <c r="F1" s="34" t="s">
        <v>220</v>
      </c>
      <c r="G1" s="33" t="s">
        <v>221</v>
      </c>
      <c r="H1" s="34" t="s">
        <v>222</v>
      </c>
      <c r="I1" s="35" t="s">
        <v>223</v>
      </c>
      <c r="J1" s="34" t="s">
        <v>224</v>
      </c>
      <c r="K1" t="s">
        <v>225</v>
      </c>
      <c r="L1" t="s">
        <v>226</v>
      </c>
      <c r="M1" t="s">
        <v>227</v>
      </c>
      <c r="N1" t="s">
        <v>228</v>
      </c>
    </row>
    <row r="2" spans="1:14" s="32" customFormat="1">
      <c r="C2" s="33"/>
      <c r="D2" s="36">
        <f>D4+D25*基本公式!B150+D46*基本公式!B151+D67*基本公式!B152+D88+D109+D130+D151*基本公式!B153+D172+D193+D214+D235+D256+D277+D298</f>
        <v>1</v>
      </c>
      <c r="E2" s="33"/>
      <c r="F2" s="36">
        <f>F4+F25*基本公式!B150+F46*基本公式!B151+F67*基本公式!B152+F88+F109+F130+F151*基本公式!B153+F172+F193+F214+F235+F256+F277+F298</f>
        <v>1</v>
      </c>
      <c r="G2" s="33"/>
      <c r="H2" s="36">
        <f>H4+H25*基本公式!B150+H46*基本公式!B151+H67*基本公式!B152+H88+H109+H130+H151*基本公式!B153+H172+H193+H214+H235+H256+H277+H298</f>
        <v>1</v>
      </c>
      <c r="I2" s="39"/>
      <c r="J2" s="36"/>
    </row>
    <row r="3" spans="1:14" s="32" customFormat="1">
      <c r="A3" s="32" t="s">
        <v>81</v>
      </c>
      <c r="C3" s="33"/>
      <c r="D3" s="36"/>
      <c r="E3" s="33"/>
      <c r="F3" s="36"/>
      <c r="G3" s="33"/>
      <c r="H3" s="36"/>
      <c r="I3" s="39"/>
      <c r="J3" s="36"/>
    </row>
    <row r="4" spans="1:14">
      <c r="B4">
        <v>1</v>
      </c>
      <c r="C4" s="33">
        <f>ROUND(产出与消耗!P4*D4,0)</f>
        <v>14</v>
      </c>
      <c r="D4" s="34">
        <v>0.25</v>
      </c>
      <c r="E4" s="33">
        <f>ROUND(产出与消耗!P26*F4,0)</f>
        <v>19</v>
      </c>
      <c r="F4" s="34">
        <v>0.25</v>
      </c>
      <c r="G4" s="33">
        <f>ROUND(产出与消耗!P48*H4,0)</f>
        <v>12</v>
      </c>
      <c r="H4" s="34">
        <v>0.25</v>
      </c>
    </row>
    <row r="5" spans="1:14">
      <c r="B5">
        <v>2</v>
      </c>
      <c r="C5" s="33">
        <f>ROUND(产出与消耗!P5*D5,0)</f>
        <v>156</v>
      </c>
      <c r="D5" s="34">
        <v>0.25</v>
      </c>
      <c r="E5" s="33">
        <f>ROUND(产出与消耗!P27*F5,0)</f>
        <v>207</v>
      </c>
      <c r="F5" s="34">
        <v>0.25</v>
      </c>
      <c r="G5" s="33">
        <f>ROUND(产出与消耗!P49*H5,0)</f>
        <v>130</v>
      </c>
      <c r="H5" s="34">
        <v>0.25</v>
      </c>
    </row>
    <row r="6" spans="1:14">
      <c r="B6">
        <v>3</v>
      </c>
      <c r="C6" s="33">
        <f>ROUND(产出与消耗!P6*D6,0)</f>
        <v>1011</v>
      </c>
      <c r="D6" s="34">
        <v>0.25</v>
      </c>
      <c r="E6" s="33">
        <f>ROUND(产出与消耗!P28*F6,0)</f>
        <v>1348</v>
      </c>
      <c r="F6" s="34">
        <v>0.25</v>
      </c>
      <c r="G6" s="33">
        <f>ROUND(产出与消耗!P50*H6,0)</f>
        <v>843</v>
      </c>
      <c r="H6" s="34">
        <v>0.25</v>
      </c>
    </row>
    <row r="7" spans="1:14">
      <c r="B7">
        <v>4</v>
      </c>
      <c r="C7" s="33">
        <f>ROUND(产出与消耗!P7*D7,0)</f>
        <v>4083</v>
      </c>
      <c r="D7" s="34">
        <v>0.25</v>
      </c>
      <c r="E7" s="33">
        <f>ROUND(产出与消耗!P29*F7,0)</f>
        <v>5443</v>
      </c>
      <c r="F7" s="34">
        <v>0.25</v>
      </c>
      <c r="G7" s="33">
        <f>ROUND(产出与消耗!P51*H7,0)</f>
        <v>3402</v>
      </c>
      <c r="H7" s="34">
        <v>0.25</v>
      </c>
    </row>
    <row r="8" spans="1:14">
      <c r="B8">
        <v>5</v>
      </c>
      <c r="C8" s="33">
        <f>ROUND(产出与消耗!P8*D8,0)</f>
        <v>13219</v>
      </c>
      <c r="D8" s="34">
        <v>0.25</v>
      </c>
      <c r="E8" s="33">
        <f>ROUND(产出与消耗!P30*F8,0)</f>
        <v>17626</v>
      </c>
      <c r="F8" s="34">
        <v>0.25</v>
      </c>
      <c r="G8" s="33">
        <f>ROUND(产出与消耗!P52*H8,0)</f>
        <v>11016</v>
      </c>
      <c r="H8" s="34">
        <v>0.25</v>
      </c>
    </row>
    <row r="9" spans="1:14">
      <c r="B9">
        <v>6</v>
      </c>
      <c r="C9" s="33">
        <f>ROUND(产出与消耗!P9*D9,0)</f>
        <v>37740</v>
      </c>
      <c r="D9" s="34">
        <v>0.25</v>
      </c>
      <c r="E9" s="33">
        <f>ROUND(产出与消耗!P31*F9,0)</f>
        <v>50319</v>
      </c>
      <c r="F9" s="34">
        <v>0.25</v>
      </c>
      <c r="G9" s="33">
        <f>ROUND(产出与消耗!P53*H9,0)</f>
        <v>31450</v>
      </c>
      <c r="H9" s="34">
        <v>0.25</v>
      </c>
    </row>
    <row r="10" spans="1:14">
      <c r="B10">
        <v>7</v>
      </c>
      <c r="C10" s="33">
        <f>ROUND(产出与消耗!P10*D10,0)</f>
        <v>106415</v>
      </c>
      <c r="D10" s="34">
        <v>0.25</v>
      </c>
      <c r="E10" s="33">
        <f>ROUND(产出与消耗!P32*F10,0)</f>
        <v>141886</v>
      </c>
      <c r="F10" s="34">
        <v>0.25</v>
      </c>
      <c r="G10" s="33">
        <f>ROUND(产出与消耗!P54*H10,0)</f>
        <v>88679</v>
      </c>
      <c r="H10" s="34">
        <v>0.25</v>
      </c>
    </row>
    <row r="11" spans="1:14">
      <c r="B11">
        <v>8</v>
      </c>
      <c r="C11" s="33">
        <f>ROUND(产出与消耗!P11*D11,0)</f>
        <v>341055</v>
      </c>
      <c r="D11" s="34">
        <v>0.25</v>
      </c>
      <c r="E11" s="33">
        <f>ROUND(产出与消耗!P33*F11,0)</f>
        <v>454741</v>
      </c>
      <c r="F11" s="34">
        <v>0.25</v>
      </c>
      <c r="G11" s="33">
        <f>ROUND(产出与消耗!P55*H11,0)</f>
        <v>284213</v>
      </c>
      <c r="H11" s="34">
        <v>0.25</v>
      </c>
    </row>
    <row r="12" spans="1:14">
      <c r="B12">
        <v>9</v>
      </c>
      <c r="C12" s="33">
        <f>ROUND(产出与消耗!P12*D12,0)</f>
        <v>810130</v>
      </c>
      <c r="D12" s="34">
        <v>0.25</v>
      </c>
      <c r="E12" s="33">
        <f>ROUND(产出与消耗!P34*F12,0)</f>
        <v>1080173</v>
      </c>
      <c r="F12" s="34">
        <v>0.25</v>
      </c>
      <c r="G12" s="33">
        <f>ROUND(产出与消耗!P56*H12,0)</f>
        <v>675108</v>
      </c>
      <c r="H12" s="34">
        <v>0.25</v>
      </c>
    </row>
    <row r="13" spans="1:14">
      <c r="B13">
        <v>10</v>
      </c>
      <c r="C13" s="33">
        <f>ROUND(产出与消耗!P13*D13,0)</f>
        <v>1938816</v>
      </c>
      <c r="D13" s="34">
        <v>0.25</v>
      </c>
      <c r="E13" s="33">
        <f>ROUND(产出与消耗!P35*F13,0)</f>
        <v>2585088</v>
      </c>
      <c r="F13" s="34">
        <v>0.25</v>
      </c>
      <c r="G13" s="33">
        <f>ROUND(产出与消耗!P57*H13,0)</f>
        <v>1615680</v>
      </c>
      <c r="H13" s="34">
        <v>0.25</v>
      </c>
    </row>
    <row r="14" spans="1:14">
      <c r="B14">
        <v>11</v>
      </c>
      <c r="C14" s="33">
        <f>ROUND(产出与消耗!P14*D14,0)</f>
        <v>3968093</v>
      </c>
      <c r="D14" s="34">
        <v>0.25</v>
      </c>
      <c r="E14" s="33">
        <f>ROUND(产出与消耗!P36*F14,0)</f>
        <v>5290791</v>
      </c>
      <c r="F14" s="34">
        <v>0.25</v>
      </c>
      <c r="G14" s="33">
        <f>ROUND(产出与消耗!P58*H14,0)</f>
        <v>3306744</v>
      </c>
      <c r="H14" s="34">
        <v>0.25</v>
      </c>
    </row>
    <row r="15" spans="1:14">
      <c r="B15">
        <v>12</v>
      </c>
      <c r="C15" s="33">
        <f>ROUND(产出与消耗!P15*D15,0)</f>
        <v>8852976</v>
      </c>
      <c r="D15" s="34">
        <v>0.25</v>
      </c>
      <c r="E15" s="33">
        <f>ROUND(产出与消耗!P37*F15,0)</f>
        <v>11803968</v>
      </c>
      <c r="F15" s="34">
        <v>0.25</v>
      </c>
      <c r="G15" s="33">
        <f>ROUND(产出与消耗!P59*H15,0)</f>
        <v>7377480</v>
      </c>
      <c r="H15" s="34">
        <v>0.25</v>
      </c>
    </row>
    <row r="16" spans="1:14">
      <c r="B16">
        <v>13</v>
      </c>
      <c r="C16" s="33">
        <f>ROUND(产出与消耗!P16*D16,0)</f>
        <v>17169408</v>
      </c>
      <c r="D16" s="34">
        <v>0.25</v>
      </c>
      <c r="E16" s="33">
        <f>ROUND(产出与消耗!P38*F16,0)</f>
        <v>22892544</v>
      </c>
      <c r="F16" s="34">
        <v>0.25</v>
      </c>
      <c r="G16" s="33">
        <f>ROUND(产出与消耗!P60*H16,0)</f>
        <v>14307840</v>
      </c>
      <c r="H16" s="34">
        <v>0.25</v>
      </c>
    </row>
    <row r="17" spans="1:29">
      <c r="B17">
        <v>14</v>
      </c>
      <c r="C17" s="33">
        <f>ROUND(产出与消耗!P17*D17,0)</f>
        <v>29611008</v>
      </c>
      <c r="D17" s="34">
        <v>0.25</v>
      </c>
      <c r="E17" s="33">
        <f>ROUND(产出与消耗!P39*F17,0)</f>
        <v>39481344</v>
      </c>
      <c r="F17" s="34">
        <v>0.25</v>
      </c>
      <c r="G17" s="33">
        <f>ROUND(产出与消耗!P61*H17,0)</f>
        <v>24675840</v>
      </c>
      <c r="H17" s="34">
        <v>0.25</v>
      </c>
    </row>
    <row r="18" spans="1:29">
      <c r="B18">
        <v>15</v>
      </c>
      <c r="C18" s="33">
        <f>ROUND(产出与消耗!P18*D18,0)</f>
        <v>48600000</v>
      </c>
      <c r="D18" s="34">
        <v>0.25</v>
      </c>
      <c r="E18" s="33">
        <f>ROUND(产出与消耗!P40*F18,0)</f>
        <v>64800000</v>
      </c>
      <c r="F18" s="34">
        <v>0.25</v>
      </c>
      <c r="G18" s="33">
        <f>ROUND(产出与消耗!P62*H18,0)</f>
        <v>40500000</v>
      </c>
      <c r="H18" s="34">
        <v>0.25</v>
      </c>
    </row>
    <row r="19" spans="1:29">
      <c r="B19">
        <v>16</v>
      </c>
      <c r="C19" s="33">
        <f>ROUND(产出与消耗!P19*D19,0)</f>
        <v>75175776</v>
      </c>
      <c r="D19" s="34">
        <v>0.25</v>
      </c>
      <c r="E19" s="33">
        <f>ROUND(产出与消耗!P41*F19,0)</f>
        <v>100234368</v>
      </c>
      <c r="F19" s="34">
        <v>0.25</v>
      </c>
      <c r="G19" s="33">
        <f>ROUND(产出与消耗!P63*H19,0)</f>
        <v>62646480</v>
      </c>
      <c r="H19" s="34">
        <v>0.25</v>
      </c>
    </row>
    <row r="20" spans="1:29">
      <c r="B20">
        <v>17</v>
      </c>
      <c r="C20" s="33">
        <f>ROUND(产出与消耗!P20*D20,0)</f>
        <v>112275331</v>
      </c>
      <c r="D20" s="34">
        <v>0.25</v>
      </c>
      <c r="E20" s="33">
        <f>ROUND(产出与消耗!P42*F20,0)</f>
        <v>149700442</v>
      </c>
      <c r="F20" s="34">
        <v>0.25</v>
      </c>
      <c r="G20" s="33">
        <f>ROUND(产出与消耗!P64*H20,0)</f>
        <v>93562776</v>
      </c>
      <c r="H20" s="34">
        <v>0.25</v>
      </c>
    </row>
    <row r="21" spans="1:29">
      <c r="B21">
        <v>18</v>
      </c>
      <c r="C21" s="33">
        <f>ROUND(产出与消耗!P21*D21,0)</f>
        <v>163296000</v>
      </c>
      <c r="D21" s="34">
        <v>0.25</v>
      </c>
      <c r="E21" s="33">
        <f>ROUND(产出与消耗!P43*F21,0)</f>
        <v>217728000</v>
      </c>
      <c r="F21" s="34">
        <v>0.25</v>
      </c>
      <c r="G21" s="33">
        <f>ROUND(产出与消耗!P65*H21,0)</f>
        <v>136080000</v>
      </c>
      <c r="H21" s="34">
        <v>0.25</v>
      </c>
    </row>
    <row r="22" spans="1:29">
      <c r="B22">
        <v>19</v>
      </c>
      <c r="C22" s="33">
        <f>ROUND(产出与消耗!P22*D22,0)</f>
        <v>231291936</v>
      </c>
      <c r="D22" s="34">
        <v>0.25</v>
      </c>
      <c r="E22" s="33">
        <f>ROUND(产出与消耗!P44*F22,0)</f>
        <v>308389248</v>
      </c>
      <c r="F22" s="34">
        <v>0.25</v>
      </c>
      <c r="G22" s="33">
        <f>ROUND(产出与消耗!P66*H22,0)</f>
        <v>192743280</v>
      </c>
      <c r="H22" s="34">
        <v>0.25</v>
      </c>
    </row>
    <row r="23" spans="1:29">
      <c r="B23">
        <v>20</v>
      </c>
      <c r="C23" s="33">
        <f>ROUND(产出与消耗!P23*D23,0)</f>
        <v>334368000</v>
      </c>
      <c r="D23" s="34">
        <v>0.25</v>
      </c>
      <c r="E23" s="33">
        <f>ROUND(产出与消耗!P45*F23,0)</f>
        <v>445824000</v>
      </c>
      <c r="F23" s="34">
        <v>0.25</v>
      </c>
      <c r="G23" s="33">
        <f>ROUND(产出与消耗!P67*H23,0)</f>
        <v>278640000</v>
      </c>
      <c r="H23" s="34">
        <v>0.25</v>
      </c>
    </row>
    <row r="24" spans="1:29" s="7" customFormat="1">
      <c r="A24" s="32" t="s">
        <v>92</v>
      </c>
      <c r="B24" s="37"/>
      <c r="C24" s="38"/>
      <c r="D24" s="36"/>
      <c r="E24" s="38"/>
      <c r="F24" s="36"/>
      <c r="G24" s="38"/>
      <c r="H24" s="36"/>
      <c r="I24" s="40"/>
      <c r="J24" s="36"/>
      <c r="K24" s="28"/>
      <c r="L24" s="28"/>
      <c r="M24" s="41"/>
      <c r="N24" s="28"/>
      <c r="R24" s="42"/>
      <c r="S24" s="40"/>
      <c r="T24" s="43"/>
      <c r="U24" s="40"/>
      <c r="W24" s="40"/>
      <c r="Y24" s="40"/>
      <c r="AA24" s="28"/>
      <c r="AC24" s="28"/>
    </row>
    <row r="25" spans="1:29">
      <c r="B25">
        <v>1</v>
      </c>
      <c r="C25" s="33">
        <f>MAX(ROUND(产出与消耗!P4*D25,0),1)</f>
        <v>1</v>
      </c>
      <c r="D25" s="34">
        <v>0.01</v>
      </c>
      <c r="E25" s="33">
        <f>ROUND(产出与消耗!P26*F25,0)</f>
        <v>2</v>
      </c>
      <c r="F25" s="34">
        <v>0.03</v>
      </c>
      <c r="G25" s="33">
        <f>ROUND(产出与消耗!P48*H25,0)</f>
        <v>1</v>
      </c>
      <c r="H25" s="34">
        <v>0.02</v>
      </c>
    </row>
    <row r="26" spans="1:29">
      <c r="B26">
        <v>2</v>
      </c>
      <c r="C26" s="33">
        <f>ROUND(产出与消耗!P5*D26,0)</f>
        <v>6</v>
      </c>
      <c r="D26" s="34">
        <v>0.01</v>
      </c>
      <c r="E26" s="33">
        <f>ROUND(产出与消耗!P27*F26,0)</f>
        <v>25</v>
      </c>
      <c r="F26" s="34">
        <v>0.03</v>
      </c>
      <c r="G26" s="33">
        <f>ROUND(产出与消耗!P49*H26,0)</f>
        <v>10</v>
      </c>
      <c r="H26" s="34">
        <v>0.02</v>
      </c>
    </row>
    <row r="27" spans="1:29">
      <c r="B27">
        <v>3</v>
      </c>
      <c r="C27" s="33">
        <f>ROUND(产出与消耗!P6*D27,0)</f>
        <v>40</v>
      </c>
      <c r="D27" s="34">
        <v>0.01</v>
      </c>
      <c r="E27" s="33">
        <f>ROUND(产出与消耗!P28*F27,0)</f>
        <v>162</v>
      </c>
      <c r="F27" s="34">
        <v>0.03</v>
      </c>
      <c r="G27" s="33">
        <f>ROUND(产出与消耗!P50*H27,0)</f>
        <v>67</v>
      </c>
      <c r="H27" s="34">
        <v>0.02</v>
      </c>
    </row>
    <row r="28" spans="1:29">
      <c r="B28">
        <v>4</v>
      </c>
      <c r="C28" s="33">
        <f>ROUND(产出与消耗!P7*D28,0)</f>
        <v>163</v>
      </c>
      <c r="D28" s="34">
        <v>0.01</v>
      </c>
      <c r="E28" s="33">
        <f>ROUND(产出与消耗!P29*F28,0)</f>
        <v>653</v>
      </c>
      <c r="F28" s="34">
        <v>0.03</v>
      </c>
      <c r="G28" s="33">
        <f>ROUND(产出与消耗!P51*H28,0)</f>
        <v>272</v>
      </c>
      <c r="H28" s="34">
        <v>0.02</v>
      </c>
    </row>
    <row r="29" spans="1:29">
      <c r="B29">
        <v>5</v>
      </c>
      <c r="C29" s="33">
        <f>ROUND(产出与消耗!P8*D29,0)</f>
        <v>529</v>
      </c>
      <c r="D29" s="34">
        <v>0.01</v>
      </c>
      <c r="E29" s="33">
        <f>ROUND(产出与消耗!P30*F29,0)</f>
        <v>2115</v>
      </c>
      <c r="F29" s="34">
        <v>0.03</v>
      </c>
      <c r="G29" s="33">
        <f>ROUND(产出与消耗!P52*H29,0)</f>
        <v>881</v>
      </c>
      <c r="H29" s="34">
        <v>0.02</v>
      </c>
    </row>
    <row r="30" spans="1:29">
      <c r="B30">
        <v>6</v>
      </c>
      <c r="C30" s="33">
        <f>ROUND(产出与消耗!P9*D30,0)</f>
        <v>1510</v>
      </c>
      <c r="D30" s="34">
        <v>0.01</v>
      </c>
      <c r="E30" s="33">
        <f>ROUND(产出与消耗!P31*F30,0)</f>
        <v>6038</v>
      </c>
      <c r="F30" s="34">
        <v>0.03</v>
      </c>
      <c r="G30" s="33">
        <f>ROUND(产出与消耗!P53*H30,0)</f>
        <v>2516</v>
      </c>
      <c r="H30" s="34">
        <v>0.02</v>
      </c>
    </row>
    <row r="31" spans="1:29">
      <c r="B31">
        <v>7</v>
      </c>
      <c r="C31" s="33">
        <f>ROUND(产出与消耗!P10*D31,0)</f>
        <v>4257</v>
      </c>
      <c r="D31" s="34">
        <v>0.01</v>
      </c>
      <c r="E31" s="33">
        <f>ROUND(产出与消耗!P32*F31,0)</f>
        <v>17026</v>
      </c>
      <c r="F31" s="34">
        <v>0.03</v>
      </c>
      <c r="G31" s="33">
        <f>ROUND(产出与消耗!P54*H31,0)</f>
        <v>7094</v>
      </c>
      <c r="H31" s="34">
        <v>0.02</v>
      </c>
    </row>
    <row r="32" spans="1:29">
      <c r="B32">
        <v>8</v>
      </c>
      <c r="C32" s="33">
        <f>ROUND(产出与消耗!P11*D32,0)</f>
        <v>13642</v>
      </c>
      <c r="D32" s="34">
        <v>0.01</v>
      </c>
      <c r="E32" s="33">
        <f>ROUND(产出与消耗!P33*F32,0)</f>
        <v>54569</v>
      </c>
      <c r="F32" s="34">
        <v>0.03</v>
      </c>
      <c r="G32" s="33">
        <f>ROUND(产出与消耗!P55*H32,0)</f>
        <v>22737</v>
      </c>
      <c r="H32" s="34">
        <v>0.02</v>
      </c>
    </row>
    <row r="33" spans="1:29">
      <c r="B33">
        <v>9</v>
      </c>
      <c r="C33" s="33">
        <f>ROUND(产出与消耗!P12*D33,0)</f>
        <v>32405</v>
      </c>
      <c r="D33" s="34">
        <v>0.01</v>
      </c>
      <c r="E33" s="33">
        <f>ROUND(产出与消耗!P34*F33,0)</f>
        <v>129621</v>
      </c>
      <c r="F33" s="34">
        <v>0.03</v>
      </c>
      <c r="G33" s="33">
        <f>ROUND(产出与消耗!P56*H33,0)</f>
        <v>54009</v>
      </c>
      <c r="H33" s="34">
        <v>0.02</v>
      </c>
    </row>
    <row r="34" spans="1:29">
      <c r="B34">
        <v>10</v>
      </c>
      <c r="C34" s="33">
        <f>ROUND(产出与消耗!P13*D34,0)</f>
        <v>77553</v>
      </c>
      <c r="D34" s="34">
        <v>0.01</v>
      </c>
      <c r="E34" s="33">
        <f>ROUND(产出与消耗!P35*F34,0)</f>
        <v>310211</v>
      </c>
      <c r="F34" s="34">
        <v>0.03</v>
      </c>
      <c r="G34" s="33">
        <f>ROUND(产出与消耗!P57*H34,0)</f>
        <v>129254</v>
      </c>
      <c r="H34" s="34">
        <v>0.02</v>
      </c>
    </row>
    <row r="35" spans="1:29">
      <c r="B35">
        <v>11</v>
      </c>
      <c r="C35" s="33">
        <f>ROUND(产出与消耗!P14*D35,0)</f>
        <v>158724</v>
      </c>
      <c r="D35" s="34">
        <v>0.01</v>
      </c>
      <c r="E35" s="33">
        <f>ROUND(产出与消耗!P36*F35,0)</f>
        <v>634895</v>
      </c>
      <c r="F35" s="34">
        <v>0.03</v>
      </c>
      <c r="G35" s="33">
        <f>ROUND(产出与消耗!P58*H35,0)</f>
        <v>264540</v>
      </c>
      <c r="H35" s="34">
        <v>0.02</v>
      </c>
    </row>
    <row r="36" spans="1:29">
      <c r="B36">
        <v>12</v>
      </c>
      <c r="C36" s="33">
        <f>ROUND(产出与消耗!P15*D36,0)</f>
        <v>354119</v>
      </c>
      <c r="D36" s="34">
        <v>0.01</v>
      </c>
      <c r="E36" s="33">
        <f>ROUND(产出与消耗!P37*F36,0)</f>
        <v>1416476</v>
      </c>
      <c r="F36" s="34">
        <v>0.03</v>
      </c>
      <c r="G36" s="33">
        <f>ROUND(产出与消耗!P59*H36,0)</f>
        <v>590198</v>
      </c>
      <c r="H36" s="34">
        <v>0.02</v>
      </c>
    </row>
    <row r="37" spans="1:29">
      <c r="B37">
        <v>13</v>
      </c>
      <c r="C37" s="33">
        <f>ROUND(产出与消耗!P16*D37,0)</f>
        <v>686776</v>
      </c>
      <c r="D37" s="34">
        <v>0.01</v>
      </c>
      <c r="E37" s="33">
        <f>ROUND(产出与消耗!P38*F37,0)</f>
        <v>2747105</v>
      </c>
      <c r="F37" s="34">
        <v>0.03</v>
      </c>
      <c r="G37" s="33">
        <f>ROUND(产出与消耗!P60*H37,0)</f>
        <v>1144627</v>
      </c>
      <c r="H37" s="34">
        <v>0.02</v>
      </c>
    </row>
    <row r="38" spans="1:29">
      <c r="B38">
        <v>14</v>
      </c>
      <c r="C38" s="33">
        <f>ROUND(产出与消耗!P17*D38,0)</f>
        <v>1184440</v>
      </c>
      <c r="D38" s="34">
        <v>0.01</v>
      </c>
      <c r="E38" s="33">
        <f>ROUND(产出与消耗!P39*F38,0)</f>
        <v>4737761</v>
      </c>
      <c r="F38" s="34">
        <v>0.03</v>
      </c>
      <c r="G38" s="33">
        <f>ROUND(产出与消耗!P61*H38,0)</f>
        <v>1974067</v>
      </c>
      <c r="H38" s="34">
        <v>0.02</v>
      </c>
    </row>
    <row r="39" spans="1:29">
      <c r="B39">
        <v>15</v>
      </c>
      <c r="C39" s="33">
        <f>ROUND(产出与消耗!P18*D39,0)</f>
        <v>1944000</v>
      </c>
      <c r="D39" s="34">
        <v>0.01</v>
      </c>
      <c r="E39" s="33">
        <f>ROUND(产出与消耗!P40*F39,0)</f>
        <v>7776000</v>
      </c>
      <c r="F39" s="34">
        <v>0.03</v>
      </c>
      <c r="G39" s="33">
        <f>ROUND(产出与消耗!P62*H39,0)</f>
        <v>3240000</v>
      </c>
      <c r="H39" s="34">
        <v>0.02</v>
      </c>
    </row>
    <row r="40" spans="1:29">
      <c r="B40">
        <v>16</v>
      </c>
      <c r="C40" s="33">
        <f>ROUND(产出与消耗!P19*D40,0)</f>
        <v>3007031</v>
      </c>
      <c r="D40" s="34">
        <v>0.01</v>
      </c>
      <c r="E40" s="33">
        <f>ROUND(产出与消耗!P41*F40,0)</f>
        <v>12028124</v>
      </c>
      <c r="F40" s="34">
        <v>0.03</v>
      </c>
      <c r="G40" s="33">
        <f>ROUND(产出与消耗!P63*H40,0)</f>
        <v>5011718</v>
      </c>
      <c r="H40" s="34">
        <v>0.02</v>
      </c>
    </row>
    <row r="41" spans="1:29">
      <c r="B41">
        <v>17</v>
      </c>
      <c r="C41" s="33">
        <f>ROUND(产出与消耗!P20*D41,0)</f>
        <v>4491013</v>
      </c>
      <c r="D41" s="34">
        <v>0.01</v>
      </c>
      <c r="E41" s="33">
        <f>ROUND(产出与消耗!P42*F41,0)</f>
        <v>17964053</v>
      </c>
      <c r="F41" s="34">
        <v>0.03</v>
      </c>
      <c r="G41" s="33">
        <f>ROUND(产出与消耗!P64*H41,0)</f>
        <v>7485022</v>
      </c>
      <c r="H41" s="34">
        <v>0.02</v>
      </c>
    </row>
    <row r="42" spans="1:29">
      <c r="B42">
        <v>18</v>
      </c>
      <c r="C42" s="33">
        <f>ROUND(产出与消耗!P21*D42,0)</f>
        <v>6531840</v>
      </c>
      <c r="D42" s="34">
        <v>0.01</v>
      </c>
      <c r="E42" s="33">
        <f>ROUND(产出与消耗!P43*F42,0)</f>
        <v>26127360</v>
      </c>
      <c r="F42" s="34">
        <v>0.03</v>
      </c>
      <c r="G42" s="33">
        <f>ROUND(产出与消耗!P65*H42,0)</f>
        <v>10886400</v>
      </c>
      <c r="H42" s="34">
        <v>0.02</v>
      </c>
    </row>
    <row r="43" spans="1:29">
      <c r="B43">
        <v>19</v>
      </c>
      <c r="C43" s="33">
        <f>ROUND(产出与消耗!P22*D43,0)</f>
        <v>9251677</v>
      </c>
      <c r="D43" s="34">
        <v>0.01</v>
      </c>
      <c r="E43" s="33">
        <f>ROUND(产出与消耗!P44*F43,0)</f>
        <v>37006710</v>
      </c>
      <c r="F43" s="34">
        <v>0.03</v>
      </c>
      <c r="G43" s="33">
        <f>ROUND(产出与消耗!P66*H43,0)</f>
        <v>15419462</v>
      </c>
      <c r="H43" s="34">
        <v>0.02</v>
      </c>
    </row>
    <row r="44" spans="1:29">
      <c r="B44">
        <v>20</v>
      </c>
      <c r="C44" s="33">
        <f>ROUND(产出与消耗!P23*D44,0)</f>
        <v>13374720</v>
      </c>
      <c r="D44" s="34">
        <v>0.01</v>
      </c>
      <c r="E44" s="33">
        <f>ROUND(产出与消耗!P45*F44,0)</f>
        <v>53498880</v>
      </c>
      <c r="F44" s="34">
        <v>0.03</v>
      </c>
      <c r="G44" s="33">
        <f>ROUND(产出与消耗!P67*H44,0)</f>
        <v>22291200</v>
      </c>
      <c r="H44" s="34">
        <v>0.02</v>
      </c>
    </row>
    <row r="45" spans="1:29" s="7" customFormat="1">
      <c r="A45" s="32" t="s">
        <v>93</v>
      </c>
      <c r="B45" s="37"/>
      <c r="C45" s="38"/>
      <c r="D45" s="36"/>
      <c r="E45" s="38"/>
      <c r="F45" s="36"/>
      <c r="G45" s="38"/>
      <c r="H45" s="36"/>
      <c r="I45" s="40"/>
      <c r="J45" s="36"/>
      <c r="K45" s="28"/>
      <c r="L45" s="28"/>
      <c r="M45" s="41"/>
      <c r="N45" s="28"/>
      <c r="R45" s="42"/>
      <c r="S45" s="40"/>
      <c r="T45" s="43"/>
      <c r="U45" s="40"/>
      <c r="W45" s="40"/>
      <c r="Y45" s="40"/>
      <c r="AA45" s="28"/>
      <c r="AC45" s="28"/>
    </row>
    <row r="46" spans="1:29">
      <c r="B46">
        <v>1</v>
      </c>
      <c r="C46" s="33">
        <f>ROUND(产出与消耗!P4*D46,0)</f>
        <v>1</v>
      </c>
      <c r="D46" s="34">
        <v>0.02</v>
      </c>
      <c r="E46" s="33">
        <f>MAX(ROUND(产出与消耗!P26*F46,0),1)</f>
        <v>1</v>
      </c>
      <c r="F46" s="34">
        <v>0.01</v>
      </c>
      <c r="G46" s="33">
        <f>ROUND(产出与消耗!P48*H46,0)</f>
        <v>1</v>
      </c>
      <c r="H46" s="34">
        <v>2.5000000000000001E-2</v>
      </c>
    </row>
    <row r="47" spans="1:29">
      <c r="B47">
        <v>2</v>
      </c>
      <c r="C47" s="33">
        <f>ROUND(产出与消耗!P5*D47,0)</f>
        <v>12</v>
      </c>
      <c r="D47" s="34">
        <v>0.02</v>
      </c>
      <c r="E47" s="33">
        <f>ROUND(产出与消耗!P27*F47,0)</f>
        <v>8</v>
      </c>
      <c r="F47" s="34">
        <v>0.01</v>
      </c>
      <c r="G47" s="33">
        <f>ROUND(产出与消耗!P49*H47,0)</f>
        <v>13</v>
      </c>
      <c r="H47" s="34">
        <v>2.5000000000000001E-2</v>
      </c>
    </row>
    <row r="48" spans="1:29">
      <c r="B48">
        <v>3</v>
      </c>
      <c r="C48" s="33">
        <f>ROUND(产出与消耗!P6*D48,0)</f>
        <v>81</v>
      </c>
      <c r="D48" s="34">
        <v>0.02</v>
      </c>
      <c r="E48" s="33">
        <f>ROUND(产出与消耗!P28*F48,0)</f>
        <v>54</v>
      </c>
      <c r="F48" s="34">
        <v>0.01</v>
      </c>
      <c r="G48" s="33">
        <f>ROUND(产出与消耗!P50*H48,0)</f>
        <v>84</v>
      </c>
      <c r="H48" s="34">
        <v>2.5000000000000001E-2</v>
      </c>
    </row>
    <row r="49" spans="2:8">
      <c r="B49">
        <v>4</v>
      </c>
      <c r="C49" s="33">
        <f>ROUND(产出与消耗!P7*D49,0)</f>
        <v>327</v>
      </c>
      <c r="D49" s="34">
        <v>0.02</v>
      </c>
      <c r="E49" s="33">
        <f>ROUND(产出与消耗!P29*F49,0)</f>
        <v>218</v>
      </c>
      <c r="F49" s="34">
        <v>0.01</v>
      </c>
      <c r="G49" s="33">
        <f>ROUND(产出与消耗!P51*H49,0)</f>
        <v>340</v>
      </c>
      <c r="H49" s="34">
        <v>2.5000000000000001E-2</v>
      </c>
    </row>
    <row r="50" spans="2:8">
      <c r="B50">
        <v>5</v>
      </c>
      <c r="C50" s="33">
        <f>ROUND(产出与消耗!P8*D50,0)</f>
        <v>1058</v>
      </c>
      <c r="D50" s="34">
        <v>0.02</v>
      </c>
      <c r="E50" s="33">
        <f>ROUND(产出与消耗!P30*F50,0)</f>
        <v>705</v>
      </c>
      <c r="F50" s="34">
        <v>0.01</v>
      </c>
      <c r="G50" s="33">
        <f>ROUND(产出与消耗!P52*H50,0)</f>
        <v>1102</v>
      </c>
      <c r="H50" s="34">
        <v>2.5000000000000001E-2</v>
      </c>
    </row>
    <row r="51" spans="2:8">
      <c r="B51">
        <v>6</v>
      </c>
      <c r="C51" s="33">
        <f>ROUND(产出与消耗!P9*D51,0)</f>
        <v>3019</v>
      </c>
      <c r="D51" s="34">
        <v>0.02</v>
      </c>
      <c r="E51" s="33">
        <f>ROUND(产出与消耗!P31*F51,0)</f>
        <v>2013</v>
      </c>
      <c r="F51" s="34">
        <v>0.01</v>
      </c>
      <c r="G51" s="33">
        <f>ROUND(产出与消耗!P53*H51,0)</f>
        <v>3145</v>
      </c>
      <c r="H51" s="34">
        <v>2.5000000000000001E-2</v>
      </c>
    </row>
    <row r="52" spans="2:8">
      <c r="B52">
        <v>7</v>
      </c>
      <c r="C52" s="33">
        <f>ROUND(产出与消耗!P10*D52,0)</f>
        <v>8513</v>
      </c>
      <c r="D52" s="34">
        <v>0.02</v>
      </c>
      <c r="E52" s="33">
        <f>ROUND(产出与消耗!P32*F52,0)</f>
        <v>5675</v>
      </c>
      <c r="F52" s="34">
        <v>0.01</v>
      </c>
      <c r="G52" s="33">
        <f>ROUND(产出与消耗!P54*H52,0)</f>
        <v>8868</v>
      </c>
      <c r="H52" s="34">
        <v>2.5000000000000001E-2</v>
      </c>
    </row>
    <row r="53" spans="2:8">
      <c r="B53">
        <v>8</v>
      </c>
      <c r="C53" s="33">
        <f>ROUND(产出与消耗!P11*D53,0)</f>
        <v>27284</v>
      </c>
      <c r="D53" s="34">
        <v>0.02</v>
      </c>
      <c r="E53" s="33">
        <f>ROUND(产出与消耗!P33*F53,0)</f>
        <v>18190</v>
      </c>
      <c r="F53" s="34">
        <v>0.01</v>
      </c>
      <c r="G53" s="33">
        <f>ROUND(产出与消耗!P55*H53,0)</f>
        <v>28421</v>
      </c>
      <c r="H53" s="34">
        <v>2.5000000000000001E-2</v>
      </c>
    </row>
    <row r="54" spans="2:8">
      <c r="B54">
        <v>9</v>
      </c>
      <c r="C54" s="33">
        <f>ROUND(产出与消耗!P12*D54,0)</f>
        <v>64810</v>
      </c>
      <c r="D54" s="34">
        <v>0.02</v>
      </c>
      <c r="E54" s="33">
        <f>ROUND(产出与消耗!P34*F54,0)</f>
        <v>43207</v>
      </c>
      <c r="F54" s="34">
        <v>0.01</v>
      </c>
      <c r="G54" s="33">
        <f>ROUND(产出与消耗!P56*H54,0)</f>
        <v>67511</v>
      </c>
      <c r="H54" s="34">
        <v>2.5000000000000001E-2</v>
      </c>
    </row>
    <row r="55" spans="2:8">
      <c r="B55">
        <v>10</v>
      </c>
      <c r="C55" s="33">
        <f>ROUND(产出与消耗!P13*D55,0)</f>
        <v>155105</v>
      </c>
      <c r="D55" s="34">
        <v>0.02</v>
      </c>
      <c r="E55" s="33">
        <f>ROUND(产出与消耗!P35*F55,0)</f>
        <v>103404</v>
      </c>
      <c r="F55" s="34">
        <v>0.01</v>
      </c>
      <c r="G55" s="33">
        <f>ROUND(产出与消耗!P57*H55,0)</f>
        <v>161568</v>
      </c>
      <c r="H55" s="34">
        <v>2.5000000000000001E-2</v>
      </c>
    </row>
    <row r="56" spans="2:8">
      <c r="B56">
        <v>11</v>
      </c>
      <c r="C56" s="33">
        <f>ROUND(产出与消耗!P14*D56,0)</f>
        <v>317447</v>
      </c>
      <c r="D56" s="34">
        <v>0.02</v>
      </c>
      <c r="E56" s="33">
        <f>ROUND(产出与消耗!P36*F56,0)</f>
        <v>211632</v>
      </c>
      <c r="F56" s="34">
        <v>0.01</v>
      </c>
      <c r="G56" s="33">
        <f>ROUND(产出与消耗!P58*H56,0)</f>
        <v>330674</v>
      </c>
      <c r="H56" s="34">
        <v>2.5000000000000001E-2</v>
      </c>
    </row>
    <row r="57" spans="2:8">
      <c r="B57">
        <v>12</v>
      </c>
      <c r="C57" s="33">
        <f>ROUND(产出与消耗!P15*D57,0)</f>
        <v>708238</v>
      </c>
      <c r="D57" s="34">
        <v>0.02</v>
      </c>
      <c r="E57" s="33">
        <f>ROUND(产出与消耗!P37*F57,0)</f>
        <v>472159</v>
      </c>
      <c r="F57" s="34">
        <v>0.01</v>
      </c>
      <c r="G57" s="33">
        <f>ROUND(产出与消耗!P59*H57,0)</f>
        <v>737748</v>
      </c>
      <c r="H57" s="34">
        <v>2.5000000000000001E-2</v>
      </c>
    </row>
    <row r="58" spans="2:8">
      <c r="B58">
        <v>13</v>
      </c>
      <c r="C58" s="33">
        <f>ROUND(产出与消耗!P16*D58,0)</f>
        <v>1373553</v>
      </c>
      <c r="D58" s="34">
        <v>0.02</v>
      </c>
      <c r="E58" s="33">
        <f>ROUND(产出与消耗!P38*F58,0)</f>
        <v>915702</v>
      </c>
      <c r="F58" s="34">
        <v>0.01</v>
      </c>
      <c r="G58" s="33">
        <f>ROUND(产出与消耗!P60*H58,0)</f>
        <v>1430784</v>
      </c>
      <c r="H58" s="34">
        <v>2.5000000000000001E-2</v>
      </c>
    </row>
    <row r="59" spans="2:8">
      <c r="B59">
        <v>14</v>
      </c>
      <c r="C59" s="33">
        <f>ROUND(产出与消耗!P17*D59,0)</f>
        <v>2368881</v>
      </c>
      <c r="D59" s="34">
        <v>0.02</v>
      </c>
      <c r="E59" s="33">
        <f>ROUND(产出与消耗!P39*F59,0)</f>
        <v>1579254</v>
      </c>
      <c r="F59" s="34">
        <v>0.01</v>
      </c>
      <c r="G59" s="33">
        <f>ROUND(产出与消耗!P61*H59,0)</f>
        <v>2467584</v>
      </c>
      <c r="H59" s="34">
        <v>2.5000000000000001E-2</v>
      </c>
    </row>
    <row r="60" spans="2:8">
      <c r="B60">
        <v>15</v>
      </c>
      <c r="C60" s="33">
        <f>ROUND(产出与消耗!P18*D60,0)</f>
        <v>3888000</v>
      </c>
      <c r="D60" s="34">
        <v>0.02</v>
      </c>
      <c r="E60" s="33">
        <f>ROUND(产出与消耗!P40*F60,0)</f>
        <v>2592000</v>
      </c>
      <c r="F60" s="34">
        <v>0.01</v>
      </c>
      <c r="G60" s="33">
        <f>ROUND(产出与消耗!P62*H60,0)</f>
        <v>4050000</v>
      </c>
      <c r="H60" s="34">
        <v>2.5000000000000001E-2</v>
      </c>
    </row>
    <row r="61" spans="2:8">
      <c r="B61">
        <v>16</v>
      </c>
      <c r="C61" s="33">
        <f>ROUND(产出与消耗!P19*D61,0)</f>
        <v>6014062</v>
      </c>
      <c r="D61" s="34">
        <v>0.02</v>
      </c>
      <c r="E61" s="33">
        <f>ROUND(产出与消耗!P41*F61,0)</f>
        <v>4009375</v>
      </c>
      <c r="F61" s="34">
        <v>0.01</v>
      </c>
      <c r="G61" s="33">
        <f>ROUND(产出与消耗!P63*H61,0)</f>
        <v>6264648</v>
      </c>
      <c r="H61" s="34">
        <v>2.5000000000000001E-2</v>
      </c>
    </row>
    <row r="62" spans="2:8">
      <c r="B62">
        <v>17</v>
      </c>
      <c r="C62" s="33">
        <f>ROUND(产出与消耗!P20*D62,0)</f>
        <v>8982027</v>
      </c>
      <c r="D62" s="34">
        <v>0.02</v>
      </c>
      <c r="E62" s="33">
        <f>ROUND(产出与消耗!P42*F62,0)</f>
        <v>5988018</v>
      </c>
      <c r="F62" s="34">
        <v>0.01</v>
      </c>
      <c r="G62" s="33">
        <f>ROUND(产出与消耗!P64*H62,0)</f>
        <v>9356278</v>
      </c>
      <c r="H62" s="34">
        <v>2.5000000000000001E-2</v>
      </c>
    </row>
    <row r="63" spans="2:8">
      <c r="B63">
        <v>18</v>
      </c>
      <c r="C63" s="33">
        <f>ROUND(产出与消耗!P21*D63,0)</f>
        <v>13063680</v>
      </c>
      <c r="D63" s="34">
        <v>0.02</v>
      </c>
      <c r="E63" s="33">
        <f>ROUND(产出与消耗!P43*F63,0)</f>
        <v>8709120</v>
      </c>
      <c r="F63" s="34">
        <v>0.01</v>
      </c>
      <c r="G63" s="33">
        <f>ROUND(产出与消耗!P65*H63,0)</f>
        <v>13608000</v>
      </c>
      <c r="H63" s="34">
        <v>2.5000000000000001E-2</v>
      </c>
    </row>
    <row r="64" spans="2:8">
      <c r="B64">
        <v>19</v>
      </c>
      <c r="C64" s="33">
        <f>ROUND(产出与消耗!P22*D64,0)</f>
        <v>18503355</v>
      </c>
      <c r="D64" s="34">
        <v>0.02</v>
      </c>
      <c r="E64" s="33">
        <f>ROUND(产出与消耗!P44*F64,0)</f>
        <v>12335570</v>
      </c>
      <c r="F64" s="34">
        <v>0.01</v>
      </c>
      <c r="G64" s="33">
        <f>ROUND(产出与消耗!P66*H64,0)</f>
        <v>19274328</v>
      </c>
      <c r="H64" s="34">
        <v>2.5000000000000001E-2</v>
      </c>
    </row>
    <row r="65" spans="1:29">
      <c r="B65">
        <v>20</v>
      </c>
      <c r="C65" s="33">
        <f>ROUND(产出与消耗!P23*D65,0)</f>
        <v>26749440</v>
      </c>
      <c r="D65" s="34">
        <v>0.02</v>
      </c>
      <c r="E65" s="33">
        <f>ROUND(产出与消耗!P45*F65,0)</f>
        <v>17832960</v>
      </c>
      <c r="F65" s="34">
        <v>0.01</v>
      </c>
      <c r="G65" s="33">
        <f>ROUND(产出与消耗!P67*H65,0)</f>
        <v>27864000</v>
      </c>
      <c r="H65" s="34">
        <v>2.5000000000000001E-2</v>
      </c>
    </row>
    <row r="66" spans="1:29" s="7" customFormat="1">
      <c r="A66" s="32" t="s">
        <v>94</v>
      </c>
      <c r="B66" s="37"/>
      <c r="C66" s="38"/>
      <c r="D66" s="36"/>
      <c r="E66" s="38"/>
      <c r="F66" s="36"/>
      <c r="G66" s="38"/>
      <c r="H66" s="36"/>
      <c r="I66" s="40"/>
      <c r="J66" s="36"/>
      <c r="K66" s="28"/>
      <c r="L66" s="28"/>
      <c r="M66" s="41"/>
      <c r="N66" s="28"/>
      <c r="R66" s="42"/>
      <c r="S66" s="40"/>
      <c r="T66" s="43"/>
      <c r="U66" s="40"/>
      <c r="W66" s="40"/>
      <c r="Y66" s="40"/>
      <c r="AA66" s="28"/>
      <c r="AC66" s="28"/>
    </row>
    <row r="67" spans="1:29">
      <c r="B67">
        <v>1</v>
      </c>
      <c r="C67" s="33">
        <f>ROUND(产出与消耗!P4*D67,0)</f>
        <v>2</v>
      </c>
      <c r="D67" s="34">
        <v>3.5000000000000003E-2</v>
      </c>
      <c r="E67" s="33">
        <f>ROUND(产出与消耗!P26*F67,0)</f>
        <v>2</v>
      </c>
      <c r="F67" s="34">
        <v>0.02</v>
      </c>
      <c r="G67" s="33">
        <f>MAX(ROUND(产出与消耗!P48*H67,0),1)</f>
        <v>1</v>
      </c>
      <c r="H67" s="34">
        <v>0.01</v>
      </c>
    </row>
    <row r="68" spans="1:29">
      <c r="B68">
        <v>2</v>
      </c>
      <c r="C68" s="33">
        <f>ROUND(产出与消耗!P5*D68,0)</f>
        <v>22</v>
      </c>
      <c r="D68" s="34">
        <v>3.5000000000000003E-2</v>
      </c>
      <c r="E68" s="33">
        <f>ROUND(产出与消耗!P27*F68,0)</f>
        <v>17</v>
      </c>
      <c r="F68" s="34">
        <v>0.02</v>
      </c>
      <c r="G68" s="33">
        <f>ROUND(产出与消耗!P49*H68,0)</f>
        <v>5</v>
      </c>
      <c r="H68" s="34">
        <v>0.01</v>
      </c>
    </row>
    <row r="69" spans="1:29">
      <c r="B69">
        <v>3</v>
      </c>
      <c r="C69" s="33">
        <f>ROUND(产出与消耗!P6*D69,0)</f>
        <v>142</v>
      </c>
      <c r="D69" s="34">
        <v>3.5000000000000003E-2</v>
      </c>
      <c r="E69" s="33">
        <f>ROUND(产出与消耗!P28*F69,0)</f>
        <v>108</v>
      </c>
      <c r="F69" s="34">
        <v>0.02</v>
      </c>
      <c r="G69" s="33">
        <f>ROUND(产出与消耗!P50*H69,0)</f>
        <v>34</v>
      </c>
      <c r="H69" s="34">
        <v>0.01</v>
      </c>
    </row>
    <row r="70" spans="1:29">
      <c r="B70">
        <v>4</v>
      </c>
      <c r="C70" s="33">
        <f>ROUND(产出与消耗!P7*D70,0)</f>
        <v>572</v>
      </c>
      <c r="D70" s="34">
        <v>3.5000000000000003E-2</v>
      </c>
      <c r="E70" s="33">
        <f>ROUND(产出与消耗!P29*F70,0)</f>
        <v>435</v>
      </c>
      <c r="F70" s="34">
        <v>0.02</v>
      </c>
      <c r="G70" s="33">
        <f>ROUND(产出与消耗!P51*H70,0)</f>
        <v>136</v>
      </c>
      <c r="H70" s="34">
        <v>0.01</v>
      </c>
    </row>
    <row r="71" spans="1:29">
      <c r="B71">
        <v>5</v>
      </c>
      <c r="C71" s="33">
        <f>ROUND(产出与消耗!P8*D71,0)</f>
        <v>1851</v>
      </c>
      <c r="D71" s="34">
        <v>3.5000000000000003E-2</v>
      </c>
      <c r="E71" s="33">
        <f>ROUND(产出与消耗!P30*F71,0)</f>
        <v>1410</v>
      </c>
      <c r="F71" s="34">
        <v>0.02</v>
      </c>
      <c r="G71" s="33">
        <f>ROUND(产出与消耗!P52*H71,0)</f>
        <v>441</v>
      </c>
      <c r="H71" s="34">
        <v>0.01</v>
      </c>
    </row>
    <row r="72" spans="1:29">
      <c r="B72">
        <v>6</v>
      </c>
      <c r="C72" s="33">
        <f>ROUND(产出与消耗!P9*D72,0)</f>
        <v>5284</v>
      </c>
      <c r="D72" s="34">
        <v>3.5000000000000003E-2</v>
      </c>
      <c r="E72" s="33">
        <f>ROUND(产出与消耗!P31*F72,0)</f>
        <v>4026</v>
      </c>
      <c r="F72" s="34">
        <v>0.02</v>
      </c>
      <c r="G72" s="33">
        <f>ROUND(产出与消耗!P53*H72,0)</f>
        <v>1258</v>
      </c>
      <c r="H72" s="34">
        <v>0.01</v>
      </c>
    </row>
    <row r="73" spans="1:29">
      <c r="B73">
        <v>7</v>
      </c>
      <c r="C73" s="33">
        <f>ROUND(产出与消耗!P10*D73,0)</f>
        <v>14898</v>
      </c>
      <c r="D73" s="34">
        <v>3.5000000000000003E-2</v>
      </c>
      <c r="E73" s="33">
        <f>ROUND(产出与消耗!P32*F73,0)</f>
        <v>11351</v>
      </c>
      <c r="F73" s="34">
        <v>0.02</v>
      </c>
      <c r="G73" s="33">
        <f>ROUND(产出与消耗!P54*H73,0)</f>
        <v>3547</v>
      </c>
      <c r="H73" s="34">
        <v>0.01</v>
      </c>
    </row>
    <row r="74" spans="1:29">
      <c r="B74">
        <v>8</v>
      </c>
      <c r="C74" s="33">
        <f>ROUND(产出与消耗!P11*D74,0)</f>
        <v>47748</v>
      </c>
      <c r="D74" s="34">
        <v>3.5000000000000003E-2</v>
      </c>
      <c r="E74" s="33">
        <f>ROUND(产出与消耗!P33*F74,0)</f>
        <v>36379</v>
      </c>
      <c r="F74" s="34">
        <v>0.02</v>
      </c>
      <c r="G74" s="33">
        <f>ROUND(产出与消耗!P55*H74,0)</f>
        <v>11369</v>
      </c>
      <c r="H74" s="34">
        <v>0.01</v>
      </c>
    </row>
    <row r="75" spans="1:29">
      <c r="B75">
        <v>9</v>
      </c>
      <c r="C75" s="33">
        <f>ROUND(产出与消耗!P12*D75,0)</f>
        <v>113418</v>
      </c>
      <c r="D75" s="34">
        <v>3.5000000000000003E-2</v>
      </c>
      <c r="E75" s="33">
        <f>ROUND(产出与消耗!P34*F75,0)</f>
        <v>86414</v>
      </c>
      <c r="F75" s="34">
        <v>0.02</v>
      </c>
      <c r="G75" s="33">
        <f>ROUND(产出与消耗!P56*H75,0)</f>
        <v>27004</v>
      </c>
      <c r="H75" s="34">
        <v>0.01</v>
      </c>
    </row>
    <row r="76" spans="1:29">
      <c r="B76">
        <v>10</v>
      </c>
      <c r="C76" s="33">
        <f>ROUND(产出与消耗!P13*D76,0)</f>
        <v>271434</v>
      </c>
      <c r="D76" s="34">
        <v>3.5000000000000003E-2</v>
      </c>
      <c r="E76" s="33">
        <f>ROUND(产出与消耗!P35*F76,0)</f>
        <v>206807</v>
      </c>
      <c r="F76" s="34">
        <v>0.02</v>
      </c>
      <c r="G76" s="33">
        <f>ROUND(产出与消耗!P57*H76,0)</f>
        <v>64627</v>
      </c>
      <c r="H76" s="34">
        <v>0.01</v>
      </c>
    </row>
    <row r="77" spans="1:29">
      <c r="B77">
        <v>11</v>
      </c>
      <c r="C77" s="33">
        <f>ROUND(产出与消耗!P14*D77,0)</f>
        <v>555533</v>
      </c>
      <c r="D77" s="34">
        <v>3.5000000000000003E-2</v>
      </c>
      <c r="E77" s="33">
        <f>ROUND(产出与消耗!P36*F77,0)</f>
        <v>423263</v>
      </c>
      <c r="F77" s="34">
        <v>0.02</v>
      </c>
      <c r="G77" s="33">
        <f>ROUND(产出与消耗!P58*H77,0)</f>
        <v>132270</v>
      </c>
      <c r="H77" s="34">
        <v>0.01</v>
      </c>
    </row>
    <row r="78" spans="1:29">
      <c r="B78">
        <v>12</v>
      </c>
      <c r="C78" s="33">
        <f>ROUND(产出与消耗!P15*D78,0)</f>
        <v>1239417</v>
      </c>
      <c r="D78" s="34">
        <v>3.5000000000000003E-2</v>
      </c>
      <c r="E78" s="33">
        <f>ROUND(产出与消耗!P37*F78,0)</f>
        <v>944317</v>
      </c>
      <c r="F78" s="34">
        <v>0.02</v>
      </c>
      <c r="G78" s="33">
        <f>ROUND(产出与消耗!P59*H78,0)</f>
        <v>295099</v>
      </c>
      <c r="H78" s="34">
        <v>0.01</v>
      </c>
    </row>
    <row r="79" spans="1:29">
      <c r="B79">
        <v>13</v>
      </c>
      <c r="C79" s="33">
        <f>ROUND(产出与消耗!P16*D79,0)</f>
        <v>2403717</v>
      </c>
      <c r="D79" s="34">
        <v>3.5000000000000003E-2</v>
      </c>
      <c r="E79" s="33">
        <f>ROUND(产出与消耗!P38*F79,0)</f>
        <v>1831404</v>
      </c>
      <c r="F79" s="34">
        <v>0.02</v>
      </c>
      <c r="G79" s="33">
        <f>ROUND(产出与消耗!P60*H79,0)</f>
        <v>572314</v>
      </c>
      <c r="H79" s="34">
        <v>0.01</v>
      </c>
    </row>
    <row r="80" spans="1:29">
      <c r="B80">
        <v>14</v>
      </c>
      <c r="C80" s="33">
        <f>ROUND(产出与消耗!P17*D80,0)</f>
        <v>4145541</v>
      </c>
      <c r="D80" s="34">
        <v>3.5000000000000003E-2</v>
      </c>
      <c r="E80" s="33">
        <f>ROUND(产出与消耗!P39*F80,0)</f>
        <v>3158508</v>
      </c>
      <c r="F80" s="34">
        <v>0.02</v>
      </c>
      <c r="G80" s="33">
        <f>ROUND(产出与消耗!P61*H80,0)</f>
        <v>987034</v>
      </c>
      <c r="H80" s="34">
        <v>0.01</v>
      </c>
    </row>
    <row r="81" spans="1:10">
      <c r="B81">
        <v>15</v>
      </c>
      <c r="C81" s="33">
        <f>ROUND(产出与消耗!P18*D81,0)</f>
        <v>6804000</v>
      </c>
      <c r="D81" s="34">
        <v>3.5000000000000003E-2</v>
      </c>
      <c r="E81" s="33">
        <f>ROUND(产出与消耗!P40*F81,0)</f>
        <v>5184000</v>
      </c>
      <c r="F81" s="34">
        <v>0.02</v>
      </c>
      <c r="G81" s="33">
        <f>ROUND(产出与消耗!P62*H81,0)</f>
        <v>1620000</v>
      </c>
      <c r="H81" s="34">
        <v>0.01</v>
      </c>
    </row>
    <row r="82" spans="1:10">
      <c r="B82">
        <v>16</v>
      </c>
      <c r="C82" s="33">
        <f>ROUND(产出与消耗!P19*D82,0)</f>
        <v>10524609</v>
      </c>
      <c r="D82" s="34">
        <v>3.5000000000000003E-2</v>
      </c>
      <c r="E82" s="33">
        <f>ROUND(产出与消耗!P41*F82,0)</f>
        <v>8018749</v>
      </c>
      <c r="F82" s="34">
        <v>0.02</v>
      </c>
      <c r="G82" s="33">
        <f>ROUND(产出与消耗!P63*H82,0)</f>
        <v>2505859</v>
      </c>
      <c r="H82" s="34">
        <v>0.01</v>
      </c>
    </row>
    <row r="83" spans="1:10">
      <c r="B83">
        <v>17</v>
      </c>
      <c r="C83" s="33">
        <f>ROUND(产出与消耗!P20*D83,0)</f>
        <v>15718546</v>
      </c>
      <c r="D83" s="34">
        <v>3.5000000000000003E-2</v>
      </c>
      <c r="E83" s="33">
        <f>ROUND(产出与消耗!P42*F83,0)</f>
        <v>11976035</v>
      </c>
      <c r="F83" s="34">
        <v>0.02</v>
      </c>
      <c r="G83" s="33">
        <f>ROUND(产出与消耗!P64*H83,0)</f>
        <v>3742511</v>
      </c>
      <c r="H83" s="34">
        <v>0.01</v>
      </c>
    </row>
    <row r="84" spans="1:10">
      <c r="B84">
        <v>18</v>
      </c>
      <c r="C84" s="33">
        <f>ROUND(产出与消耗!P21*D84,0)</f>
        <v>22861440</v>
      </c>
      <c r="D84" s="34">
        <v>3.5000000000000003E-2</v>
      </c>
      <c r="E84" s="33">
        <f>ROUND(产出与消耗!P43*F84,0)</f>
        <v>17418240</v>
      </c>
      <c r="F84" s="34">
        <v>0.02</v>
      </c>
      <c r="G84" s="33">
        <f>ROUND(产出与消耗!P65*H84,0)</f>
        <v>5443200</v>
      </c>
      <c r="H84" s="34">
        <v>0.01</v>
      </c>
    </row>
    <row r="85" spans="1:10">
      <c r="B85">
        <v>19</v>
      </c>
      <c r="C85" s="33">
        <f>ROUND(产出与消耗!P22*D85,0)</f>
        <v>32380871</v>
      </c>
      <c r="D85" s="34">
        <v>3.5000000000000003E-2</v>
      </c>
      <c r="E85" s="33">
        <f>ROUND(产出与消耗!P44*F85,0)</f>
        <v>24671140</v>
      </c>
      <c r="F85" s="34">
        <v>0.02</v>
      </c>
      <c r="G85" s="33">
        <f>ROUND(产出与消耗!P66*H85,0)</f>
        <v>7709731</v>
      </c>
      <c r="H85" s="34">
        <v>0.01</v>
      </c>
    </row>
    <row r="86" spans="1:10">
      <c r="B86">
        <v>20</v>
      </c>
      <c r="C86" s="33">
        <f>ROUND(产出与消耗!P23*D86,0)</f>
        <v>46811520</v>
      </c>
      <c r="D86" s="34">
        <v>3.5000000000000003E-2</v>
      </c>
      <c r="E86" s="33">
        <f>ROUND(产出与消耗!P45*F86,0)</f>
        <v>35665920</v>
      </c>
      <c r="F86" s="34">
        <v>0.02</v>
      </c>
      <c r="G86" s="33">
        <f>ROUND(产出与消耗!P67*H86,0)</f>
        <v>16718400</v>
      </c>
      <c r="H86" s="34">
        <v>1.4999999999999999E-2</v>
      </c>
    </row>
    <row r="87" spans="1:10" s="32" customFormat="1">
      <c r="A87" s="32" t="s">
        <v>82</v>
      </c>
      <c r="C87" s="33"/>
      <c r="D87" s="36"/>
      <c r="E87" s="33"/>
      <c r="F87" s="36"/>
      <c r="G87" s="33"/>
      <c r="H87" s="36"/>
      <c r="I87" s="39"/>
      <c r="J87" s="36"/>
    </row>
    <row r="88" spans="1:10">
      <c r="B88">
        <v>1</v>
      </c>
      <c r="C88" s="33">
        <f>ROUND(产出与消耗!P4*D88,0)</f>
        <v>4</v>
      </c>
      <c r="D88" s="34">
        <v>7.0000000000000007E-2</v>
      </c>
      <c r="E88" s="33">
        <f>ROUND(产出与消耗!P26*F88,0)</f>
        <v>8</v>
      </c>
      <c r="F88" s="34">
        <v>0.1</v>
      </c>
      <c r="G88" s="33">
        <f>ROUND(产出与消耗!P48*H88,0)</f>
        <v>1</v>
      </c>
      <c r="H88" s="34">
        <v>0.03</v>
      </c>
    </row>
    <row r="89" spans="1:10">
      <c r="B89">
        <v>2</v>
      </c>
      <c r="C89" s="33">
        <f>ROUND(产出与消耗!P5*D89,0)</f>
        <v>44</v>
      </c>
      <c r="D89" s="34">
        <v>7.0000000000000007E-2</v>
      </c>
      <c r="E89" s="33">
        <f>ROUND(产出与消耗!P27*F89,0)</f>
        <v>83</v>
      </c>
      <c r="F89" s="34">
        <v>0.1</v>
      </c>
      <c r="G89" s="33">
        <f>ROUND(产出与消耗!P49*H89,0)</f>
        <v>16</v>
      </c>
      <c r="H89" s="34">
        <v>0.03</v>
      </c>
    </row>
    <row r="90" spans="1:10">
      <c r="B90">
        <v>3</v>
      </c>
      <c r="C90" s="33">
        <f>ROUND(产出与消耗!P6*D90,0)</f>
        <v>283</v>
      </c>
      <c r="D90" s="34">
        <v>7.0000000000000007E-2</v>
      </c>
      <c r="E90" s="33">
        <f>ROUND(产出与消耗!P28*F90,0)</f>
        <v>539</v>
      </c>
      <c r="F90" s="34">
        <v>0.1</v>
      </c>
      <c r="G90" s="33">
        <f>ROUND(产出与消耗!P50*H90,0)</f>
        <v>101</v>
      </c>
      <c r="H90" s="34">
        <v>0.03</v>
      </c>
    </row>
    <row r="91" spans="1:10">
      <c r="B91">
        <v>4</v>
      </c>
      <c r="C91" s="33">
        <f>ROUND(产出与消耗!P7*D91,0)</f>
        <v>1143</v>
      </c>
      <c r="D91" s="34">
        <v>7.0000000000000007E-2</v>
      </c>
      <c r="E91" s="33">
        <f>ROUND(产出与消耗!P29*F91,0)</f>
        <v>2177</v>
      </c>
      <c r="F91" s="34">
        <v>0.1</v>
      </c>
      <c r="G91" s="33">
        <f>ROUND(产出与消耗!P51*H91,0)</f>
        <v>408</v>
      </c>
      <c r="H91" s="34">
        <v>0.03</v>
      </c>
    </row>
    <row r="92" spans="1:10">
      <c r="B92">
        <v>5</v>
      </c>
      <c r="C92" s="33">
        <f>ROUND(产出与消耗!P8*D92,0)</f>
        <v>3701</v>
      </c>
      <c r="D92" s="34">
        <v>7.0000000000000007E-2</v>
      </c>
      <c r="E92" s="33">
        <f>ROUND(产出与消耗!P30*F92,0)</f>
        <v>7050</v>
      </c>
      <c r="F92" s="34">
        <v>0.1</v>
      </c>
      <c r="G92" s="33">
        <f>ROUND(产出与消耗!P52*H92,0)</f>
        <v>1322</v>
      </c>
      <c r="H92" s="34">
        <v>0.03</v>
      </c>
    </row>
    <row r="93" spans="1:10">
      <c r="B93">
        <v>6</v>
      </c>
      <c r="C93" s="33">
        <f>ROUND(产出与消耗!P9*D93,0)</f>
        <v>10567</v>
      </c>
      <c r="D93" s="34">
        <v>7.0000000000000007E-2</v>
      </c>
      <c r="E93" s="33">
        <f>ROUND(产出与消耗!P31*F93,0)</f>
        <v>20128</v>
      </c>
      <c r="F93" s="34">
        <v>0.1</v>
      </c>
      <c r="G93" s="33">
        <f>ROUND(产出与消耗!P53*H93,0)</f>
        <v>3774</v>
      </c>
      <c r="H93" s="34">
        <v>0.03</v>
      </c>
    </row>
    <row r="94" spans="1:10">
      <c r="B94">
        <v>7</v>
      </c>
      <c r="C94" s="33">
        <f>ROUND(产出与消耗!P10*D94,0)</f>
        <v>29796</v>
      </c>
      <c r="D94" s="34">
        <v>7.0000000000000007E-2</v>
      </c>
      <c r="E94" s="33">
        <f>ROUND(产出与消耗!P32*F94,0)</f>
        <v>56754</v>
      </c>
      <c r="F94" s="34">
        <v>0.1</v>
      </c>
      <c r="G94" s="33">
        <f>ROUND(产出与消耗!P54*H94,0)</f>
        <v>10641</v>
      </c>
      <c r="H94" s="34">
        <v>0.03</v>
      </c>
    </row>
    <row r="95" spans="1:10">
      <c r="B95">
        <v>8</v>
      </c>
      <c r="C95" s="33">
        <f>ROUND(产出与消耗!P11*D95,0)</f>
        <v>95495</v>
      </c>
      <c r="D95" s="34">
        <v>7.0000000000000007E-2</v>
      </c>
      <c r="E95" s="33">
        <f>ROUND(产出与消耗!P33*F95,0)</f>
        <v>181896</v>
      </c>
      <c r="F95" s="34">
        <v>0.1</v>
      </c>
      <c r="G95" s="33">
        <f>ROUND(产出与消耗!P55*H95,0)</f>
        <v>34106</v>
      </c>
      <c r="H95" s="34">
        <v>0.03</v>
      </c>
    </row>
    <row r="96" spans="1:10">
      <c r="B96">
        <v>9</v>
      </c>
      <c r="C96" s="33">
        <f>ROUND(产出与消耗!P12*D96,0)</f>
        <v>226836</v>
      </c>
      <c r="D96" s="34">
        <v>7.0000000000000007E-2</v>
      </c>
      <c r="E96" s="33">
        <f>ROUND(产出与消耗!P34*F96,0)</f>
        <v>432069</v>
      </c>
      <c r="F96" s="34">
        <v>0.1</v>
      </c>
      <c r="G96" s="33">
        <f>ROUND(产出与消耗!P56*H96,0)</f>
        <v>81013</v>
      </c>
      <c r="H96" s="34">
        <v>0.03</v>
      </c>
    </row>
    <row r="97" spans="1:10">
      <c r="B97">
        <v>10</v>
      </c>
      <c r="C97" s="33">
        <f>ROUND(产出与消耗!P13*D97,0)</f>
        <v>542868</v>
      </c>
      <c r="D97" s="34">
        <v>7.0000000000000007E-2</v>
      </c>
      <c r="E97" s="33">
        <f>ROUND(产出与消耗!P35*F97,0)</f>
        <v>1034035</v>
      </c>
      <c r="F97" s="34">
        <v>0.1</v>
      </c>
      <c r="G97" s="33">
        <f>ROUND(产出与消耗!P57*H97,0)</f>
        <v>193882</v>
      </c>
      <c r="H97" s="34">
        <v>0.03</v>
      </c>
    </row>
    <row r="98" spans="1:10">
      <c r="B98">
        <v>11</v>
      </c>
      <c r="C98" s="33">
        <f>ROUND(产出与消耗!P14*D98,0)</f>
        <v>1111066</v>
      </c>
      <c r="D98" s="34">
        <v>7.0000000000000007E-2</v>
      </c>
      <c r="E98" s="33">
        <f>ROUND(产出与消耗!P36*F98,0)</f>
        <v>2116316</v>
      </c>
      <c r="F98" s="34">
        <v>0.1</v>
      </c>
      <c r="G98" s="33">
        <f>ROUND(产出与消耗!P58*H98,0)</f>
        <v>396809</v>
      </c>
      <c r="H98" s="34">
        <v>0.03</v>
      </c>
    </row>
    <row r="99" spans="1:10">
      <c r="B99">
        <v>12</v>
      </c>
      <c r="C99" s="33">
        <f>ROUND(产出与消耗!P15*D99,0)</f>
        <v>2478833</v>
      </c>
      <c r="D99" s="34">
        <v>7.0000000000000007E-2</v>
      </c>
      <c r="E99" s="33">
        <f>ROUND(产出与消耗!P37*F99,0)</f>
        <v>4721587</v>
      </c>
      <c r="F99" s="34">
        <v>0.1</v>
      </c>
      <c r="G99" s="33">
        <f>ROUND(产出与消耗!P59*H99,0)</f>
        <v>885298</v>
      </c>
      <c r="H99" s="34">
        <v>0.03</v>
      </c>
    </row>
    <row r="100" spans="1:10">
      <c r="B100">
        <v>13</v>
      </c>
      <c r="C100" s="33">
        <f>ROUND(产出与消耗!P16*D100,0)</f>
        <v>4807434</v>
      </c>
      <c r="D100" s="34">
        <v>7.0000000000000007E-2</v>
      </c>
      <c r="E100" s="33">
        <f>ROUND(产出与消耗!P38*F100,0)</f>
        <v>9157018</v>
      </c>
      <c r="F100" s="34">
        <v>0.1</v>
      </c>
      <c r="G100" s="33">
        <f>ROUND(产出与消耗!P60*H100,0)</f>
        <v>1716941</v>
      </c>
      <c r="H100" s="34">
        <v>0.03</v>
      </c>
    </row>
    <row r="101" spans="1:10">
      <c r="B101">
        <v>14</v>
      </c>
      <c r="C101" s="33">
        <f>ROUND(产出与消耗!P17*D101,0)</f>
        <v>8291082</v>
      </c>
      <c r="D101" s="34">
        <v>7.0000000000000007E-2</v>
      </c>
      <c r="E101" s="33">
        <f>ROUND(产出与消耗!P39*F101,0)</f>
        <v>15792538</v>
      </c>
      <c r="F101" s="34">
        <v>0.1</v>
      </c>
      <c r="G101" s="33">
        <f>ROUND(产出与消耗!P61*H101,0)</f>
        <v>2961101</v>
      </c>
      <c r="H101" s="34">
        <v>0.03</v>
      </c>
    </row>
    <row r="102" spans="1:10">
      <c r="B102">
        <v>15</v>
      </c>
      <c r="C102" s="33">
        <f>ROUND(产出与消耗!P18*D102,0)</f>
        <v>13608000</v>
      </c>
      <c r="D102" s="34">
        <v>7.0000000000000007E-2</v>
      </c>
      <c r="E102" s="33">
        <f>ROUND(产出与消耗!P40*F102,0)</f>
        <v>25920000</v>
      </c>
      <c r="F102" s="34">
        <v>0.1</v>
      </c>
      <c r="G102" s="33">
        <f>ROUND(产出与消耗!P62*H102,0)</f>
        <v>4860000</v>
      </c>
      <c r="H102" s="34">
        <v>0.03</v>
      </c>
    </row>
    <row r="103" spans="1:10">
      <c r="B103">
        <v>16</v>
      </c>
      <c r="C103" s="33">
        <f>ROUND(产出与消耗!P19*D103,0)</f>
        <v>21049217</v>
      </c>
      <c r="D103" s="34">
        <v>7.0000000000000007E-2</v>
      </c>
      <c r="E103" s="33">
        <f>ROUND(产出与消耗!P41*F103,0)</f>
        <v>40093747</v>
      </c>
      <c r="F103" s="34">
        <v>0.1</v>
      </c>
      <c r="G103" s="33">
        <f>ROUND(产出与消耗!P63*H103,0)</f>
        <v>7517578</v>
      </c>
      <c r="H103" s="34">
        <v>0.03</v>
      </c>
    </row>
    <row r="104" spans="1:10">
      <c r="B104">
        <v>17</v>
      </c>
      <c r="C104" s="33">
        <f>ROUND(产出与消耗!P20*D104,0)</f>
        <v>31437093</v>
      </c>
      <c r="D104" s="34">
        <v>7.0000000000000007E-2</v>
      </c>
      <c r="E104" s="33">
        <f>ROUND(产出与消耗!P42*F104,0)</f>
        <v>59880177</v>
      </c>
      <c r="F104" s="34">
        <v>0.1</v>
      </c>
      <c r="G104" s="33">
        <f>ROUND(产出与消耗!P64*H104,0)</f>
        <v>11227533</v>
      </c>
      <c r="H104" s="34">
        <v>0.03</v>
      </c>
    </row>
    <row r="105" spans="1:10">
      <c r="B105">
        <v>18</v>
      </c>
      <c r="C105" s="33">
        <f>ROUND(产出与消耗!P21*D105,0)</f>
        <v>45722880</v>
      </c>
      <c r="D105" s="34">
        <v>7.0000000000000007E-2</v>
      </c>
      <c r="E105" s="33">
        <f>ROUND(产出与消耗!P43*F105,0)</f>
        <v>87091200</v>
      </c>
      <c r="F105" s="34">
        <v>0.1</v>
      </c>
      <c r="G105" s="33">
        <f>ROUND(产出与消耗!P65*H105,0)</f>
        <v>16329600</v>
      </c>
      <c r="H105" s="34">
        <v>0.03</v>
      </c>
    </row>
    <row r="106" spans="1:10">
      <c r="B106">
        <v>19</v>
      </c>
      <c r="C106" s="33">
        <f>ROUND(产出与消耗!P22*D106,0)</f>
        <v>64761742</v>
      </c>
      <c r="D106" s="34">
        <v>7.0000000000000007E-2</v>
      </c>
      <c r="E106" s="33">
        <f>ROUND(产出与消耗!P44*F106,0)</f>
        <v>123355699</v>
      </c>
      <c r="F106" s="34">
        <v>0.1</v>
      </c>
      <c r="G106" s="33">
        <f>ROUND(产出与消耗!P66*H106,0)</f>
        <v>23129194</v>
      </c>
      <c r="H106" s="34">
        <v>0.03</v>
      </c>
    </row>
    <row r="107" spans="1:10">
      <c r="B107">
        <v>20</v>
      </c>
      <c r="C107" s="33">
        <f>ROUND(产出与消耗!P23*D107,0)</f>
        <v>93623040</v>
      </c>
      <c r="D107" s="34">
        <v>7.0000000000000007E-2</v>
      </c>
      <c r="E107" s="33">
        <f>ROUND(产出与消耗!P45*F107,0)</f>
        <v>178329600</v>
      </c>
      <c r="F107" s="34">
        <v>0.1</v>
      </c>
      <c r="G107" s="33">
        <f>ROUND(产出与消耗!P67*H107,0)</f>
        <v>33436800</v>
      </c>
      <c r="H107" s="34">
        <v>0.03</v>
      </c>
    </row>
    <row r="108" spans="1:10" s="32" customFormat="1">
      <c r="A108" s="32" t="s">
        <v>83</v>
      </c>
      <c r="C108" s="33"/>
      <c r="D108" s="36"/>
      <c r="E108" s="33"/>
      <c r="F108" s="36"/>
      <c r="G108" s="33"/>
      <c r="H108" s="36"/>
      <c r="I108" s="39"/>
      <c r="J108" s="36"/>
    </row>
    <row r="109" spans="1:10">
      <c r="B109">
        <v>1</v>
      </c>
      <c r="C109" s="33">
        <f>ROUND(产出与消耗!P4*D109,0)</f>
        <v>3</v>
      </c>
      <c r="D109" s="34">
        <v>0.05</v>
      </c>
      <c r="E109" s="33">
        <f>ROUND(产出与消耗!P26*F109,0)</f>
        <v>2</v>
      </c>
      <c r="F109" s="34">
        <v>0.02</v>
      </c>
      <c r="G109" s="33">
        <f>ROUND(产出与消耗!P48*H109,0)</f>
        <v>3</v>
      </c>
      <c r="H109" s="34">
        <v>7.0000000000000007E-2</v>
      </c>
    </row>
    <row r="110" spans="1:10">
      <c r="B110">
        <v>2</v>
      </c>
      <c r="C110" s="33">
        <f>ROUND(产出与消耗!P5*D110,0)</f>
        <v>31</v>
      </c>
      <c r="D110" s="34">
        <v>0.05</v>
      </c>
      <c r="E110" s="33">
        <f>ROUND(产出与消耗!P27*F110,0)</f>
        <v>17</v>
      </c>
      <c r="F110" s="34">
        <v>0.02</v>
      </c>
      <c r="G110" s="33">
        <f>ROUND(产出与消耗!P49*H110,0)</f>
        <v>36</v>
      </c>
      <c r="H110" s="34">
        <v>7.0000000000000007E-2</v>
      </c>
    </row>
    <row r="111" spans="1:10">
      <c r="B111">
        <v>3</v>
      </c>
      <c r="C111" s="33">
        <f>ROUND(产出与消耗!P6*D111,0)</f>
        <v>202</v>
      </c>
      <c r="D111" s="34">
        <v>0.05</v>
      </c>
      <c r="E111" s="33">
        <f>ROUND(产出与消耗!P28*F111,0)</f>
        <v>108</v>
      </c>
      <c r="F111" s="34">
        <v>0.02</v>
      </c>
      <c r="G111" s="33">
        <f>ROUND(产出与消耗!P50*H111,0)</f>
        <v>236</v>
      </c>
      <c r="H111" s="34">
        <v>7.0000000000000007E-2</v>
      </c>
    </row>
    <row r="112" spans="1:10">
      <c r="B112">
        <v>4</v>
      </c>
      <c r="C112" s="33">
        <f>ROUND(产出与消耗!P7*D112,0)</f>
        <v>817</v>
      </c>
      <c r="D112" s="34">
        <v>0.05</v>
      </c>
      <c r="E112" s="33">
        <f>ROUND(产出与消耗!P29*F112,0)</f>
        <v>435</v>
      </c>
      <c r="F112" s="34">
        <v>0.02</v>
      </c>
      <c r="G112" s="33">
        <f>ROUND(产出与消耗!P51*H112,0)</f>
        <v>953</v>
      </c>
      <c r="H112" s="34">
        <v>7.0000000000000007E-2</v>
      </c>
    </row>
    <row r="113" spans="2:8">
      <c r="B113">
        <v>5</v>
      </c>
      <c r="C113" s="33">
        <f>ROUND(产出与消耗!P8*D113,0)</f>
        <v>2644</v>
      </c>
      <c r="D113" s="34">
        <v>0.05</v>
      </c>
      <c r="E113" s="33">
        <f>ROUND(产出与消耗!P30*F113,0)</f>
        <v>1410</v>
      </c>
      <c r="F113" s="34">
        <v>0.02</v>
      </c>
      <c r="G113" s="33">
        <f>ROUND(产出与消耗!P52*H113,0)</f>
        <v>3084</v>
      </c>
      <c r="H113" s="34">
        <v>7.0000000000000007E-2</v>
      </c>
    </row>
    <row r="114" spans="2:8">
      <c r="B114">
        <v>6</v>
      </c>
      <c r="C114" s="33">
        <f>ROUND(产出与消耗!P9*D114,0)</f>
        <v>7548</v>
      </c>
      <c r="D114" s="34">
        <v>0.05</v>
      </c>
      <c r="E114" s="33">
        <f>ROUND(产出与消耗!P31*F114,0)</f>
        <v>4026</v>
      </c>
      <c r="F114" s="34">
        <v>0.02</v>
      </c>
      <c r="G114" s="33">
        <f>ROUND(产出与消耗!P53*H114,0)</f>
        <v>8806</v>
      </c>
      <c r="H114" s="34">
        <v>7.0000000000000007E-2</v>
      </c>
    </row>
    <row r="115" spans="2:8">
      <c r="B115">
        <v>7</v>
      </c>
      <c r="C115" s="33">
        <f>ROUND(产出与消耗!P10*D115,0)</f>
        <v>21283</v>
      </c>
      <c r="D115" s="34">
        <v>0.05</v>
      </c>
      <c r="E115" s="33">
        <f>ROUND(产出与消耗!P32*F115,0)</f>
        <v>11351</v>
      </c>
      <c r="F115" s="34">
        <v>0.02</v>
      </c>
      <c r="G115" s="33">
        <f>ROUND(产出与消耗!P54*H115,0)</f>
        <v>24830</v>
      </c>
      <c r="H115" s="34">
        <v>7.0000000000000007E-2</v>
      </c>
    </row>
    <row r="116" spans="2:8">
      <c r="B116">
        <v>8</v>
      </c>
      <c r="C116" s="33">
        <f>ROUND(产出与消耗!P11*D116,0)</f>
        <v>68211</v>
      </c>
      <c r="D116" s="34">
        <v>0.05</v>
      </c>
      <c r="E116" s="33">
        <f>ROUND(产出与消耗!P33*F116,0)</f>
        <v>36379</v>
      </c>
      <c r="F116" s="34">
        <v>0.02</v>
      </c>
      <c r="G116" s="33">
        <f>ROUND(产出与消耗!P55*H116,0)</f>
        <v>79580</v>
      </c>
      <c r="H116" s="34">
        <v>7.0000000000000007E-2</v>
      </c>
    </row>
    <row r="117" spans="2:8">
      <c r="B117">
        <v>9</v>
      </c>
      <c r="C117" s="33">
        <f>ROUND(产出与消耗!P12*D117,0)</f>
        <v>162026</v>
      </c>
      <c r="D117" s="34">
        <v>0.05</v>
      </c>
      <c r="E117" s="33">
        <f>ROUND(产出与消耗!P34*F117,0)</f>
        <v>86414</v>
      </c>
      <c r="F117" s="34">
        <v>0.02</v>
      </c>
      <c r="G117" s="33">
        <f>ROUND(产出与消耗!P56*H117,0)</f>
        <v>189030</v>
      </c>
      <c r="H117" s="34">
        <v>7.0000000000000007E-2</v>
      </c>
    </row>
    <row r="118" spans="2:8">
      <c r="B118">
        <v>10</v>
      </c>
      <c r="C118" s="33">
        <f>ROUND(产出与消耗!P13*D118,0)</f>
        <v>387763</v>
      </c>
      <c r="D118" s="34">
        <v>0.05</v>
      </c>
      <c r="E118" s="33">
        <f>ROUND(产出与消耗!P35*F118,0)</f>
        <v>206807</v>
      </c>
      <c r="F118" s="34">
        <v>0.02</v>
      </c>
      <c r="G118" s="33">
        <f>ROUND(产出与消耗!P57*H118,0)</f>
        <v>452390</v>
      </c>
      <c r="H118" s="34">
        <v>7.0000000000000007E-2</v>
      </c>
    </row>
    <row r="119" spans="2:8">
      <c r="B119">
        <v>11</v>
      </c>
      <c r="C119" s="33">
        <f>ROUND(产出与消耗!P14*D119,0)</f>
        <v>793619</v>
      </c>
      <c r="D119" s="34">
        <v>0.05</v>
      </c>
      <c r="E119" s="33">
        <f>ROUND(产出与消耗!P36*F119,0)</f>
        <v>423263</v>
      </c>
      <c r="F119" s="34">
        <v>0.02</v>
      </c>
      <c r="G119" s="33">
        <f>ROUND(产出与消耗!P58*H119,0)</f>
        <v>925888</v>
      </c>
      <c r="H119" s="34">
        <v>7.0000000000000007E-2</v>
      </c>
    </row>
    <row r="120" spans="2:8">
      <c r="B120">
        <v>12</v>
      </c>
      <c r="C120" s="33">
        <f>ROUND(产出与消耗!P15*D120,0)</f>
        <v>1770595</v>
      </c>
      <c r="D120" s="34">
        <v>0.05</v>
      </c>
      <c r="E120" s="33">
        <f>ROUND(产出与消耗!P37*F120,0)</f>
        <v>944317</v>
      </c>
      <c r="F120" s="34">
        <v>0.02</v>
      </c>
      <c r="G120" s="33">
        <f>ROUND(产出与消耗!P59*H120,0)</f>
        <v>2065694</v>
      </c>
      <c r="H120" s="34">
        <v>7.0000000000000007E-2</v>
      </c>
    </row>
    <row r="121" spans="2:8">
      <c r="B121">
        <v>13</v>
      </c>
      <c r="C121" s="33">
        <f>ROUND(产出与消耗!P16*D121,0)</f>
        <v>3433882</v>
      </c>
      <c r="D121" s="34">
        <v>0.05</v>
      </c>
      <c r="E121" s="33">
        <f>ROUND(产出与消耗!P38*F121,0)</f>
        <v>1831404</v>
      </c>
      <c r="F121" s="34">
        <v>0.02</v>
      </c>
      <c r="G121" s="33">
        <f>ROUND(产出与消耗!P60*H121,0)</f>
        <v>4006195</v>
      </c>
      <c r="H121" s="34">
        <v>7.0000000000000007E-2</v>
      </c>
    </row>
    <row r="122" spans="2:8">
      <c r="B122">
        <v>14</v>
      </c>
      <c r="C122" s="33">
        <f>ROUND(产出与消耗!P17*D122,0)</f>
        <v>5922202</v>
      </c>
      <c r="D122" s="34">
        <v>0.05</v>
      </c>
      <c r="E122" s="33">
        <f>ROUND(产出与消耗!P39*F122,0)</f>
        <v>3158508</v>
      </c>
      <c r="F122" s="34">
        <v>0.02</v>
      </c>
      <c r="G122" s="33">
        <f>ROUND(产出与消耗!P61*H122,0)</f>
        <v>6909235</v>
      </c>
      <c r="H122" s="34">
        <v>7.0000000000000007E-2</v>
      </c>
    </row>
    <row r="123" spans="2:8">
      <c r="B123">
        <v>15</v>
      </c>
      <c r="C123" s="33">
        <f>ROUND(产出与消耗!P18*D123,0)</f>
        <v>9720000</v>
      </c>
      <c r="D123" s="34">
        <v>0.05</v>
      </c>
      <c r="E123" s="33">
        <f>ROUND(产出与消耗!P40*F123,0)</f>
        <v>5184000</v>
      </c>
      <c r="F123" s="34">
        <v>0.02</v>
      </c>
      <c r="G123" s="33">
        <f>ROUND(产出与消耗!P62*H123,0)</f>
        <v>11340000</v>
      </c>
      <c r="H123" s="34">
        <v>7.0000000000000007E-2</v>
      </c>
    </row>
    <row r="124" spans="2:8">
      <c r="B124">
        <v>16</v>
      </c>
      <c r="C124" s="33">
        <f>ROUND(产出与消耗!P19*D124,0)</f>
        <v>15035155</v>
      </c>
      <c r="D124" s="34">
        <v>0.05</v>
      </c>
      <c r="E124" s="33">
        <f>ROUND(产出与消耗!P41*F124,0)</f>
        <v>8018749</v>
      </c>
      <c r="F124" s="34">
        <v>0.02</v>
      </c>
      <c r="G124" s="33">
        <f>ROUND(产出与消耗!P63*H124,0)</f>
        <v>17541014</v>
      </c>
      <c r="H124" s="34">
        <v>7.0000000000000007E-2</v>
      </c>
    </row>
    <row r="125" spans="2:8">
      <c r="B125">
        <v>17</v>
      </c>
      <c r="C125" s="33">
        <f>ROUND(产出与消耗!P20*D125,0)</f>
        <v>22455066</v>
      </c>
      <c r="D125" s="34">
        <v>0.05</v>
      </c>
      <c r="E125" s="33">
        <f>ROUND(产出与消耗!P42*F125,0)</f>
        <v>11976035</v>
      </c>
      <c r="F125" s="34">
        <v>0.02</v>
      </c>
      <c r="G125" s="33">
        <f>ROUND(产出与消耗!P64*H125,0)</f>
        <v>26197577</v>
      </c>
      <c r="H125" s="34">
        <v>7.0000000000000007E-2</v>
      </c>
    </row>
    <row r="126" spans="2:8">
      <c r="B126">
        <v>18</v>
      </c>
      <c r="C126" s="33">
        <f>ROUND(产出与消耗!P21*D126,0)</f>
        <v>32659200</v>
      </c>
      <c r="D126" s="34">
        <v>0.05</v>
      </c>
      <c r="E126" s="33">
        <f>ROUND(产出与消耗!P43*F126,0)</f>
        <v>17418240</v>
      </c>
      <c r="F126" s="34">
        <v>0.02</v>
      </c>
      <c r="G126" s="33">
        <f>ROUND(产出与消耗!P65*H126,0)</f>
        <v>38102400</v>
      </c>
      <c r="H126" s="34">
        <v>7.0000000000000007E-2</v>
      </c>
    </row>
    <row r="127" spans="2:8">
      <c r="B127">
        <v>19</v>
      </c>
      <c r="C127" s="33">
        <f>ROUND(产出与消耗!P22*D127,0)</f>
        <v>46258387</v>
      </c>
      <c r="D127" s="34">
        <v>0.05</v>
      </c>
      <c r="E127" s="33">
        <f>ROUND(产出与消耗!P44*F127,0)</f>
        <v>24671140</v>
      </c>
      <c r="F127" s="34">
        <v>0.02</v>
      </c>
      <c r="G127" s="33">
        <f>ROUND(产出与消耗!P66*H127,0)</f>
        <v>53968118</v>
      </c>
      <c r="H127" s="34">
        <v>7.0000000000000007E-2</v>
      </c>
    </row>
    <row r="128" spans="2:8">
      <c r="B128">
        <v>20</v>
      </c>
      <c r="C128" s="33">
        <f>ROUND(产出与消耗!P23*D128,0)</f>
        <v>66873600</v>
      </c>
      <c r="D128" s="34">
        <v>0.05</v>
      </c>
      <c r="E128" s="33">
        <f>ROUND(产出与消耗!P45*F128,0)</f>
        <v>35665920</v>
      </c>
      <c r="F128" s="34">
        <v>0.02</v>
      </c>
      <c r="G128" s="33">
        <f>ROUND(产出与消耗!P67*H128,0)</f>
        <v>78019200</v>
      </c>
      <c r="H128" s="34">
        <v>7.0000000000000007E-2</v>
      </c>
    </row>
    <row r="129" spans="1:10" s="32" customFormat="1">
      <c r="A129" s="32" t="s">
        <v>229</v>
      </c>
      <c r="C129" s="33"/>
      <c r="D129" s="36"/>
      <c r="E129" s="33"/>
      <c r="F129" s="36"/>
      <c r="G129" s="33"/>
      <c r="H129" s="36"/>
      <c r="I129" s="39"/>
      <c r="J129" s="36"/>
    </row>
    <row r="130" spans="1:10">
      <c r="B130">
        <v>1</v>
      </c>
      <c r="C130" s="33">
        <f>ROUND(产出与消耗!P4*D130,0)</f>
        <v>3</v>
      </c>
      <c r="D130" s="34">
        <v>0.06</v>
      </c>
      <c r="E130" s="33">
        <f>ROUND(产出与消耗!P26*F130,0)</f>
        <v>3</v>
      </c>
      <c r="F130" s="34">
        <v>0.04</v>
      </c>
      <c r="G130" s="33">
        <f>ROUND(产出与消耗!P48*H130,0)</f>
        <v>1</v>
      </c>
      <c r="H130" s="34">
        <v>0.02</v>
      </c>
    </row>
    <row r="131" spans="1:10">
      <c r="B131">
        <v>2</v>
      </c>
      <c r="C131" s="33">
        <f>ROUND(产出与消耗!P5*D131,0)</f>
        <v>37</v>
      </c>
      <c r="D131" s="34">
        <v>0.06</v>
      </c>
      <c r="E131" s="33">
        <f>ROUND(产出与消耗!P27*F131,0)</f>
        <v>33</v>
      </c>
      <c r="F131" s="34">
        <v>0.04</v>
      </c>
      <c r="G131" s="33">
        <f>ROUND(产出与消耗!P49*H131,0)</f>
        <v>10</v>
      </c>
      <c r="H131" s="34">
        <v>0.02</v>
      </c>
    </row>
    <row r="132" spans="1:10">
      <c r="B132">
        <v>3</v>
      </c>
      <c r="C132" s="33">
        <f>ROUND(产出与消耗!P6*D132,0)</f>
        <v>243</v>
      </c>
      <c r="D132" s="34">
        <v>0.06</v>
      </c>
      <c r="E132" s="33">
        <f>ROUND(产出与消耗!P28*F132,0)</f>
        <v>216</v>
      </c>
      <c r="F132" s="34">
        <v>0.04</v>
      </c>
      <c r="G132" s="33">
        <f>ROUND(产出与消耗!P50*H132,0)</f>
        <v>67</v>
      </c>
      <c r="H132" s="34">
        <v>0.02</v>
      </c>
    </row>
    <row r="133" spans="1:10">
      <c r="B133">
        <v>4</v>
      </c>
      <c r="C133" s="33">
        <f>ROUND(产出与消耗!P7*D133,0)</f>
        <v>980</v>
      </c>
      <c r="D133" s="34">
        <v>0.06</v>
      </c>
      <c r="E133" s="33">
        <f>ROUND(产出与消耗!P29*F133,0)</f>
        <v>871</v>
      </c>
      <c r="F133" s="34">
        <v>0.04</v>
      </c>
      <c r="G133" s="33">
        <f>ROUND(产出与消耗!P51*H133,0)</f>
        <v>272</v>
      </c>
      <c r="H133" s="34">
        <v>0.02</v>
      </c>
    </row>
    <row r="134" spans="1:10">
      <c r="B134">
        <v>5</v>
      </c>
      <c r="C134" s="33">
        <f>ROUND(产出与消耗!P8*D134,0)</f>
        <v>3173</v>
      </c>
      <c r="D134" s="34">
        <v>0.06</v>
      </c>
      <c r="E134" s="33">
        <f>ROUND(产出与消耗!P30*F134,0)</f>
        <v>2820</v>
      </c>
      <c r="F134" s="34">
        <v>0.04</v>
      </c>
      <c r="G134" s="33">
        <f>ROUND(产出与消耗!P52*H134,0)</f>
        <v>881</v>
      </c>
      <c r="H134" s="34">
        <v>0.02</v>
      </c>
    </row>
    <row r="135" spans="1:10">
      <c r="B135">
        <v>6</v>
      </c>
      <c r="C135" s="33">
        <f>ROUND(产出与消耗!P9*D135,0)</f>
        <v>9057</v>
      </c>
      <c r="D135" s="34">
        <v>0.06</v>
      </c>
      <c r="E135" s="33">
        <f>ROUND(产出与消耗!P31*F135,0)</f>
        <v>8051</v>
      </c>
      <c r="F135" s="34">
        <v>0.04</v>
      </c>
      <c r="G135" s="33">
        <f>ROUND(产出与消耗!P53*H135,0)</f>
        <v>2516</v>
      </c>
      <c r="H135" s="34">
        <v>0.02</v>
      </c>
    </row>
    <row r="136" spans="1:10">
      <c r="B136">
        <v>7</v>
      </c>
      <c r="C136" s="33">
        <f>ROUND(产出与消耗!P10*D136,0)</f>
        <v>25539</v>
      </c>
      <c r="D136" s="34">
        <v>0.06</v>
      </c>
      <c r="E136" s="33">
        <f>ROUND(产出与消耗!P32*F136,0)</f>
        <v>22702</v>
      </c>
      <c r="F136" s="34">
        <v>0.04</v>
      </c>
      <c r="G136" s="33">
        <f>ROUND(产出与消耗!P54*H136,0)</f>
        <v>7094</v>
      </c>
      <c r="H136" s="34">
        <v>0.02</v>
      </c>
    </row>
    <row r="137" spans="1:10">
      <c r="B137">
        <v>8</v>
      </c>
      <c r="C137" s="33">
        <f>ROUND(产出与消耗!P11*D137,0)</f>
        <v>81853</v>
      </c>
      <c r="D137" s="34">
        <v>0.06</v>
      </c>
      <c r="E137" s="33">
        <f>ROUND(产出与消耗!P33*F137,0)</f>
        <v>72758</v>
      </c>
      <c r="F137" s="34">
        <v>0.04</v>
      </c>
      <c r="G137" s="33">
        <f>ROUND(产出与消耗!P55*H137,0)</f>
        <v>22737</v>
      </c>
      <c r="H137" s="34">
        <v>0.02</v>
      </c>
    </row>
    <row r="138" spans="1:10">
      <c r="B138">
        <v>9</v>
      </c>
      <c r="C138" s="33">
        <f>ROUND(产出与消耗!P12*D138,0)</f>
        <v>194431</v>
      </c>
      <c r="D138" s="34">
        <v>0.06</v>
      </c>
      <c r="E138" s="33">
        <f>ROUND(产出与消耗!P34*F138,0)</f>
        <v>172828</v>
      </c>
      <c r="F138" s="34">
        <v>0.04</v>
      </c>
      <c r="G138" s="33">
        <f>ROUND(产出与消耗!P56*H138,0)</f>
        <v>54009</v>
      </c>
      <c r="H138" s="34">
        <v>0.02</v>
      </c>
    </row>
    <row r="139" spans="1:10">
      <c r="B139">
        <v>10</v>
      </c>
      <c r="C139" s="33">
        <f>ROUND(产出与消耗!P13*D139,0)</f>
        <v>465316</v>
      </c>
      <c r="D139" s="34">
        <v>0.06</v>
      </c>
      <c r="E139" s="33">
        <f>ROUND(产出与消耗!P35*F139,0)</f>
        <v>413614</v>
      </c>
      <c r="F139" s="34">
        <v>0.04</v>
      </c>
      <c r="G139" s="33">
        <f>ROUND(产出与消耗!P57*H139,0)</f>
        <v>129254</v>
      </c>
      <c r="H139" s="34">
        <v>0.02</v>
      </c>
    </row>
    <row r="140" spans="1:10">
      <c r="B140">
        <v>11</v>
      </c>
      <c r="C140" s="33">
        <f>ROUND(产出与消耗!P14*D140,0)</f>
        <v>952342</v>
      </c>
      <c r="D140" s="34">
        <v>0.06</v>
      </c>
      <c r="E140" s="33">
        <f>ROUND(产出与消耗!P36*F140,0)</f>
        <v>846526</v>
      </c>
      <c r="F140" s="34">
        <v>0.04</v>
      </c>
      <c r="G140" s="33">
        <f>ROUND(产出与消耗!P58*H140,0)</f>
        <v>264540</v>
      </c>
      <c r="H140" s="34">
        <v>0.02</v>
      </c>
    </row>
    <row r="141" spans="1:10">
      <c r="B141">
        <v>12</v>
      </c>
      <c r="C141" s="33">
        <f>ROUND(产出与消耗!P15*D141,0)</f>
        <v>2124714</v>
      </c>
      <c r="D141" s="34">
        <v>0.06</v>
      </c>
      <c r="E141" s="33">
        <f>ROUND(产出与消耗!P37*F141,0)</f>
        <v>1888635</v>
      </c>
      <c r="F141" s="34">
        <v>0.04</v>
      </c>
      <c r="G141" s="33">
        <f>ROUND(产出与消耗!P59*H141,0)</f>
        <v>590198</v>
      </c>
      <c r="H141" s="34">
        <v>0.02</v>
      </c>
    </row>
    <row r="142" spans="1:10">
      <c r="B142">
        <v>13</v>
      </c>
      <c r="C142" s="33">
        <f>ROUND(产出与消耗!P16*D142,0)</f>
        <v>4120658</v>
      </c>
      <c r="D142" s="34">
        <v>0.06</v>
      </c>
      <c r="E142" s="33">
        <f>ROUND(产出与消耗!P38*F142,0)</f>
        <v>3662807</v>
      </c>
      <c r="F142" s="34">
        <v>0.04</v>
      </c>
      <c r="G142" s="33">
        <f>ROUND(产出与消耗!P60*H142,0)</f>
        <v>1144627</v>
      </c>
      <c r="H142" s="34">
        <v>0.02</v>
      </c>
    </row>
    <row r="143" spans="1:10">
      <c r="B143">
        <v>14</v>
      </c>
      <c r="C143" s="33">
        <f>ROUND(产出与消耗!P17*D143,0)</f>
        <v>7106642</v>
      </c>
      <c r="D143" s="34">
        <v>0.06</v>
      </c>
      <c r="E143" s="33">
        <f>ROUND(产出与消耗!P39*F143,0)</f>
        <v>6317015</v>
      </c>
      <c r="F143" s="34">
        <v>0.04</v>
      </c>
      <c r="G143" s="33">
        <f>ROUND(产出与消耗!P61*H143,0)</f>
        <v>1974067</v>
      </c>
      <c r="H143" s="34">
        <v>0.02</v>
      </c>
    </row>
    <row r="144" spans="1:10">
      <c r="B144">
        <v>15</v>
      </c>
      <c r="C144" s="33">
        <f>ROUND(产出与消耗!P18*D144,0)</f>
        <v>11664000</v>
      </c>
      <c r="D144" s="34">
        <v>0.06</v>
      </c>
      <c r="E144" s="33">
        <f>ROUND(产出与消耗!P40*F144,0)</f>
        <v>10368000</v>
      </c>
      <c r="F144" s="34">
        <v>0.04</v>
      </c>
      <c r="G144" s="33">
        <f>ROUND(产出与消耗!P62*H144,0)</f>
        <v>3240000</v>
      </c>
      <c r="H144" s="34">
        <v>0.02</v>
      </c>
    </row>
    <row r="145" spans="1:10">
      <c r="B145">
        <v>16</v>
      </c>
      <c r="C145" s="33">
        <f>ROUND(产出与消耗!P19*D145,0)</f>
        <v>18042186</v>
      </c>
      <c r="D145" s="34">
        <v>0.06</v>
      </c>
      <c r="E145" s="33">
        <f>ROUND(产出与消耗!P41*F145,0)</f>
        <v>16037499</v>
      </c>
      <c r="F145" s="34">
        <v>0.04</v>
      </c>
      <c r="G145" s="33">
        <f>ROUND(产出与消耗!P63*H145,0)</f>
        <v>5011718</v>
      </c>
      <c r="H145" s="34">
        <v>0.02</v>
      </c>
    </row>
    <row r="146" spans="1:10">
      <c r="B146">
        <v>17</v>
      </c>
      <c r="C146" s="33">
        <f>ROUND(产出与消耗!P20*D146,0)</f>
        <v>26946080</v>
      </c>
      <c r="D146" s="34">
        <v>0.06</v>
      </c>
      <c r="E146" s="33">
        <f>ROUND(产出与消耗!P42*F146,0)</f>
        <v>23952071</v>
      </c>
      <c r="F146" s="34">
        <v>0.04</v>
      </c>
      <c r="G146" s="33">
        <f>ROUND(产出与消耗!P64*H146,0)</f>
        <v>7485022</v>
      </c>
      <c r="H146" s="34">
        <v>0.02</v>
      </c>
    </row>
    <row r="147" spans="1:10">
      <c r="B147">
        <v>18</v>
      </c>
      <c r="C147" s="33">
        <f>ROUND(产出与消耗!P21*D147,0)</f>
        <v>39191040</v>
      </c>
      <c r="D147" s="34">
        <v>0.06</v>
      </c>
      <c r="E147" s="33">
        <f>ROUND(产出与消耗!P43*F147,0)</f>
        <v>34836480</v>
      </c>
      <c r="F147" s="34">
        <v>0.04</v>
      </c>
      <c r="G147" s="33">
        <f>ROUND(产出与消耗!P65*H147,0)</f>
        <v>10886400</v>
      </c>
      <c r="H147" s="34">
        <v>0.02</v>
      </c>
    </row>
    <row r="148" spans="1:10">
      <c r="B148">
        <v>19</v>
      </c>
      <c r="C148" s="33">
        <f>ROUND(产出与消耗!P22*D148,0)</f>
        <v>55510065</v>
      </c>
      <c r="D148" s="34">
        <v>0.06</v>
      </c>
      <c r="E148" s="33">
        <f>ROUND(产出与消耗!P44*F148,0)</f>
        <v>49342280</v>
      </c>
      <c r="F148" s="34">
        <v>0.04</v>
      </c>
      <c r="G148" s="33">
        <f>ROUND(产出与消耗!P66*H148,0)</f>
        <v>15419462</v>
      </c>
      <c r="H148" s="34">
        <v>0.02</v>
      </c>
    </row>
    <row r="149" spans="1:10">
      <c r="B149">
        <v>20</v>
      </c>
      <c r="C149" s="33">
        <f>ROUND(产出与消耗!P23*D149,0)</f>
        <v>80248320</v>
      </c>
      <c r="D149" s="34">
        <v>0.06</v>
      </c>
      <c r="E149" s="33">
        <f>ROUND(产出与消耗!P45*F149,0)</f>
        <v>71331840</v>
      </c>
      <c r="F149" s="34">
        <v>0.04</v>
      </c>
      <c r="G149" s="33">
        <f>ROUND(产出与消耗!P67*H149,0)</f>
        <v>22291200</v>
      </c>
      <c r="H149" s="34">
        <v>0.02</v>
      </c>
    </row>
    <row r="150" spans="1:10" s="32" customFormat="1">
      <c r="A150" s="32" t="s">
        <v>95</v>
      </c>
      <c r="C150" s="33"/>
      <c r="D150" s="36"/>
      <c r="E150" s="33"/>
      <c r="F150" s="36"/>
      <c r="G150" s="33"/>
      <c r="H150" s="36"/>
      <c r="I150" s="39"/>
      <c r="J150" s="36"/>
    </row>
    <row r="151" spans="1:10">
      <c r="B151">
        <v>1</v>
      </c>
      <c r="C151" s="33">
        <f>ROUND(产出与消耗!P4*D151,0)</f>
        <v>1</v>
      </c>
      <c r="D151" s="34">
        <v>1.4999999999999999E-2</v>
      </c>
      <c r="E151" s="33">
        <f>ROUND(产出与消耗!P26*F151,0)</f>
        <v>2</v>
      </c>
      <c r="F151" s="34">
        <v>0.03</v>
      </c>
      <c r="G151" s="33">
        <f>ROUND(产出与消耗!P48*H151,0)</f>
        <v>2</v>
      </c>
      <c r="H151" s="34">
        <v>4.4999999999999998E-2</v>
      </c>
    </row>
    <row r="152" spans="1:10">
      <c r="B152">
        <v>2</v>
      </c>
      <c r="C152" s="33">
        <f>ROUND(产出与消耗!P5*D152,0)</f>
        <v>9</v>
      </c>
      <c r="D152" s="34">
        <v>1.4999999999999999E-2</v>
      </c>
      <c r="E152" s="33">
        <f>ROUND(产出与消耗!P27*F152,0)</f>
        <v>25</v>
      </c>
      <c r="F152" s="34">
        <v>0.03</v>
      </c>
      <c r="G152" s="33">
        <f>ROUND(产出与消耗!P49*H152,0)</f>
        <v>23</v>
      </c>
      <c r="H152" s="34">
        <v>4.4999999999999998E-2</v>
      </c>
    </row>
    <row r="153" spans="1:10">
      <c r="B153">
        <v>3</v>
      </c>
      <c r="C153" s="33">
        <f>ROUND(产出与消耗!P6*D153,0)</f>
        <v>61</v>
      </c>
      <c r="D153" s="34">
        <v>1.4999999999999999E-2</v>
      </c>
      <c r="E153" s="33">
        <f>ROUND(产出与消耗!P28*F153,0)</f>
        <v>162</v>
      </c>
      <c r="F153" s="34">
        <v>0.03</v>
      </c>
      <c r="G153" s="33">
        <f>ROUND(产出与消耗!P50*H153,0)</f>
        <v>152</v>
      </c>
      <c r="H153" s="34">
        <v>4.4999999999999998E-2</v>
      </c>
    </row>
    <row r="154" spans="1:10">
      <c r="B154">
        <v>4</v>
      </c>
      <c r="C154" s="33">
        <f>ROUND(产出与消耗!P7*D154,0)</f>
        <v>245</v>
      </c>
      <c r="D154" s="34">
        <v>1.4999999999999999E-2</v>
      </c>
      <c r="E154" s="33">
        <f>ROUND(产出与消耗!P29*F154,0)</f>
        <v>653</v>
      </c>
      <c r="F154" s="34">
        <v>0.03</v>
      </c>
      <c r="G154" s="33">
        <f>ROUND(产出与消耗!P51*H154,0)</f>
        <v>612</v>
      </c>
      <c r="H154" s="34">
        <v>4.4999999999999998E-2</v>
      </c>
    </row>
    <row r="155" spans="1:10">
      <c r="B155">
        <v>5</v>
      </c>
      <c r="C155" s="33">
        <f>ROUND(产出与消耗!P8*D155,0)</f>
        <v>793</v>
      </c>
      <c r="D155" s="34">
        <v>1.4999999999999999E-2</v>
      </c>
      <c r="E155" s="33">
        <f>ROUND(产出与消耗!P30*F155,0)</f>
        <v>2115</v>
      </c>
      <c r="F155" s="34">
        <v>0.03</v>
      </c>
      <c r="G155" s="33">
        <f>ROUND(产出与消耗!P52*H155,0)</f>
        <v>1983</v>
      </c>
      <c r="H155" s="34">
        <v>4.4999999999999998E-2</v>
      </c>
    </row>
    <row r="156" spans="1:10">
      <c r="B156">
        <v>6</v>
      </c>
      <c r="C156" s="33">
        <f>ROUND(产出与消耗!P9*D156,0)</f>
        <v>2264</v>
      </c>
      <c r="D156" s="34">
        <v>1.4999999999999999E-2</v>
      </c>
      <c r="E156" s="33">
        <f>ROUND(产出与消耗!P31*F156,0)</f>
        <v>6038</v>
      </c>
      <c r="F156" s="34">
        <v>0.03</v>
      </c>
      <c r="G156" s="33">
        <f>ROUND(产出与消耗!P53*H156,0)</f>
        <v>5661</v>
      </c>
      <c r="H156" s="34">
        <v>4.4999999999999998E-2</v>
      </c>
    </row>
    <row r="157" spans="1:10">
      <c r="B157">
        <v>7</v>
      </c>
      <c r="C157" s="33">
        <f>ROUND(产出与消耗!P10*D157,0)</f>
        <v>6385</v>
      </c>
      <c r="D157" s="34">
        <v>1.4999999999999999E-2</v>
      </c>
      <c r="E157" s="33">
        <f>ROUND(产出与消耗!P32*F157,0)</f>
        <v>17026</v>
      </c>
      <c r="F157" s="34">
        <v>0.03</v>
      </c>
      <c r="G157" s="33">
        <f>ROUND(产出与消耗!P54*H157,0)</f>
        <v>15962</v>
      </c>
      <c r="H157" s="34">
        <v>4.4999999999999998E-2</v>
      </c>
    </row>
    <row r="158" spans="1:10">
      <c r="B158">
        <v>8</v>
      </c>
      <c r="C158" s="33">
        <f>ROUND(产出与消耗!P11*D158,0)</f>
        <v>20463</v>
      </c>
      <c r="D158" s="34">
        <v>1.4999999999999999E-2</v>
      </c>
      <c r="E158" s="33">
        <f>ROUND(产出与消耗!P33*F158,0)</f>
        <v>54569</v>
      </c>
      <c r="F158" s="34">
        <v>0.03</v>
      </c>
      <c r="G158" s="33">
        <f>ROUND(产出与消耗!P55*H158,0)</f>
        <v>51158</v>
      </c>
      <c r="H158" s="34">
        <v>4.4999999999999998E-2</v>
      </c>
    </row>
    <row r="159" spans="1:10">
      <c r="B159">
        <v>9</v>
      </c>
      <c r="C159" s="33">
        <f>ROUND(产出与消耗!P12*D159,0)</f>
        <v>48608</v>
      </c>
      <c r="D159" s="34">
        <v>1.4999999999999999E-2</v>
      </c>
      <c r="E159" s="33">
        <f>ROUND(产出与消耗!P34*F159,0)</f>
        <v>129621</v>
      </c>
      <c r="F159" s="34">
        <v>0.03</v>
      </c>
      <c r="G159" s="33">
        <f>ROUND(产出与消耗!P56*H159,0)</f>
        <v>121519</v>
      </c>
      <c r="H159" s="34">
        <v>4.4999999999999998E-2</v>
      </c>
    </row>
    <row r="160" spans="1:10">
      <c r="B160">
        <v>10</v>
      </c>
      <c r="C160" s="33">
        <f>ROUND(产出与消耗!P13*D160,0)</f>
        <v>116329</v>
      </c>
      <c r="D160" s="34">
        <v>1.4999999999999999E-2</v>
      </c>
      <c r="E160" s="33">
        <f>ROUND(产出与消耗!P35*F160,0)</f>
        <v>310211</v>
      </c>
      <c r="F160" s="34">
        <v>0.03</v>
      </c>
      <c r="G160" s="33">
        <f>ROUND(产出与消耗!P57*H160,0)</f>
        <v>290822</v>
      </c>
      <c r="H160" s="34">
        <v>4.4999999999999998E-2</v>
      </c>
    </row>
    <row r="161" spans="1:10">
      <c r="B161">
        <v>11</v>
      </c>
      <c r="C161" s="33">
        <f>ROUND(产出与消耗!P14*D161,0)</f>
        <v>238086</v>
      </c>
      <c r="D161" s="34">
        <v>1.4999999999999999E-2</v>
      </c>
      <c r="E161" s="33">
        <f>ROUND(产出与消耗!P36*F161,0)</f>
        <v>634895</v>
      </c>
      <c r="F161" s="34">
        <v>0.03</v>
      </c>
      <c r="G161" s="33">
        <f>ROUND(产出与消耗!P58*H161,0)</f>
        <v>595214</v>
      </c>
      <c r="H161" s="34">
        <v>4.4999999999999998E-2</v>
      </c>
    </row>
    <row r="162" spans="1:10">
      <c r="B162">
        <v>12</v>
      </c>
      <c r="C162" s="33">
        <f>ROUND(产出与消耗!P15*D162,0)</f>
        <v>531179</v>
      </c>
      <c r="D162" s="34">
        <v>1.4999999999999999E-2</v>
      </c>
      <c r="E162" s="33">
        <f>ROUND(产出与消耗!P37*F162,0)</f>
        <v>1416476</v>
      </c>
      <c r="F162" s="34">
        <v>0.03</v>
      </c>
      <c r="G162" s="33">
        <f>ROUND(产出与消耗!P59*H162,0)</f>
        <v>1327946</v>
      </c>
      <c r="H162" s="34">
        <v>4.4999999999999998E-2</v>
      </c>
    </row>
    <row r="163" spans="1:10">
      <c r="B163">
        <v>13</v>
      </c>
      <c r="C163" s="33">
        <f>ROUND(产出与消耗!P16*D163,0)</f>
        <v>1030164</v>
      </c>
      <c r="D163" s="34">
        <v>1.4999999999999999E-2</v>
      </c>
      <c r="E163" s="33">
        <f>ROUND(产出与消耗!P38*F163,0)</f>
        <v>2747105</v>
      </c>
      <c r="F163" s="34">
        <v>0.03</v>
      </c>
      <c r="G163" s="33">
        <f>ROUND(产出与消耗!P60*H163,0)</f>
        <v>2575411</v>
      </c>
      <c r="H163" s="34">
        <v>4.4999999999999998E-2</v>
      </c>
    </row>
    <row r="164" spans="1:10">
      <c r="B164">
        <v>14</v>
      </c>
      <c r="C164" s="33">
        <f>ROUND(产出与消耗!P17*D164,0)</f>
        <v>1776660</v>
      </c>
      <c r="D164" s="34">
        <v>1.4999999999999999E-2</v>
      </c>
      <c r="E164" s="33">
        <f>ROUND(产出与消耗!P39*F164,0)</f>
        <v>4737761</v>
      </c>
      <c r="F164" s="34">
        <v>0.03</v>
      </c>
      <c r="G164" s="33">
        <f>ROUND(产出与消耗!P61*H164,0)</f>
        <v>4441651</v>
      </c>
      <c r="H164" s="34">
        <v>4.4999999999999998E-2</v>
      </c>
    </row>
    <row r="165" spans="1:10">
      <c r="B165">
        <v>15</v>
      </c>
      <c r="C165" s="33">
        <f>ROUND(产出与消耗!P18*D165,0)</f>
        <v>2916000</v>
      </c>
      <c r="D165" s="34">
        <v>1.4999999999999999E-2</v>
      </c>
      <c r="E165" s="33">
        <f>ROUND(产出与消耗!P40*F165,0)</f>
        <v>7776000</v>
      </c>
      <c r="F165" s="34">
        <v>0.03</v>
      </c>
      <c r="G165" s="33">
        <f>ROUND(产出与消耗!P62*H165,0)</f>
        <v>7290000</v>
      </c>
      <c r="H165" s="34">
        <v>4.4999999999999998E-2</v>
      </c>
    </row>
    <row r="166" spans="1:10">
      <c r="B166">
        <v>16</v>
      </c>
      <c r="C166" s="33">
        <f>ROUND(产出与消耗!P19*D166,0)</f>
        <v>4510547</v>
      </c>
      <c r="D166" s="34">
        <v>1.4999999999999999E-2</v>
      </c>
      <c r="E166" s="33">
        <f>ROUND(产出与消耗!P41*F166,0)</f>
        <v>12028124</v>
      </c>
      <c r="F166" s="34">
        <v>0.03</v>
      </c>
      <c r="G166" s="33">
        <f>ROUND(产出与消耗!P63*H166,0)</f>
        <v>11276366</v>
      </c>
      <c r="H166" s="34">
        <v>4.4999999999999998E-2</v>
      </c>
    </row>
    <row r="167" spans="1:10">
      <c r="B167">
        <v>17</v>
      </c>
      <c r="C167" s="33">
        <f>ROUND(产出与消耗!P20*D167,0)</f>
        <v>6736520</v>
      </c>
      <c r="D167" s="34">
        <v>1.4999999999999999E-2</v>
      </c>
      <c r="E167" s="33">
        <f>ROUND(产出与消耗!P42*F167,0)</f>
        <v>17964053</v>
      </c>
      <c r="F167" s="34">
        <v>0.03</v>
      </c>
      <c r="G167" s="33">
        <f>ROUND(产出与消耗!P64*H167,0)</f>
        <v>16841300</v>
      </c>
      <c r="H167" s="34">
        <v>4.4999999999999998E-2</v>
      </c>
    </row>
    <row r="168" spans="1:10">
      <c r="B168">
        <v>18</v>
      </c>
      <c r="C168" s="33">
        <f>ROUND(产出与消耗!P21*D168,0)</f>
        <v>9797760</v>
      </c>
      <c r="D168" s="34">
        <v>1.4999999999999999E-2</v>
      </c>
      <c r="E168" s="33">
        <f>ROUND(产出与消耗!P43*F168,0)</f>
        <v>26127360</v>
      </c>
      <c r="F168" s="34">
        <v>0.03</v>
      </c>
      <c r="G168" s="33">
        <f>ROUND(产出与消耗!P65*H168,0)</f>
        <v>24494400</v>
      </c>
      <c r="H168" s="34">
        <v>4.4999999999999998E-2</v>
      </c>
    </row>
    <row r="169" spans="1:10">
      <c r="B169">
        <v>19</v>
      </c>
      <c r="C169" s="33">
        <f>ROUND(产出与消耗!P22*D169,0)</f>
        <v>13877516</v>
      </c>
      <c r="D169" s="34">
        <v>1.4999999999999999E-2</v>
      </c>
      <c r="E169" s="33">
        <f>ROUND(产出与消耗!P44*F169,0)</f>
        <v>37006710</v>
      </c>
      <c r="F169" s="34">
        <v>0.03</v>
      </c>
      <c r="G169" s="33">
        <f>ROUND(产出与消耗!P66*H169,0)</f>
        <v>34693790</v>
      </c>
      <c r="H169" s="34">
        <v>4.4999999999999998E-2</v>
      </c>
    </row>
    <row r="170" spans="1:10">
      <c r="B170">
        <v>20</v>
      </c>
      <c r="C170" s="33">
        <f>ROUND(产出与消耗!P23*D170,0)</f>
        <v>20062080</v>
      </c>
      <c r="D170" s="34">
        <v>1.4999999999999999E-2</v>
      </c>
      <c r="E170" s="33">
        <f>ROUND(产出与消耗!P45*F170,0)</f>
        <v>53498880</v>
      </c>
      <c r="F170" s="34">
        <v>0.03</v>
      </c>
      <c r="G170" s="33">
        <f>ROUND(产出与消耗!P67*H170,0)</f>
        <v>50155200</v>
      </c>
      <c r="H170" s="34">
        <v>4.4999999999999998E-2</v>
      </c>
    </row>
    <row r="171" spans="1:10" s="32" customFormat="1">
      <c r="A171" s="32" t="s">
        <v>85</v>
      </c>
      <c r="C171" s="33"/>
      <c r="D171" s="36"/>
      <c r="E171" s="33"/>
      <c r="F171" s="36"/>
      <c r="G171" s="33"/>
      <c r="H171" s="36"/>
      <c r="I171" s="39"/>
      <c r="J171" s="36"/>
    </row>
    <row r="172" spans="1:10">
      <c r="B172">
        <v>1</v>
      </c>
      <c r="C172" s="33">
        <f>ROUND(产出与消耗!P4*D172,0)</f>
        <v>8</v>
      </c>
      <c r="D172" s="34">
        <v>0.14000000000000001</v>
      </c>
      <c r="E172" s="33">
        <f>ROUND(产出与消耗!P26*F172,0)</f>
        <v>10</v>
      </c>
      <c r="F172" s="34">
        <v>0.13</v>
      </c>
      <c r="G172" s="33">
        <f>ROUND(产出与消耗!P48*H172,0)</f>
        <v>5</v>
      </c>
      <c r="H172" s="34">
        <v>0.1</v>
      </c>
    </row>
    <row r="173" spans="1:10">
      <c r="B173">
        <v>2</v>
      </c>
      <c r="C173" s="33">
        <f>ROUND(产出与消耗!P5*D173,0)</f>
        <v>87</v>
      </c>
      <c r="D173" s="34">
        <v>0.14000000000000001</v>
      </c>
      <c r="E173" s="33">
        <f>ROUND(产出与消耗!P27*F173,0)</f>
        <v>108</v>
      </c>
      <c r="F173" s="34">
        <v>0.13</v>
      </c>
      <c r="G173" s="33">
        <f>ROUND(产出与消耗!P49*H173,0)</f>
        <v>52</v>
      </c>
      <c r="H173" s="34">
        <v>0.1</v>
      </c>
    </row>
    <row r="174" spans="1:10">
      <c r="B174">
        <v>3</v>
      </c>
      <c r="C174" s="33">
        <f>ROUND(产出与消耗!P6*D174,0)</f>
        <v>566</v>
      </c>
      <c r="D174" s="34">
        <v>0.14000000000000001</v>
      </c>
      <c r="E174" s="33">
        <f>ROUND(产出与消耗!P28*F174,0)</f>
        <v>701</v>
      </c>
      <c r="F174" s="34">
        <v>0.13</v>
      </c>
      <c r="G174" s="33">
        <f>ROUND(产出与消耗!P50*H174,0)</f>
        <v>337</v>
      </c>
      <c r="H174" s="34">
        <v>0.1</v>
      </c>
    </row>
    <row r="175" spans="1:10">
      <c r="B175">
        <v>4</v>
      </c>
      <c r="C175" s="33">
        <f>ROUND(产出与消耗!P7*D175,0)</f>
        <v>2286</v>
      </c>
      <c r="D175" s="34">
        <v>0.14000000000000001</v>
      </c>
      <c r="E175" s="33">
        <f>ROUND(产出与消耗!P29*F175,0)</f>
        <v>2830</v>
      </c>
      <c r="F175" s="34">
        <v>0.13</v>
      </c>
      <c r="G175" s="33">
        <f>ROUND(产出与消耗!P51*H175,0)</f>
        <v>1361</v>
      </c>
      <c r="H175" s="34">
        <v>0.1</v>
      </c>
    </row>
    <row r="176" spans="1:10">
      <c r="B176">
        <v>5</v>
      </c>
      <c r="C176" s="33">
        <f>ROUND(产出与消耗!P8*D176,0)</f>
        <v>7403</v>
      </c>
      <c r="D176" s="34">
        <v>0.14000000000000001</v>
      </c>
      <c r="E176" s="33">
        <f>ROUND(产出与消耗!P30*F176,0)</f>
        <v>9165</v>
      </c>
      <c r="F176" s="34">
        <v>0.13</v>
      </c>
      <c r="G176" s="33">
        <f>ROUND(产出与消耗!P52*H176,0)</f>
        <v>4406</v>
      </c>
      <c r="H176" s="34">
        <v>0.1</v>
      </c>
    </row>
    <row r="177" spans="1:10">
      <c r="B177">
        <v>6</v>
      </c>
      <c r="C177" s="33">
        <f>ROUND(产出与消耗!P9*D177,0)</f>
        <v>21134</v>
      </c>
      <c r="D177" s="34">
        <v>0.14000000000000001</v>
      </c>
      <c r="E177" s="33">
        <f>ROUND(产出与消耗!P31*F177,0)</f>
        <v>26166</v>
      </c>
      <c r="F177" s="34">
        <v>0.13</v>
      </c>
      <c r="G177" s="33">
        <f>ROUND(产出与消耗!P53*H177,0)</f>
        <v>12580</v>
      </c>
      <c r="H177" s="34">
        <v>0.1</v>
      </c>
    </row>
    <row r="178" spans="1:10">
      <c r="B178">
        <v>7</v>
      </c>
      <c r="C178" s="33">
        <f>ROUND(产出与消耗!P10*D178,0)</f>
        <v>59592</v>
      </c>
      <c r="D178" s="34">
        <v>0.14000000000000001</v>
      </c>
      <c r="E178" s="33">
        <f>ROUND(产出与消耗!P32*F178,0)</f>
        <v>73781</v>
      </c>
      <c r="F178" s="34">
        <v>0.13</v>
      </c>
      <c r="G178" s="33">
        <f>ROUND(产出与消耗!P54*H178,0)</f>
        <v>35472</v>
      </c>
      <c r="H178" s="34">
        <v>0.1</v>
      </c>
    </row>
    <row r="179" spans="1:10">
      <c r="B179">
        <v>8</v>
      </c>
      <c r="C179" s="33">
        <f>ROUND(产出与消耗!P11*D179,0)</f>
        <v>190991</v>
      </c>
      <c r="D179" s="34">
        <v>0.14000000000000001</v>
      </c>
      <c r="E179" s="33">
        <f>ROUND(产出与消耗!P33*F179,0)</f>
        <v>236465</v>
      </c>
      <c r="F179" s="34">
        <v>0.13</v>
      </c>
      <c r="G179" s="33">
        <f>ROUND(产出与消耗!P55*H179,0)</f>
        <v>113685</v>
      </c>
      <c r="H179" s="34">
        <v>0.1</v>
      </c>
    </row>
    <row r="180" spans="1:10">
      <c r="B180">
        <v>9</v>
      </c>
      <c r="C180" s="33">
        <f>ROUND(产出与消耗!P12*D180,0)</f>
        <v>453673</v>
      </c>
      <c r="D180" s="34">
        <v>0.14000000000000001</v>
      </c>
      <c r="E180" s="33">
        <f>ROUND(产出与消耗!P34*F180,0)</f>
        <v>561690</v>
      </c>
      <c r="F180" s="34">
        <v>0.13</v>
      </c>
      <c r="G180" s="33">
        <f>ROUND(产出与消耗!P56*H180,0)</f>
        <v>270043</v>
      </c>
      <c r="H180" s="34">
        <v>0.1</v>
      </c>
    </row>
    <row r="181" spans="1:10">
      <c r="B181">
        <v>10</v>
      </c>
      <c r="C181" s="33">
        <f>ROUND(产出与消耗!P13*D181,0)</f>
        <v>1085737</v>
      </c>
      <c r="D181" s="34">
        <v>0.14000000000000001</v>
      </c>
      <c r="E181" s="33">
        <f>ROUND(产出与消耗!P35*F181,0)</f>
        <v>1344246</v>
      </c>
      <c r="F181" s="34">
        <v>0.13</v>
      </c>
      <c r="G181" s="33">
        <f>ROUND(产出与消耗!P57*H181,0)</f>
        <v>646272</v>
      </c>
      <c r="H181" s="34">
        <v>0.1</v>
      </c>
    </row>
    <row r="182" spans="1:10">
      <c r="B182">
        <v>11</v>
      </c>
      <c r="C182" s="33">
        <f>ROUND(产出与消耗!P14*D182,0)</f>
        <v>2222132</v>
      </c>
      <c r="D182" s="34">
        <v>0.14000000000000001</v>
      </c>
      <c r="E182" s="33">
        <f>ROUND(产出与消耗!P36*F182,0)</f>
        <v>2751211</v>
      </c>
      <c r="F182" s="34">
        <v>0.13</v>
      </c>
      <c r="G182" s="33">
        <f>ROUND(产出与消耗!P58*H182,0)</f>
        <v>1322698</v>
      </c>
      <c r="H182" s="34">
        <v>0.1</v>
      </c>
    </row>
    <row r="183" spans="1:10">
      <c r="B183">
        <v>12</v>
      </c>
      <c r="C183" s="33">
        <f>ROUND(产出与消耗!P15*D183,0)</f>
        <v>4957667</v>
      </c>
      <c r="D183" s="34">
        <v>0.14000000000000001</v>
      </c>
      <c r="E183" s="33">
        <f>ROUND(产出与消耗!P37*F183,0)</f>
        <v>6138063</v>
      </c>
      <c r="F183" s="34">
        <v>0.13</v>
      </c>
      <c r="G183" s="33">
        <f>ROUND(产出与消耗!P59*H183,0)</f>
        <v>2950992</v>
      </c>
      <c r="H183" s="34">
        <v>0.1</v>
      </c>
    </row>
    <row r="184" spans="1:10">
      <c r="B184">
        <v>13</v>
      </c>
      <c r="C184" s="33">
        <f>ROUND(产出与消耗!P16*D184,0)</f>
        <v>9614868</v>
      </c>
      <c r="D184" s="34">
        <v>0.14000000000000001</v>
      </c>
      <c r="E184" s="33">
        <f>ROUND(产出与消耗!P38*F184,0)</f>
        <v>11904123</v>
      </c>
      <c r="F184" s="34">
        <v>0.13</v>
      </c>
      <c r="G184" s="33">
        <f>ROUND(产出与消耗!P60*H184,0)</f>
        <v>5723136</v>
      </c>
      <c r="H184" s="34">
        <v>0.1</v>
      </c>
    </row>
    <row r="185" spans="1:10">
      <c r="B185">
        <v>14</v>
      </c>
      <c r="C185" s="33">
        <f>ROUND(产出与消耗!P17*D185,0)</f>
        <v>16582164</v>
      </c>
      <c r="D185" s="34">
        <v>0.14000000000000001</v>
      </c>
      <c r="E185" s="33">
        <f>ROUND(产出与消耗!P39*F185,0)</f>
        <v>20530299</v>
      </c>
      <c r="F185" s="34">
        <v>0.13</v>
      </c>
      <c r="G185" s="33">
        <f>ROUND(产出与消耗!P61*H185,0)</f>
        <v>9870336</v>
      </c>
      <c r="H185" s="34">
        <v>0.1</v>
      </c>
    </row>
    <row r="186" spans="1:10">
      <c r="B186">
        <v>15</v>
      </c>
      <c r="C186" s="33">
        <f>ROUND(产出与消耗!P18*D186,0)</f>
        <v>27216000</v>
      </c>
      <c r="D186" s="34">
        <v>0.14000000000000001</v>
      </c>
      <c r="E186" s="33">
        <f>ROUND(产出与消耗!P40*F186,0)</f>
        <v>33696000</v>
      </c>
      <c r="F186" s="34">
        <v>0.13</v>
      </c>
      <c r="G186" s="33">
        <f>ROUND(产出与消耗!P62*H186,0)</f>
        <v>16200000</v>
      </c>
      <c r="H186" s="34">
        <v>0.1</v>
      </c>
    </row>
    <row r="187" spans="1:10">
      <c r="B187">
        <v>16</v>
      </c>
      <c r="C187" s="33">
        <f>ROUND(产出与消耗!P19*D187,0)</f>
        <v>42098435</v>
      </c>
      <c r="D187" s="34">
        <v>0.14000000000000001</v>
      </c>
      <c r="E187" s="33">
        <f>ROUND(产出与消耗!P41*F187,0)</f>
        <v>52121871</v>
      </c>
      <c r="F187" s="34">
        <v>0.13</v>
      </c>
      <c r="G187" s="33">
        <f>ROUND(产出与消耗!P63*H187,0)</f>
        <v>25058592</v>
      </c>
      <c r="H187" s="34">
        <v>0.1</v>
      </c>
    </row>
    <row r="188" spans="1:10">
      <c r="B188">
        <v>17</v>
      </c>
      <c r="C188" s="33">
        <f>ROUND(产出与消耗!P20*D188,0)</f>
        <v>62874186</v>
      </c>
      <c r="D188" s="34">
        <v>0.14000000000000001</v>
      </c>
      <c r="E188" s="33">
        <f>ROUND(产出与消耗!P42*F188,0)</f>
        <v>77844230</v>
      </c>
      <c r="F188" s="34">
        <v>0.13</v>
      </c>
      <c r="G188" s="33">
        <f>ROUND(产出与消耗!P64*H188,0)</f>
        <v>37425110</v>
      </c>
      <c r="H188" s="34">
        <v>0.1</v>
      </c>
    </row>
    <row r="189" spans="1:10">
      <c r="B189">
        <v>18</v>
      </c>
      <c r="C189" s="33">
        <f>ROUND(产出与消耗!P21*D189,0)</f>
        <v>91445760</v>
      </c>
      <c r="D189" s="34">
        <v>0.14000000000000001</v>
      </c>
      <c r="E189" s="33">
        <f>ROUND(产出与消耗!P43*F189,0)</f>
        <v>113218560</v>
      </c>
      <c r="F189" s="34">
        <v>0.13</v>
      </c>
      <c r="G189" s="33">
        <f>ROUND(产出与消耗!P65*H189,0)</f>
        <v>54432000</v>
      </c>
      <c r="H189" s="34">
        <v>0.1</v>
      </c>
    </row>
    <row r="190" spans="1:10">
      <c r="B190">
        <v>19</v>
      </c>
      <c r="C190" s="33">
        <f>ROUND(产出与消耗!P22*D190,0)</f>
        <v>129523484</v>
      </c>
      <c r="D190" s="34">
        <v>0.14000000000000001</v>
      </c>
      <c r="E190" s="33">
        <f>ROUND(产出与消耗!P44*F190,0)</f>
        <v>160362409</v>
      </c>
      <c r="F190" s="34">
        <v>0.13</v>
      </c>
      <c r="G190" s="33">
        <f>ROUND(产出与消耗!P66*H190,0)</f>
        <v>77097312</v>
      </c>
      <c r="H190" s="34">
        <v>0.1</v>
      </c>
    </row>
    <row r="191" spans="1:10">
      <c r="B191">
        <v>20</v>
      </c>
      <c r="C191" s="33">
        <f>ROUND(产出与消耗!P23*D191,0)</f>
        <v>187246080</v>
      </c>
      <c r="D191" s="34">
        <v>0.14000000000000001</v>
      </c>
      <c r="E191" s="33">
        <f>ROUND(产出与消耗!P45*F191,0)</f>
        <v>285327360</v>
      </c>
      <c r="F191" s="34">
        <v>0.16</v>
      </c>
      <c r="G191" s="33">
        <f>ROUND(产出与消耗!P67*H191,0)</f>
        <v>111456000</v>
      </c>
      <c r="H191" s="34">
        <v>0.1</v>
      </c>
    </row>
    <row r="192" spans="1:10" s="32" customFormat="1">
      <c r="A192" s="32" t="s">
        <v>86</v>
      </c>
      <c r="C192" s="33"/>
      <c r="D192" s="36"/>
      <c r="E192" s="33"/>
      <c r="F192" s="36"/>
      <c r="G192" s="33"/>
      <c r="H192" s="36"/>
      <c r="I192" s="39"/>
      <c r="J192" s="36"/>
    </row>
    <row r="193" spans="2:8">
      <c r="B193">
        <v>1</v>
      </c>
      <c r="C193" s="33">
        <f>ROUND(产出与消耗!P4*D193,0)</f>
        <v>4</v>
      </c>
      <c r="D193" s="34">
        <v>7.0000000000000007E-2</v>
      </c>
      <c r="E193" s="33">
        <f>ROUND(产出与消耗!P26*F193,0)</f>
        <v>7</v>
      </c>
      <c r="F193" s="34">
        <v>0.09</v>
      </c>
      <c r="G193" s="33">
        <f>ROUND(产出与消耗!P48*H193,0)</f>
        <v>5</v>
      </c>
      <c r="H193" s="34">
        <v>0.11</v>
      </c>
    </row>
    <row r="194" spans="2:8">
      <c r="B194">
        <v>2</v>
      </c>
      <c r="C194" s="33">
        <f>ROUND(产出与消耗!P5*D194,0)</f>
        <v>44</v>
      </c>
      <c r="D194" s="34">
        <v>7.0000000000000007E-2</v>
      </c>
      <c r="E194" s="33">
        <f>ROUND(产出与消耗!P27*F194,0)</f>
        <v>75</v>
      </c>
      <c r="F194" s="34">
        <v>0.09</v>
      </c>
      <c r="G194" s="33">
        <f>ROUND(产出与消耗!P49*H194,0)</f>
        <v>57</v>
      </c>
      <c r="H194" s="34">
        <v>0.11</v>
      </c>
    </row>
    <row r="195" spans="2:8">
      <c r="B195">
        <v>3</v>
      </c>
      <c r="C195" s="33">
        <f>ROUND(产出与消耗!P6*D195,0)</f>
        <v>283</v>
      </c>
      <c r="D195" s="34">
        <v>7.0000000000000007E-2</v>
      </c>
      <c r="E195" s="33">
        <f>ROUND(产出与消耗!P28*F195,0)</f>
        <v>485</v>
      </c>
      <c r="F195" s="34">
        <v>0.09</v>
      </c>
      <c r="G195" s="33">
        <f>ROUND(产出与消耗!P50*H195,0)</f>
        <v>371</v>
      </c>
      <c r="H195" s="34">
        <v>0.11</v>
      </c>
    </row>
    <row r="196" spans="2:8">
      <c r="B196">
        <v>4</v>
      </c>
      <c r="C196" s="33">
        <f>ROUND(产出与消耗!P7*D196,0)</f>
        <v>1143</v>
      </c>
      <c r="D196" s="34">
        <v>7.0000000000000007E-2</v>
      </c>
      <c r="E196" s="33">
        <f>ROUND(产出与消耗!P29*F196,0)</f>
        <v>1960</v>
      </c>
      <c r="F196" s="34">
        <v>0.09</v>
      </c>
      <c r="G196" s="33">
        <f>ROUND(产出与消耗!P51*H196,0)</f>
        <v>1497</v>
      </c>
      <c r="H196" s="34">
        <v>0.11</v>
      </c>
    </row>
    <row r="197" spans="2:8">
      <c r="B197">
        <v>5</v>
      </c>
      <c r="C197" s="33">
        <f>ROUND(产出与消耗!P8*D197,0)</f>
        <v>3701</v>
      </c>
      <c r="D197" s="34">
        <v>7.0000000000000007E-2</v>
      </c>
      <c r="E197" s="33">
        <f>ROUND(产出与消耗!P30*F197,0)</f>
        <v>6345</v>
      </c>
      <c r="F197" s="34">
        <v>0.09</v>
      </c>
      <c r="G197" s="33">
        <f>ROUND(产出与消耗!P52*H197,0)</f>
        <v>4847</v>
      </c>
      <c r="H197" s="34">
        <v>0.11</v>
      </c>
    </row>
    <row r="198" spans="2:8">
      <c r="B198">
        <v>6</v>
      </c>
      <c r="C198" s="33">
        <f>ROUND(产出与消耗!P9*D198,0)</f>
        <v>10567</v>
      </c>
      <c r="D198" s="34">
        <v>7.0000000000000007E-2</v>
      </c>
      <c r="E198" s="33">
        <f>ROUND(产出与消耗!P31*F198,0)</f>
        <v>18115</v>
      </c>
      <c r="F198" s="34">
        <v>0.09</v>
      </c>
      <c r="G198" s="33">
        <f>ROUND(产出与消耗!P53*H198,0)</f>
        <v>13838</v>
      </c>
      <c r="H198" s="34">
        <v>0.11</v>
      </c>
    </row>
    <row r="199" spans="2:8">
      <c r="B199">
        <v>7</v>
      </c>
      <c r="C199" s="33">
        <f>ROUND(产出与消耗!P10*D199,0)</f>
        <v>29796</v>
      </c>
      <c r="D199" s="34">
        <v>7.0000000000000007E-2</v>
      </c>
      <c r="E199" s="33">
        <f>ROUND(产出与消耗!P32*F199,0)</f>
        <v>51079</v>
      </c>
      <c r="F199" s="34">
        <v>0.09</v>
      </c>
      <c r="G199" s="33">
        <f>ROUND(产出与消耗!P54*H199,0)</f>
        <v>39019</v>
      </c>
      <c r="H199" s="34">
        <v>0.11</v>
      </c>
    </row>
    <row r="200" spans="2:8">
      <c r="B200">
        <v>8</v>
      </c>
      <c r="C200" s="33">
        <f>ROUND(产出与消耗!P11*D200,0)</f>
        <v>95495</v>
      </c>
      <c r="D200" s="34">
        <v>7.0000000000000007E-2</v>
      </c>
      <c r="E200" s="33">
        <f>ROUND(产出与消耗!P33*F200,0)</f>
        <v>163707</v>
      </c>
      <c r="F200" s="34">
        <v>0.09</v>
      </c>
      <c r="G200" s="33">
        <f>ROUND(产出与消耗!P55*H200,0)</f>
        <v>125054</v>
      </c>
      <c r="H200" s="34">
        <v>0.11</v>
      </c>
    </row>
    <row r="201" spans="2:8">
      <c r="B201">
        <v>9</v>
      </c>
      <c r="C201" s="33">
        <f>ROUND(产出与消耗!P12*D201,0)</f>
        <v>226836</v>
      </c>
      <c r="D201" s="34">
        <v>7.0000000000000007E-2</v>
      </c>
      <c r="E201" s="33">
        <f>ROUND(产出与消耗!P34*F201,0)</f>
        <v>388862</v>
      </c>
      <c r="F201" s="34">
        <v>0.09</v>
      </c>
      <c r="G201" s="33">
        <f>ROUND(产出与消耗!P56*H201,0)</f>
        <v>297048</v>
      </c>
      <c r="H201" s="34">
        <v>0.11</v>
      </c>
    </row>
    <row r="202" spans="2:8">
      <c r="B202">
        <v>10</v>
      </c>
      <c r="C202" s="33">
        <f>ROUND(产出与消耗!P13*D202,0)</f>
        <v>542868</v>
      </c>
      <c r="D202" s="34">
        <v>7.0000000000000007E-2</v>
      </c>
      <c r="E202" s="33">
        <f>ROUND(产出与消耗!P35*F202,0)</f>
        <v>930632</v>
      </c>
      <c r="F202" s="34">
        <v>0.09</v>
      </c>
      <c r="G202" s="33">
        <f>ROUND(产出与消耗!P57*H202,0)</f>
        <v>710899</v>
      </c>
      <c r="H202" s="34">
        <v>0.11</v>
      </c>
    </row>
    <row r="203" spans="2:8">
      <c r="B203">
        <v>11</v>
      </c>
      <c r="C203" s="33">
        <f>ROUND(产出与消耗!P14*D203,0)</f>
        <v>1111066</v>
      </c>
      <c r="D203" s="34">
        <v>7.0000000000000007E-2</v>
      </c>
      <c r="E203" s="33">
        <f>ROUND(产出与消耗!P36*F203,0)</f>
        <v>1904685</v>
      </c>
      <c r="F203" s="34">
        <v>0.09</v>
      </c>
      <c r="G203" s="33">
        <f>ROUND(产出与消耗!P58*H203,0)</f>
        <v>1454967</v>
      </c>
      <c r="H203" s="34">
        <v>0.11</v>
      </c>
    </row>
    <row r="204" spans="2:8">
      <c r="B204">
        <v>12</v>
      </c>
      <c r="C204" s="33">
        <f>ROUND(产出与消耗!P15*D204,0)</f>
        <v>2478833</v>
      </c>
      <c r="D204" s="34">
        <v>7.0000000000000007E-2</v>
      </c>
      <c r="E204" s="33">
        <f>ROUND(产出与消耗!P37*F204,0)</f>
        <v>4249428</v>
      </c>
      <c r="F204" s="34">
        <v>0.09</v>
      </c>
      <c r="G204" s="33">
        <f>ROUND(产出与消耗!P59*H204,0)</f>
        <v>3246091</v>
      </c>
      <c r="H204" s="34">
        <v>0.11</v>
      </c>
    </row>
    <row r="205" spans="2:8">
      <c r="B205">
        <v>13</v>
      </c>
      <c r="C205" s="33">
        <f>ROUND(产出与消耗!P16*D205,0)</f>
        <v>4807434</v>
      </c>
      <c r="D205" s="34">
        <v>7.0000000000000007E-2</v>
      </c>
      <c r="E205" s="33">
        <f>ROUND(产出与消耗!P38*F205,0)</f>
        <v>8241316</v>
      </c>
      <c r="F205" s="34">
        <v>0.09</v>
      </c>
      <c r="G205" s="33">
        <f>ROUND(产出与消耗!P60*H205,0)</f>
        <v>6295450</v>
      </c>
      <c r="H205" s="34">
        <v>0.11</v>
      </c>
    </row>
    <row r="206" spans="2:8">
      <c r="B206">
        <v>14</v>
      </c>
      <c r="C206" s="33">
        <f>ROUND(产出与消耗!P17*D206,0)</f>
        <v>8291082</v>
      </c>
      <c r="D206" s="34">
        <v>7.0000000000000007E-2</v>
      </c>
      <c r="E206" s="33">
        <f>ROUND(产出与消耗!P39*F206,0)</f>
        <v>14213284</v>
      </c>
      <c r="F206" s="34">
        <v>0.09</v>
      </c>
      <c r="G206" s="33">
        <f>ROUND(产出与消耗!P61*H206,0)</f>
        <v>10857370</v>
      </c>
      <c r="H206" s="34">
        <v>0.11</v>
      </c>
    </row>
    <row r="207" spans="2:8">
      <c r="B207">
        <v>15</v>
      </c>
      <c r="C207" s="33">
        <f>ROUND(产出与消耗!P18*D207,0)</f>
        <v>13608000</v>
      </c>
      <c r="D207" s="34">
        <v>7.0000000000000007E-2</v>
      </c>
      <c r="E207" s="33">
        <f>ROUND(产出与消耗!P40*F207,0)</f>
        <v>23328000</v>
      </c>
      <c r="F207" s="34">
        <v>0.09</v>
      </c>
      <c r="G207" s="33">
        <f>ROUND(产出与消耗!P62*H207,0)</f>
        <v>17820000</v>
      </c>
      <c r="H207" s="34">
        <v>0.11</v>
      </c>
    </row>
    <row r="208" spans="2:8">
      <c r="B208">
        <v>16</v>
      </c>
      <c r="C208" s="33">
        <f>ROUND(产出与消耗!P19*D208,0)</f>
        <v>21049217</v>
      </c>
      <c r="D208" s="34">
        <v>7.0000000000000007E-2</v>
      </c>
      <c r="E208" s="33">
        <f>ROUND(产出与消耗!P41*F208,0)</f>
        <v>36084372</v>
      </c>
      <c r="F208" s="34">
        <v>0.09</v>
      </c>
      <c r="G208" s="33">
        <f>ROUND(产出与消耗!P63*H208,0)</f>
        <v>27564451</v>
      </c>
      <c r="H208" s="34">
        <v>0.11</v>
      </c>
    </row>
    <row r="209" spans="1:10">
      <c r="B209">
        <v>17</v>
      </c>
      <c r="C209" s="33">
        <f>ROUND(产出与消耗!P20*D209,0)</f>
        <v>31437093</v>
      </c>
      <c r="D209" s="34">
        <v>7.0000000000000007E-2</v>
      </c>
      <c r="E209" s="33">
        <f>ROUND(产出与消耗!P42*F209,0)</f>
        <v>53892159</v>
      </c>
      <c r="F209" s="34">
        <v>0.09</v>
      </c>
      <c r="G209" s="33">
        <f>ROUND(产出与消耗!P64*H209,0)</f>
        <v>41167621</v>
      </c>
      <c r="H209" s="34">
        <v>0.11</v>
      </c>
    </row>
    <row r="210" spans="1:10">
      <c r="B210">
        <v>18</v>
      </c>
      <c r="C210" s="33">
        <f>ROUND(产出与消耗!P21*D210,0)</f>
        <v>45722880</v>
      </c>
      <c r="D210" s="34">
        <v>7.0000000000000007E-2</v>
      </c>
      <c r="E210" s="33">
        <f>ROUND(产出与消耗!P43*F210,0)</f>
        <v>78382080</v>
      </c>
      <c r="F210" s="34">
        <v>0.09</v>
      </c>
      <c r="G210" s="33">
        <f>ROUND(产出与消耗!P65*H210,0)</f>
        <v>59875200</v>
      </c>
      <c r="H210" s="34">
        <v>0.11</v>
      </c>
    </row>
    <row r="211" spans="1:10">
      <c r="B211">
        <v>19</v>
      </c>
      <c r="C211" s="33">
        <f>ROUND(产出与消耗!P22*D211,0)</f>
        <v>64761742</v>
      </c>
      <c r="D211" s="34">
        <v>7.0000000000000007E-2</v>
      </c>
      <c r="E211" s="33">
        <f>ROUND(产出与消耗!P44*F211,0)</f>
        <v>111020129</v>
      </c>
      <c r="F211" s="34">
        <v>0.09</v>
      </c>
      <c r="G211" s="33">
        <f>ROUND(产出与消耗!P66*H211,0)</f>
        <v>84807043</v>
      </c>
      <c r="H211" s="34">
        <v>0.11</v>
      </c>
    </row>
    <row r="212" spans="1:10">
      <c r="B212">
        <v>20</v>
      </c>
      <c r="C212" s="33">
        <f>ROUND(产出与消耗!P23*D212,0)</f>
        <v>93623040</v>
      </c>
      <c r="D212" s="34">
        <v>7.0000000000000007E-2</v>
      </c>
      <c r="E212" s="33">
        <f>ROUND(产出与消耗!P45*F212,0)</f>
        <v>160496640</v>
      </c>
      <c r="F212" s="34">
        <v>0.09</v>
      </c>
      <c r="G212" s="33">
        <f>ROUND(产出与消耗!P67*H212,0)</f>
        <v>122601600</v>
      </c>
      <c r="H212" s="34">
        <v>0.11</v>
      </c>
    </row>
    <row r="213" spans="1:10" s="32" customFormat="1">
      <c r="A213" s="32" t="s">
        <v>87</v>
      </c>
      <c r="C213" s="33"/>
      <c r="D213" s="36"/>
      <c r="E213" s="33"/>
      <c r="F213" s="36"/>
      <c r="G213" s="33"/>
      <c r="H213" s="36"/>
      <c r="I213" s="39"/>
      <c r="J213" s="36"/>
    </row>
    <row r="214" spans="1:10">
      <c r="A214" s="1"/>
      <c r="B214">
        <v>1</v>
      </c>
      <c r="C214" s="33">
        <f>ROUND(产出与消耗!P4*D214,0)</f>
        <v>2</v>
      </c>
      <c r="D214" s="34">
        <v>0.04</v>
      </c>
      <c r="E214" s="33">
        <f>ROUND(产出与消耗!P26*F214,0)</f>
        <v>4</v>
      </c>
      <c r="F214" s="34">
        <v>0.05</v>
      </c>
      <c r="G214" s="33">
        <f>ROUND(产出与消耗!P48*H214,0)</f>
        <v>1</v>
      </c>
      <c r="H214" s="34">
        <v>0.03</v>
      </c>
    </row>
    <row r="215" spans="1:10">
      <c r="A215" s="1"/>
      <c r="B215">
        <v>2</v>
      </c>
      <c r="C215" s="33">
        <f>ROUND(产出与消耗!P5*D215,0)</f>
        <v>25</v>
      </c>
      <c r="D215" s="34">
        <v>0.04</v>
      </c>
      <c r="E215" s="33">
        <f>ROUND(产出与消耗!P27*F215,0)</f>
        <v>41</v>
      </c>
      <c r="F215" s="34">
        <v>0.05</v>
      </c>
      <c r="G215" s="33">
        <f>ROUND(产出与消耗!P49*H215,0)</f>
        <v>16</v>
      </c>
      <c r="H215" s="34">
        <v>0.03</v>
      </c>
    </row>
    <row r="216" spans="1:10">
      <c r="A216" s="1"/>
      <c r="B216">
        <v>3</v>
      </c>
      <c r="C216" s="33">
        <f>ROUND(产出与消耗!P6*D216,0)</f>
        <v>162</v>
      </c>
      <c r="D216" s="34">
        <v>0.04</v>
      </c>
      <c r="E216" s="33">
        <f>ROUND(产出与消耗!P28*F216,0)</f>
        <v>270</v>
      </c>
      <c r="F216" s="34">
        <v>0.05</v>
      </c>
      <c r="G216" s="33">
        <f>ROUND(产出与消耗!P50*H216,0)</f>
        <v>101</v>
      </c>
      <c r="H216" s="34">
        <v>0.03</v>
      </c>
    </row>
    <row r="217" spans="1:10">
      <c r="A217" s="1"/>
      <c r="B217">
        <v>4</v>
      </c>
      <c r="C217" s="33">
        <f>ROUND(产出与消耗!P7*D217,0)</f>
        <v>653</v>
      </c>
      <c r="D217" s="34">
        <v>0.04</v>
      </c>
      <c r="E217" s="33">
        <f>ROUND(产出与消耗!P29*F217,0)</f>
        <v>1089</v>
      </c>
      <c r="F217" s="34">
        <v>0.05</v>
      </c>
      <c r="G217" s="33">
        <f>ROUND(产出与消耗!P51*H217,0)</f>
        <v>408</v>
      </c>
      <c r="H217" s="34">
        <v>0.03</v>
      </c>
    </row>
    <row r="218" spans="1:10">
      <c r="A218" s="1"/>
      <c r="B218">
        <v>5</v>
      </c>
      <c r="C218" s="33">
        <f>ROUND(产出与消耗!P8*D218,0)</f>
        <v>2115</v>
      </c>
      <c r="D218" s="34">
        <v>0.04</v>
      </c>
      <c r="E218" s="33">
        <f>ROUND(产出与消耗!P30*F218,0)</f>
        <v>3525</v>
      </c>
      <c r="F218" s="34">
        <v>0.05</v>
      </c>
      <c r="G218" s="33">
        <f>ROUND(产出与消耗!P52*H218,0)</f>
        <v>1322</v>
      </c>
      <c r="H218" s="34">
        <v>0.03</v>
      </c>
    </row>
    <row r="219" spans="1:10">
      <c r="A219" s="1"/>
      <c r="B219">
        <v>6</v>
      </c>
      <c r="C219" s="33">
        <f>ROUND(产出与消耗!P9*D219,0)</f>
        <v>6038</v>
      </c>
      <c r="D219" s="34">
        <v>0.04</v>
      </c>
      <c r="E219" s="33">
        <f>ROUND(产出与消耗!P31*F219,0)</f>
        <v>10064</v>
      </c>
      <c r="F219" s="34">
        <v>0.05</v>
      </c>
      <c r="G219" s="33">
        <f>ROUND(产出与消耗!P53*H219,0)</f>
        <v>3774</v>
      </c>
      <c r="H219" s="34">
        <v>0.03</v>
      </c>
    </row>
    <row r="220" spans="1:10">
      <c r="A220" s="1"/>
      <c r="B220">
        <v>7</v>
      </c>
      <c r="C220" s="33">
        <f>ROUND(产出与消耗!P10*D220,0)</f>
        <v>17026</v>
      </c>
      <c r="D220" s="34">
        <v>0.04</v>
      </c>
      <c r="E220" s="33">
        <f>ROUND(产出与消耗!P32*F220,0)</f>
        <v>28377</v>
      </c>
      <c r="F220" s="34">
        <v>0.05</v>
      </c>
      <c r="G220" s="33">
        <f>ROUND(产出与消耗!P54*H220,0)</f>
        <v>10641</v>
      </c>
      <c r="H220" s="34">
        <v>0.03</v>
      </c>
    </row>
    <row r="221" spans="1:10">
      <c r="A221" s="1"/>
      <c r="B221">
        <v>8</v>
      </c>
      <c r="C221" s="33">
        <f>ROUND(产出与消耗!P11*D221,0)</f>
        <v>54569</v>
      </c>
      <c r="D221" s="34">
        <v>0.04</v>
      </c>
      <c r="E221" s="33">
        <f>ROUND(产出与消耗!P33*F221,0)</f>
        <v>90948</v>
      </c>
      <c r="F221" s="34">
        <v>0.05</v>
      </c>
      <c r="G221" s="33">
        <f>ROUND(产出与消耗!P55*H221,0)</f>
        <v>34106</v>
      </c>
      <c r="H221" s="34">
        <v>0.03</v>
      </c>
    </row>
    <row r="222" spans="1:10">
      <c r="A222" s="1"/>
      <c r="B222">
        <v>9</v>
      </c>
      <c r="C222" s="33">
        <f>ROUND(产出与消耗!P12*D222,0)</f>
        <v>129621</v>
      </c>
      <c r="D222" s="34">
        <v>0.04</v>
      </c>
      <c r="E222" s="33">
        <f>ROUND(产出与消耗!P34*F222,0)</f>
        <v>216035</v>
      </c>
      <c r="F222" s="34">
        <v>0.05</v>
      </c>
      <c r="G222" s="33">
        <f>ROUND(产出与消耗!P56*H222,0)</f>
        <v>81013</v>
      </c>
      <c r="H222" s="34">
        <v>0.03</v>
      </c>
    </row>
    <row r="223" spans="1:10">
      <c r="A223" s="1"/>
      <c r="B223">
        <v>10</v>
      </c>
      <c r="C223" s="33">
        <f>ROUND(产出与消耗!P13*D223,0)</f>
        <v>310211</v>
      </c>
      <c r="D223" s="34">
        <v>0.04</v>
      </c>
      <c r="E223" s="33">
        <f>ROUND(产出与消耗!P35*F223,0)</f>
        <v>517018</v>
      </c>
      <c r="F223" s="34">
        <v>0.05</v>
      </c>
      <c r="G223" s="33">
        <f>ROUND(产出与消耗!P57*H223,0)</f>
        <v>193882</v>
      </c>
      <c r="H223" s="34">
        <v>0.03</v>
      </c>
    </row>
    <row r="224" spans="1:10">
      <c r="A224" s="1"/>
      <c r="B224">
        <v>11</v>
      </c>
      <c r="C224" s="33">
        <f>ROUND(产出与消耗!P14*D224,0)</f>
        <v>634895</v>
      </c>
      <c r="D224" s="34">
        <v>0.04</v>
      </c>
      <c r="E224" s="33">
        <f>ROUND(产出与消耗!P36*F224,0)</f>
        <v>1058158</v>
      </c>
      <c r="F224" s="34">
        <v>0.05</v>
      </c>
      <c r="G224" s="33">
        <f>ROUND(产出与消耗!P58*H224,0)</f>
        <v>396809</v>
      </c>
      <c r="H224" s="34">
        <v>0.03</v>
      </c>
    </row>
    <row r="225" spans="1:10">
      <c r="A225" s="1"/>
      <c r="B225">
        <v>12</v>
      </c>
      <c r="C225" s="33">
        <f>ROUND(产出与消耗!P15*D225,0)</f>
        <v>1416476</v>
      </c>
      <c r="D225" s="34">
        <v>0.04</v>
      </c>
      <c r="E225" s="33">
        <f>ROUND(产出与消耗!P37*F225,0)</f>
        <v>2360794</v>
      </c>
      <c r="F225" s="34">
        <v>0.05</v>
      </c>
      <c r="G225" s="33">
        <f>ROUND(产出与消耗!P59*H225,0)</f>
        <v>885298</v>
      </c>
      <c r="H225" s="34">
        <v>0.03</v>
      </c>
    </row>
    <row r="226" spans="1:10">
      <c r="A226" s="1"/>
      <c r="B226">
        <v>13</v>
      </c>
      <c r="C226" s="33">
        <f>ROUND(产出与消耗!P16*D226,0)</f>
        <v>2747105</v>
      </c>
      <c r="D226" s="34">
        <v>0.04</v>
      </c>
      <c r="E226" s="33">
        <f>ROUND(产出与消耗!P38*F226,0)</f>
        <v>4578509</v>
      </c>
      <c r="F226" s="34">
        <v>0.05</v>
      </c>
      <c r="G226" s="33">
        <f>ROUND(产出与消耗!P60*H226,0)</f>
        <v>1716941</v>
      </c>
      <c r="H226" s="34">
        <v>0.03</v>
      </c>
    </row>
    <row r="227" spans="1:10">
      <c r="A227" s="1"/>
      <c r="B227">
        <v>14</v>
      </c>
      <c r="C227" s="33">
        <f>ROUND(产出与消耗!P17*D227,0)</f>
        <v>4737761</v>
      </c>
      <c r="D227" s="34">
        <v>0.04</v>
      </c>
      <c r="E227" s="33">
        <f>ROUND(产出与消耗!P39*F227,0)</f>
        <v>7896269</v>
      </c>
      <c r="F227" s="34">
        <v>0.05</v>
      </c>
      <c r="G227" s="33">
        <f>ROUND(产出与消耗!P61*H227,0)</f>
        <v>2961101</v>
      </c>
      <c r="H227" s="34">
        <v>0.03</v>
      </c>
    </row>
    <row r="228" spans="1:10">
      <c r="A228" s="1"/>
      <c r="B228">
        <v>15</v>
      </c>
      <c r="C228" s="33">
        <f>ROUND(产出与消耗!P18*D228,0)</f>
        <v>7776000</v>
      </c>
      <c r="D228" s="34">
        <v>0.04</v>
      </c>
      <c r="E228" s="33">
        <f>ROUND(产出与消耗!P40*F228,0)</f>
        <v>12960000</v>
      </c>
      <c r="F228" s="34">
        <v>0.05</v>
      </c>
      <c r="G228" s="33">
        <f>ROUND(产出与消耗!P62*H228,0)</f>
        <v>4860000</v>
      </c>
      <c r="H228" s="34">
        <v>0.03</v>
      </c>
    </row>
    <row r="229" spans="1:10">
      <c r="A229" s="1"/>
      <c r="B229">
        <v>16</v>
      </c>
      <c r="C229" s="33">
        <f>ROUND(产出与消耗!P19*D229,0)</f>
        <v>12028124</v>
      </c>
      <c r="D229" s="34">
        <v>0.04</v>
      </c>
      <c r="E229" s="33">
        <f>ROUND(产出与消耗!P41*F229,0)</f>
        <v>20046874</v>
      </c>
      <c r="F229" s="34">
        <v>0.05</v>
      </c>
      <c r="G229" s="33">
        <f>ROUND(产出与消耗!P63*H229,0)</f>
        <v>7517578</v>
      </c>
      <c r="H229" s="34">
        <v>0.03</v>
      </c>
    </row>
    <row r="230" spans="1:10">
      <c r="A230" s="1"/>
      <c r="B230">
        <v>17</v>
      </c>
      <c r="C230" s="33">
        <f>ROUND(产出与消耗!P20*D230,0)</f>
        <v>17964053</v>
      </c>
      <c r="D230" s="34">
        <v>0.04</v>
      </c>
      <c r="E230" s="33">
        <f>ROUND(产出与消耗!P42*F230,0)</f>
        <v>29940088</v>
      </c>
      <c r="F230" s="34">
        <v>0.05</v>
      </c>
      <c r="G230" s="33">
        <f>ROUND(产出与消耗!P64*H230,0)</f>
        <v>11227533</v>
      </c>
      <c r="H230" s="34">
        <v>0.03</v>
      </c>
    </row>
    <row r="231" spans="1:10">
      <c r="A231" s="1"/>
      <c r="B231">
        <v>18</v>
      </c>
      <c r="C231" s="33">
        <f>ROUND(产出与消耗!P21*D231,0)</f>
        <v>26127360</v>
      </c>
      <c r="D231" s="34">
        <v>0.04</v>
      </c>
      <c r="E231" s="33">
        <f>ROUND(产出与消耗!P43*F231,0)</f>
        <v>43545600</v>
      </c>
      <c r="F231" s="34">
        <v>0.05</v>
      </c>
      <c r="G231" s="33">
        <f>ROUND(产出与消耗!P65*H231,0)</f>
        <v>16329600</v>
      </c>
      <c r="H231" s="34">
        <v>0.03</v>
      </c>
    </row>
    <row r="232" spans="1:10">
      <c r="A232" s="1"/>
      <c r="B232">
        <v>19</v>
      </c>
      <c r="C232" s="33">
        <f>ROUND(产出与消耗!P22*D232,0)</f>
        <v>37006710</v>
      </c>
      <c r="D232" s="34">
        <v>0.04</v>
      </c>
      <c r="E232" s="33">
        <f>ROUND(产出与消耗!P44*F232,0)</f>
        <v>61677850</v>
      </c>
      <c r="F232" s="34">
        <v>0.05</v>
      </c>
      <c r="G232" s="33">
        <f>ROUND(产出与消耗!P66*H232,0)</f>
        <v>23129194</v>
      </c>
      <c r="H232" s="34">
        <v>0.03</v>
      </c>
    </row>
    <row r="233" spans="1:10">
      <c r="A233" s="1"/>
      <c r="B233">
        <v>20</v>
      </c>
      <c r="C233" s="33">
        <f>ROUND(产出与消耗!P23*D233,0)</f>
        <v>53498880</v>
      </c>
      <c r="D233" s="34">
        <v>0.04</v>
      </c>
      <c r="E233" s="33">
        <f>ROUND(产出与消耗!P45*F233,0)</f>
        <v>89164800</v>
      </c>
      <c r="F233" s="34">
        <v>0.05</v>
      </c>
      <c r="G233" s="33">
        <f>ROUND(产出与消耗!P67*H233,0)</f>
        <v>33436800</v>
      </c>
      <c r="H233" s="34">
        <v>0.03</v>
      </c>
    </row>
    <row r="234" spans="1:10" s="32" customFormat="1">
      <c r="A234" s="32" t="s">
        <v>88</v>
      </c>
      <c r="C234" s="33"/>
      <c r="D234" s="36"/>
      <c r="E234" s="33"/>
      <c r="F234" s="36"/>
      <c r="G234" s="33"/>
      <c r="H234" s="36"/>
      <c r="I234" s="39"/>
      <c r="J234" s="36"/>
    </row>
    <row r="235" spans="1:10">
      <c r="A235" s="1"/>
      <c r="B235">
        <v>1</v>
      </c>
      <c r="C235" s="33">
        <f>ROUND(产出与消耗!P4*D235,0)</f>
        <v>1</v>
      </c>
      <c r="D235" s="34">
        <v>0.02</v>
      </c>
      <c r="E235" s="33">
        <f>ROUND(产出与消耗!P26*F235,0)</f>
        <v>2</v>
      </c>
      <c r="F235" s="34">
        <v>0.03</v>
      </c>
      <c r="G235" s="33">
        <f>ROUND(产出与消耗!P48*H235,0)</f>
        <v>2</v>
      </c>
      <c r="H235" s="34">
        <v>0.05</v>
      </c>
    </row>
    <row r="236" spans="1:10">
      <c r="A236" s="1"/>
      <c r="B236">
        <v>2</v>
      </c>
      <c r="C236" s="33">
        <f>ROUND(产出与消耗!P5*D236,0)</f>
        <v>12</v>
      </c>
      <c r="D236" s="34">
        <v>0.02</v>
      </c>
      <c r="E236" s="33">
        <f>ROUND(产出与消耗!P27*F236,0)</f>
        <v>25</v>
      </c>
      <c r="F236" s="34">
        <v>0.03</v>
      </c>
      <c r="G236" s="33">
        <f>ROUND(产出与消耗!P49*H236,0)</f>
        <v>26</v>
      </c>
      <c r="H236" s="34">
        <v>0.05</v>
      </c>
    </row>
    <row r="237" spans="1:10">
      <c r="A237" s="1"/>
      <c r="B237">
        <v>3</v>
      </c>
      <c r="C237" s="33">
        <f>ROUND(产出与消耗!P6*D237,0)</f>
        <v>81</v>
      </c>
      <c r="D237" s="34">
        <v>0.02</v>
      </c>
      <c r="E237" s="33">
        <f>ROUND(产出与消耗!P28*F237,0)</f>
        <v>162</v>
      </c>
      <c r="F237" s="34">
        <v>0.03</v>
      </c>
      <c r="G237" s="33">
        <f>ROUND(产出与消耗!P50*H237,0)</f>
        <v>169</v>
      </c>
      <c r="H237" s="34">
        <v>0.05</v>
      </c>
    </row>
    <row r="238" spans="1:10">
      <c r="A238" s="1"/>
      <c r="B238">
        <v>4</v>
      </c>
      <c r="C238" s="33">
        <f>ROUND(产出与消耗!P7*D238,0)</f>
        <v>327</v>
      </c>
      <c r="D238" s="34">
        <v>0.02</v>
      </c>
      <c r="E238" s="33">
        <f>ROUND(产出与消耗!P29*F238,0)</f>
        <v>653</v>
      </c>
      <c r="F238" s="34">
        <v>0.03</v>
      </c>
      <c r="G238" s="33">
        <f>ROUND(产出与消耗!P51*H238,0)</f>
        <v>680</v>
      </c>
      <c r="H238" s="34">
        <v>0.05</v>
      </c>
    </row>
    <row r="239" spans="1:10">
      <c r="A239" s="1"/>
      <c r="B239">
        <v>5</v>
      </c>
      <c r="C239" s="33">
        <f>ROUND(产出与消耗!P8*D239,0)</f>
        <v>1058</v>
      </c>
      <c r="D239" s="34">
        <v>0.02</v>
      </c>
      <c r="E239" s="33">
        <f>ROUND(产出与消耗!P30*F239,0)</f>
        <v>2115</v>
      </c>
      <c r="F239" s="34">
        <v>0.03</v>
      </c>
      <c r="G239" s="33">
        <f>ROUND(产出与消耗!P52*H239,0)</f>
        <v>2203</v>
      </c>
      <c r="H239" s="34">
        <v>0.05</v>
      </c>
    </row>
    <row r="240" spans="1:10">
      <c r="A240" s="1"/>
      <c r="B240">
        <v>6</v>
      </c>
      <c r="C240" s="33">
        <f>ROUND(产出与消耗!P9*D240,0)</f>
        <v>3019</v>
      </c>
      <c r="D240" s="34">
        <v>0.02</v>
      </c>
      <c r="E240" s="33">
        <f>ROUND(产出与消耗!P31*F240,0)</f>
        <v>6038</v>
      </c>
      <c r="F240" s="34">
        <v>0.03</v>
      </c>
      <c r="G240" s="33">
        <f>ROUND(产出与消耗!P53*H240,0)</f>
        <v>6290</v>
      </c>
      <c r="H240" s="34">
        <v>0.05</v>
      </c>
    </row>
    <row r="241" spans="1:10">
      <c r="A241" s="1"/>
      <c r="B241">
        <v>7</v>
      </c>
      <c r="C241" s="33">
        <f>ROUND(产出与消耗!P10*D241,0)</f>
        <v>8513</v>
      </c>
      <c r="D241" s="34">
        <v>0.02</v>
      </c>
      <c r="E241" s="33">
        <f>ROUND(产出与消耗!P32*F241,0)</f>
        <v>17026</v>
      </c>
      <c r="F241" s="34">
        <v>0.03</v>
      </c>
      <c r="G241" s="33">
        <f>ROUND(产出与消耗!P54*H241,0)</f>
        <v>17736</v>
      </c>
      <c r="H241" s="34">
        <v>0.05</v>
      </c>
    </row>
    <row r="242" spans="1:10">
      <c r="A242" s="1"/>
      <c r="B242">
        <v>8</v>
      </c>
      <c r="C242" s="33">
        <f>ROUND(产出与消耗!P11*D242,0)</f>
        <v>27284</v>
      </c>
      <c r="D242" s="34">
        <v>0.02</v>
      </c>
      <c r="E242" s="33">
        <f>ROUND(产出与消耗!P33*F242,0)</f>
        <v>54569</v>
      </c>
      <c r="F242" s="34">
        <v>0.03</v>
      </c>
      <c r="G242" s="33">
        <f>ROUND(产出与消耗!P55*H242,0)</f>
        <v>56843</v>
      </c>
      <c r="H242" s="34">
        <v>0.05</v>
      </c>
    </row>
    <row r="243" spans="1:10">
      <c r="A243" s="1"/>
      <c r="B243">
        <v>9</v>
      </c>
      <c r="C243" s="33">
        <f>ROUND(产出与消耗!P12*D243,0)</f>
        <v>64810</v>
      </c>
      <c r="D243" s="34">
        <v>0.02</v>
      </c>
      <c r="E243" s="33">
        <f>ROUND(产出与消耗!P34*F243,0)</f>
        <v>129621</v>
      </c>
      <c r="F243" s="34">
        <v>0.03</v>
      </c>
      <c r="G243" s="33">
        <f>ROUND(产出与消耗!P56*H243,0)</f>
        <v>135022</v>
      </c>
      <c r="H243" s="34">
        <v>0.05</v>
      </c>
    </row>
    <row r="244" spans="1:10">
      <c r="A244" s="1"/>
      <c r="B244">
        <v>10</v>
      </c>
      <c r="C244" s="33">
        <f>ROUND(产出与消耗!P13*D244,0)</f>
        <v>155105</v>
      </c>
      <c r="D244" s="34">
        <v>0.02</v>
      </c>
      <c r="E244" s="33">
        <f>ROUND(产出与消耗!P35*F244,0)</f>
        <v>310211</v>
      </c>
      <c r="F244" s="34">
        <v>0.03</v>
      </c>
      <c r="G244" s="33">
        <f>ROUND(产出与消耗!P57*H244,0)</f>
        <v>323136</v>
      </c>
      <c r="H244" s="34">
        <v>0.05</v>
      </c>
    </row>
    <row r="245" spans="1:10">
      <c r="A245" s="1"/>
      <c r="B245">
        <v>11</v>
      </c>
      <c r="C245" s="33">
        <f>ROUND(产出与消耗!P14*D245,0)</f>
        <v>317447</v>
      </c>
      <c r="D245" s="34">
        <v>0.02</v>
      </c>
      <c r="E245" s="33">
        <f>ROUND(产出与消耗!P36*F245,0)</f>
        <v>634895</v>
      </c>
      <c r="F245" s="34">
        <v>0.03</v>
      </c>
      <c r="G245" s="33">
        <f>ROUND(产出与消耗!P58*H245,0)</f>
        <v>661349</v>
      </c>
      <c r="H245" s="34">
        <v>0.05</v>
      </c>
    </row>
    <row r="246" spans="1:10">
      <c r="A246" s="1"/>
      <c r="B246">
        <v>12</v>
      </c>
      <c r="C246" s="33">
        <f>ROUND(产出与消耗!P15*D246,0)</f>
        <v>708238</v>
      </c>
      <c r="D246" s="34">
        <v>0.02</v>
      </c>
      <c r="E246" s="33">
        <f>ROUND(产出与消耗!P37*F246,0)</f>
        <v>1416476</v>
      </c>
      <c r="F246" s="34">
        <v>0.03</v>
      </c>
      <c r="G246" s="33">
        <f>ROUND(产出与消耗!P59*H246,0)</f>
        <v>1475496</v>
      </c>
      <c r="H246" s="34">
        <v>0.05</v>
      </c>
    </row>
    <row r="247" spans="1:10">
      <c r="A247" s="1"/>
      <c r="B247">
        <v>13</v>
      </c>
      <c r="C247" s="33">
        <f>ROUND(产出与消耗!P16*D247,0)</f>
        <v>1373553</v>
      </c>
      <c r="D247" s="34">
        <v>0.02</v>
      </c>
      <c r="E247" s="33">
        <f>ROUND(产出与消耗!P38*F247,0)</f>
        <v>2747105</v>
      </c>
      <c r="F247" s="34">
        <v>0.03</v>
      </c>
      <c r="G247" s="33">
        <f>ROUND(产出与消耗!P60*H247,0)</f>
        <v>2861568</v>
      </c>
      <c r="H247" s="34">
        <v>0.05</v>
      </c>
    </row>
    <row r="248" spans="1:10">
      <c r="A248" s="1"/>
      <c r="B248">
        <v>14</v>
      </c>
      <c r="C248" s="33">
        <f>ROUND(产出与消耗!P17*D248,0)</f>
        <v>2368881</v>
      </c>
      <c r="D248" s="34">
        <v>0.02</v>
      </c>
      <c r="E248" s="33">
        <f>ROUND(产出与消耗!P39*F248,0)</f>
        <v>4737761</v>
      </c>
      <c r="F248" s="34">
        <v>0.03</v>
      </c>
      <c r="G248" s="33">
        <f>ROUND(产出与消耗!P61*H248,0)</f>
        <v>4935168</v>
      </c>
      <c r="H248" s="34">
        <v>0.05</v>
      </c>
    </row>
    <row r="249" spans="1:10">
      <c r="A249" s="1"/>
      <c r="B249">
        <v>15</v>
      </c>
      <c r="C249" s="33">
        <f>ROUND(产出与消耗!P18*D249,0)</f>
        <v>3888000</v>
      </c>
      <c r="D249" s="34">
        <v>0.02</v>
      </c>
      <c r="E249" s="33">
        <f>ROUND(产出与消耗!P40*F249,0)</f>
        <v>7776000</v>
      </c>
      <c r="F249" s="34">
        <v>0.03</v>
      </c>
      <c r="G249" s="33">
        <f>ROUND(产出与消耗!P62*H249,0)</f>
        <v>8100000</v>
      </c>
      <c r="H249" s="34">
        <v>0.05</v>
      </c>
    </row>
    <row r="250" spans="1:10">
      <c r="A250" s="1"/>
      <c r="B250">
        <v>16</v>
      </c>
      <c r="C250" s="33">
        <f>ROUND(产出与消耗!P19*D250,0)</f>
        <v>6014062</v>
      </c>
      <c r="D250" s="34">
        <v>0.02</v>
      </c>
      <c r="E250" s="33">
        <f>ROUND(产出与消耗!P41*F250,0)</f>
        <v>12028124</v>
      </c>
      <c r="F250" s="34">
        <v>0.03</v>
      </c>
      <c r="G250" s="33">
        <f>ROUND(产出与消耗!P63*H250,0)</f>
        <v>12529296</v>
      </c>
      <c r="H250" s="34">
        <v>0.05</v>
      </c>
    </row>
    <row r="251" spans="1:10">
      <c r="A251" s="1"/>
      <c r="B251">
        <v>17</v>
      </c>
      <c r="C251" s="33">
        <f>ROUND(产出与消耗!P20*D251,0)</f>
        <v>8982027</v>
      </c>
      <c r="D251" s="34">
        <v>0.02</v>
      </c>
      <c r="E251" s="33">
        <f>ROUND(产出与消耗!P42*F251,0)</f>
        <v>17964053</v>
      </c>
      <c r="F251" s="34">
        <v>0.03</v>
      </c>
      <c r="G251" s="33">
        <f>ROUND(产出与消耗!P64*H251,0)</f>
        <v>18712555</v>
      </c>
      <c r="H251" s="34">
        <v>0.05</v>
      </c>
    </row>
    <row r="252" spans="1:10">
      <c r="A252" s="1"/>
      <c r="B252">
        <v>18</v>
      </c>
      <c r="C252" s="33">
        <f>ROUND(产出与消耗!P21*D252,0)</f>
        <v>13063680</v>
      </c>
      <c r="D252" s="34">
        <v>0.02</v>
      </c>
      <c r="E252" s="33">
        <f>ROUND(产出与消耗!P43*F252,0)</f>
        <v>26127360</v>
      </c>
      <c r="F252" s="34">
        <v>0.03</v>
      </c>
      <c r="G252" s="33">
        <f>ROUND(产出与消耗!P65*H252,0)</f>
        <v>27216000</v>
      </c>
      <c r="H252" s="34">
        <v>0.05</v>
      </c>
    </row>
    <row r="253" spans="1:10">
      <c r="A253" s="1"/>
      <c r="B253">
        <v>19</v>
      </c>
      <c r="C253" s="33">
        <f>ROUND(产出与消耗!P22*D253,0)</f>
        <v>18503355</v>
      </c>
      <c r="D253" s="34">
        <v>0.02</v>
      </c>
      <c r="E253" s="33">
        <f>ROUND(产出与消耗!P44*F253,0)</f>
        <v>37006710</v>
      </c>
      <c r="F253" s="34">
        <v>0.03</v>
      </c>
      <c r="G253" s="33">
        <f>ROUND(产出与消耗!P66*H253,0)</f>
        <v>38548656</v>
      </c>
      <c r="H253" s="34">
        <v>0.05</v>
      </c>
    </row>
    <row r="254" spans="1:10">
      <c r="A254" s="1"/>
      <c r="B254">
        <v>20</v>
      </c>
      <c r="C254" s="33">
        <f>ROUND(产出与消耗!P23*D254,0)</f>
        <v>26749440</v>
      </c>
      <c r="D254" s="34">
        <v>0.02</v>
      </c>
      <c r="E254" s="33">
        <f>ROUND(产出与消耗!P45*F254,0)</f>
        <v>53498880</v>
      </c>
      <c r="F254" s="34">
        <v>0.03</v>
      </c>
      <c r="G254" s="33">
        <f>ROUND(产出与消耗!P67*H254,0)</f>
        <v>55728000</v>
      </c>
      <c r="H254" s="34">
        <v>0.05</v>
      </c>
    </row>
    <row r="255" spans="1:10" s="32" customFormat="1">
      <c r="A255" s="32" t="s">
        <v>89</v>
      </c>
      <c r="C255" s="33"/>
      <c r="D255" s="36"/>
      <c r="E255" s="33"/>
      <c r="F255" s="36"/>
      <c r="G255" s="33"/>
      <c r="H255" s="36"/>
      <c r="I255" s="39"/>
      <c r="J255" s="36"/>
    </row>
    <row r="256" spans="1:10">
      <c r="A256" s="1"/>
      <c r="B256">
        <v>1</v>
      </c>
      <c r="C256" s="33">
        <f>ROUND(产出与消耗!P4*D256,0)</f>
        <v>3</v>
      </c>
      <c r="D256" s="34">
        <v>0.06</v>
      </c>
      <c r="E256" s="33">
        <f>ROUND(产出与消耗!P26*F256,0)</f>
        <v>2</v>
      </c>
      <c r="F256" s="34">
        <v>0.02</v>
      </c>
      <c r="G256" s="33">
        <f>ROUND(产出与消耗!P48*H256,0)</f>
        <v>1</v>
      </c>
      <c r="H256" s="34">
        <v>0.03</v>
      </c>
    </row>
    <row r="257" spans="1:8">
      <c r="A257" s="1"/>
      <c r="B257">
        <v>2</v>
      </c>
      <c r="C257" s="33">
        <f>ROUND(产出与消耗!P5*D257,0)</f>
        <v>37</v>
      </c>
      <c r="D257" s="34">
        <v>0.06</v>
      </c>
      <c r="E257" s="33">
        <f>ROUND(产出与消耗!P27*F257,0)</f>
        <v>17</v>
      </c>
      <c r="F257" s="34">
        <v>0.02</v>
      </c>
      <c r="G257" s="33">
        <f>ROUND(产出与消耗!P49*H257,0)</f>
        <v>16</v>
      </c>
      <c r="H257" s="34">
        <v>0.03</v>
      </c>
    </row>
    <row r="258" spans="1:8">
      <c r="A258" s="1"/>
      <c r="B258">
        <v>3</v>
      </c>
      <c r="C258" s="33">
        <f>ROUND(产出与消耗!P6*D258,0)</f>
        <v>243</v>
      </c>
      <c r="D258" s="34">
        <v>0.06</v>
      </c>
      <c r="E258" s="33">
        <f>ROUND(产出与消耗!P28*F258,0)</f>
        <v>108</v>
      </c>
      <c r="F258" s="34">
        <v>0.02</v>
      </c>
      <c r="G258" s="33">
        <f>ROUND(产出与消耗!P50*H258,0)</f>
        <v>101</v>
      </c>
      <c r="H258" s="34">
        <v>0.03</v>
      </c>
    </row>
    <row r="259" spans="1:8">
      <c r="A259" s="1"/>
      <c r="B259">
        <v>4</v>
      </c>
      <c r="C259" s="33">
        <f>ROUND(产出与消耗!P7*D259,0)</f>
        <v>980</v>
      </c>
      <c r="D259" s="34">
        <v>0.06</v>
      </c>
      <c r="E259" s="33">
        <f>ROUND(产出与消耗!P29*F259,0)</f>
        <v>435</v>
      </c>
      <c r="F259" s="34">
        <v>0.02</v>
      </c>
      <c r="G259" s="33">
        <f>ROUND(产出与消耗!P51*H259,0)</f>
        <v>408</v>
      </c>
      <c r="H259" s="34">
        <v>0.03</v>
      </c>
    </row>
    <row r="260" spans="1:8">
      <c r="A260" s="1"/>
      <c r="B260">
        <v>5</v>
      </c>
      <c r="C260" s="33">
        <f>ROUND(产出与消耗!P8*D260,0)</f>
        <v>3173</v>
      </c>
      <c r="D260" s="34">
        <v>0.06</v>
      </c>
      <c r="E260" s="33">
        <f>ROUND(产出与消耗!P30*F260,0)</f>
        <v>1410</v>
      </c>
      <c r="F260" s="34">
        <v>0.02</v>
      </c>
      <c r="G260" s="33">
        <f>ROUND(产出与消耗!P52*H260,0)</f>
        <v>1322</v>
      </c>
      <c r="H260" s="34">
        <v>0.03</v>
      </c>
    </row>
    <row r="261" spans="1:8">
      <c r="A261" s="1"/>
      <c r="B261">
        <v>6</v>
      </c>
      <c r="C261" s="33">
        <f>ROUND(产出与消耗!P9*D261,0)</f>
        <v>9057</v>
      </c>
      <c r="D261" s="34">
        <v>0.06</v>
      </c>
      <c r="E261" s="33">
        <f>ROUND(产出与消耗!P31*F261,0)</f>
        <v>4026</v>
      </c>
      <c r="F261" s="34">
        <v>0.02</v>
      </c>
      <c r="G261" s="33">
        <f>ROUND(产出与消耗!P53*H261,0)</f>
        <v>3774</v>
      </c>
      <c r="H261" s="34">
        <v>0.03</v>
      </c>
    </row>
    <row r="262" spans="1:8">
      <c r="A262" s="1"/>
      <c r="B262">
        <v>7</v>
      </c>
      <c r="C262" s="33">
        <f>ROUND(产出与消耗!P10*D262,0)</f>
        <v>25539</v>
      </c>
      <c r="D262" s="34">
        <v>0.06</v>
      </c>
      <c r="E262" s="33">
        <f>ROUND(产出与消耗!P32*F262,0)</f>
        <v>11351</v>
      </c>
      <c r="F262" s="34">
        <v>0.02</v>
      </c>
      <c r="G262" s="33">
        <f>ROUND(产出与消耗!P54*H262,0)</f>
        <v>10641</v>
      </c>
      <c r="H262" s="34">
        <v>0.03</v>
      </c>
    </row>
    <row r="263" spans="1:8">
      <c r="A263" s="1"/>
      <c r="B263">
        <v>8</v>
      </c>
      <c r="C263" s="33">
        <f>ROUND(产出与消耗!P11*D263,0)</f>
        <v>81853</v>
      </c>
      <c r="D263" s="34">
        <v>0.06</v>
      </c>
      <c r="E263" s="33">
        <f>ROUND(产出与消耗!P33*F263,0)</f>
        <v>36379</v>
      </c>
      <c r="F263" s="34">
        <v>0.02</v>
      </c>
      <c r="G263" s="33">
        <f>ROUND(产出与消耗!P55*H263,0)</f>
        <v>34106</v>
      </c>
      <c r="H263" s="34">
        <v>0.03</v>
      </c>
    </row>
    <row r="264" spans="1:8">
      <c r="A264" s="1"/>
      <c r="B264">
        <v>9</v>
      </c>
      <c r="C264" s="33">
        <f>ROUND(产出与消耗!P12*D264,0)</f>
        <v>194431</v>
      </c>
      <c r="D264" s="34">
        <v>0.06</v>
      </c>
      <c r="E264" s="33">
        <f>ROUND(产出与消耗!P34*F264,0)</f>
        <v>86414</v>
      </c>
      <c r="F264" s="34">
        <v>0.02</v>
      </c>
      <c r="G264" s="33">
        <f>ROUND(产出与消耗!P56*H264,0)</f>
        <v>81013</v>
      </c>
      <c r="H264" s="34">
        <v>0.03</v>
      </c>
    </row>
    <row r="265" spans="1:8">
      <c r="A265" s="1"/>
      <c r="B265">
        <v>10</v>
      </c>
      <c r="C265" s="33">
        <f>ROUND(产出与消耗!P13*D265,0)</f>
        <v>465316</v>
      </c>
      <c r="D265" s="34">
        <v>0.06</v>
      </c>
      <c r="E265" s="33">
        <f>ROUND(产出与消耗!P35*F265,0)</f>
        <v>206807</v>
      </c>
      <c r="F265" s="34">
        <v>0.02</v>
      </c>
      <c r="G265" s="33">
        <f>ROUND(产出与消耗!P57*H265,0)</f>
        <v>193882</v>
      </c>
      <c r="H265" s="34">
        <v>0.03</v>
      </c>
    </row>
    <row r="266" spans="1:8">
      <c r="A266" s="1"/>
      <c r="B266">
        <v>11</v>
      </c>
      <c r="C266" s="33">
        <f>ROUND(产出与消耗!P14*D266,0)</f>
        <v>952342</v>
      </c>
      <c r="D266" s="34">
        <v>0.06</v>
      </c>
      <c r="E266" s="33">
        <f>ROUND(产出与消耗!P36*F266,0)</f>
        <v>423263</v>
      </c>
      <c r="F266" s="34">
        <v>0.02</v>
      </c>
      <c r="G266" s="33">
        <f>ROUND(产出与消耗!P58*H266,0)</f>
        <v>396809</v>
      </c>
      <c r="H266" s="34">
        <v>0.03</v>
      </c>
    </row>
    <row r="267" spans="1:8">
      <c r="A267" s="1"/>
      <c r="B267">
        <v>12</v>
      </c>
      <c r="C267" s="33">
        <f>ROUND(产出与消耗!P15*D267,0)</f>
        <v>2124714</v>
      </c>
      <c r="D267" s="34">
        <v>0.06</v>
      </c>
      <c r="E267" s="33">
        <f>ROUND(产出与消耗!P37*F267,0)</f>
        <v>944317</v>
      </c>
      <c r="F267" s="34">
        <v>0.02</v>
      </c>
      <c r="G267" s="33">
        <f>ROUND(产出与消耗!P59*H267,0)</f>
        <v>885298</v>
      </c>
      <c r="H267" s="34">
        <v>0.03</v>
      </c>
    </row>
    <row r="268" spans="1:8">
      <c r="A268" s="1"/>
      <c r="B268">
        <v>13</v>
      </c>
      <c r="C268" s="33">
        <f>ROUND(产出与消耗!P16*D268,0)</f>
        <v>4120658</v>
      </c>
      <c r="D268" s="34">
        <v>0.06</v>
      </c>
      <c r="E268" s="33">
        <f>ROUND(产出与消耗!P38*F268,0)</f>
        <v>1831404</v>
      </c>
      <c r="F268" s="34">
        <v>0.02</v>
      </c>
      <c r="G268" s="33">
        <f>ROUND(产出与消耗!P60*H268,0)</f>
        <v>1716941</v>
      </c>
      <c r="H268" s="34">
        <v>0.03</v>
      </c>
    </row>
    <row r="269" spans="1:8">
      <c r="A269" s="1"/>
      <c r="B269">
        <v>14</v>
      </c>
      <c r="C269" s="33">
        <f>ROUND(产出与消耗!P17*D269,0)</f>
        <v>7106642</v>
      </c>
      <c r="D269" s="34">
        <v>0.06</v>
      </c>
      <c r="E269" s="33">
        <f>ROUND(产出与消耗!P39*F269,0)</f>
        <v>3158508</v>
      </c>
      <c r="F269" s="34">
        <v>0.02</v>
      </c>
      <c r="G269" s="33">
        <f>ROUND(产出与消耗!P61*H269,0)</f>
        <v>2961101</v>
      </c>
      <c r="H269" s="34">
        <v>0.03</v>
      </c>
    </row>
    <row r="270" spans="1:8">
      <c r="A270" s="1"/>
      <c r="B270">
        <v>15</v>
      </c>
      <c r="C270" s="33">
        <f>ROUND(产出与消耗!P18*D270,0)</f>
        <v>11664000</v>
      </c>
      <c r="D270" s="34">
        <v>0.06</v>
      </c>
      <c r="E270" s="33">
        <f>ROUND(产出与消耗!P40*F270,0)</f>
        <v>5184000</v>
      </c>
      <c r="F270" s="34">
        <v>0.02</v>
      </c>
      <c r="G270" s="33">
        <f>ROUND(产出与消耗!P62*H270,0)</f>
        <v>4860000</v>
      </c>
      <c r="H270" s="34">
        <v>0.03</v>
      </c>
    </row>
    <row r="271" spans="1:8">
      <c r="A271" s="1"/>
      <c r="B271">
        <v>16</v>
      </c>
      <c r="C271" s="33">
        <f>ROUND(产出与消耗!P19*D271,0)</f>
        <v>18042186</v>
      </c>
      <c r="D271" s="34">
        <v>0.06</v>
      </c>
      <c r="E271" s="33">
        <f>ROUND(产出与消耗!P41*F271,0)</f>
        <v>8018749</v>
      </c>
      <c r="F271" s="34">
        <v>0.02</v>
      </c>
      <c r="G271" s="33">
        <f>ROUND(产出与消耗!P63*H271,0)</f>
        <v>7517578</v>
      </c>
      <c r="H271" s="34">
        <v>0.03</v>
      </c>
    </row>
    <row r="272" spans="1:8">
      <c r="A272" s="1"/>
      <c r="B272">
        <v>17</v>
      </c>
      <c r="C272" s="33">
        <f>ROUND(产出与消耗!P20*D272,0)</f>
        <v>26946080</v>
      </c>
      <c r="D272" s="34">
        <v>0.06</v>
      </c>
      <c r="E272" s="33">
        <f>ROUND(产出与消耗!P42*F272,0)</f>
        <v>11976035</v>
      </c>
      <c r="F272" s="34">
        <v>0.02</v>
      </c>
      <c r="G272" s="33">
        <f>ROUND(产出与消耗!P64*H272,0)</f>
        <v>11227533</v>
      </c>
      <c r="H272" s="34">
        <v>0.03</v>
      </c>
    </row>
    <row r="273" spans="1:10">
      <c r="A273" s="1"/>
      <c r="B273">
        <v>18</v>
      </c>
      <c r="C273" s="33">
        <f>ROUND(产出与消耗!P21*D273,0)</f>
        <v>39191040</v>
      </c>
      <c r="D273" s="34">
        <v>0.06</v>
      </c>
      <c r="E273" s="33">
        <f>ROUND(产出与消耗!P43*F273,0)</f>
        <v>17418240</v>
      </c>
      <c r="F273" s="34">
        <v>0.02</v>
      </c>
      <c r="G273" s="33">
        <f>ROUND(产出与消耗!P65*H273,0)</f>
        <v>16329600</v>
      </c>
      <c r="H273" s="34">
        <v>0.03</v>
      </c>
    </row>
    <row r="274" spans="1:10">
      <c r="A274" s="1"/>
      <c r="B274">
        <v>19</v>
      </c>
      <c r="C274" s="33">
        <f>ROUND(产出与消耗!P22*D274,0)</f>
        <v>55510065</v>
      </c>
      <c r="D274" s="34">
        <v>0.06</v>
      </c>
      <c r="E274" s="33">
        <f>ROUND(产出与消耗!P44*F274,0)</f>
        <v>24671140</v>
      </c>
      <c r="F274" s="34">
        <v>0.02</v>
      </c>
      <c r="G274" s="33">
        <f>ROUND(产出与消耗!P66*H274,0)</f>
        <v>23129194</v>
      </c>
      <c r="H274" s="34">
        <v>0.03</v>
      </c>
    </row>
    <row r="275" spans="1:10">
      <c r="A275" s="1"/>
      <c r="B275">
        <v>20</v>
      </c>
      <c r="C275" s="33">
        <f>ROUND(产出与消耗!P23*D275,0)</f>
        <v>80248320</v>
      </c>
      <c r="D275" s="34">
        <v>0.06</v>
      </c>
      <c r="E275" s="33">
        <f>ROUND(产出与消耗!P45*F275,0)</f>
        <v>35665920</v>
      </c>
      <c r="F275" s="34">
        <v>0.02</v>
      </c>
      <c r="G275" s="33">
        <f>ROUND(产出与消耗!P67*H275,0)</f>
        <v>33436800</v>
      </c>
      <c r="H275" s="34">
        <v>0.03</v>
      </c>
    </row>
    <row r="276" spans="1:10" s="32" customFormat="1">
      <c r="A276" s="32" t="s">
        <v>90</v>
      </c>
      <c r="C276" s="33"/>
      <c r="D276" s="36"/>
      <c r="E276" s="33"/>
      <c r="F276" s="36"/>
      <c r="G276" s="33"/>
      <c r="H276" s="36"/>
      <c r="I276" s="39"/>
      <c r="J276" s="36"/>
    </row>
    <row r="277" spans="1:10">
      <c r="A277" s="1"/>
      <c r="B277">
        <v>1</v>
      </c>
      <c r="C277" s="33">
        <f>ROUND(产出与消耗!P4*D277,0)</f>
        <v>2</v>
      </c>
      <c r="D277" s="34">
        <v>0.03</v>
      </c>
      <c r="E277" s="33">
        <f>ROUND(产出与消耗!P26*F277,0)</f>
        <v>2</v>
      </c>
      <c r="F277" s="34">
        <v>0.02</v>
      </c>
      <c r="G277" s="33">
        <f>ROUND(产出与消耗!P48*H277,0)</f>
        <v>2</v>
      </c>
      <c r="H277" s="34">
        <v>0.04</v>
      </c>
    </row>
    <row r="278" spans="1:10">
      <c r="A278" s="1"/>
      <c r="B278">
        <v>2</v>
      </c>
      <c r="C278" s="33">
        <f>ROUND(产出与消耗!P5*D278,0)</f>
        <v>19</v>
      </c>
      <c r="D278" s="34">
        <v>0.03</v>
      </c>
      <c r="E278" s="33">
        <f>ROUND(产出与消耗!P27*F278,0)</f>
        <v>17</v>
      </c>
      <c r="F278" s="34">
        <v>0.02</v>
      </c>
      <c r="G278" s="33">
        <f>ROUND(产出与消耗!P49*H278,0)</f>
        <v>21</v>
      </c>
      <c r="H278" s="34">
        <v>0.04</v>
      </c>
    </row>
    <row r="279" spans="1:10">
      <c r="A279" s="1"/>
      <c r="B279">
        <v>3</v>
      </c>
      <c r="C279" s="33">
        <f>ROUND(产出与消耗!P6*D279,0)</f>
        <v>121</v>
      </c>
      <c r="D279" s="34">
        <v>0.03</v>
      </c>
      <c r="E279" s="33">
        <f>ROUND(产出与消耗!P28*F279,0)</f>
        <v>108</v>
      </c>
      <c r="F279" s="34">
        <v>0.02</v>
      </c>
      <c r="G279" s="33">
        <f>ROUND(产出与消耗!P50*H279,0)</f>
        <v>135</v>
      </c>
      <c r="H279" s="34">
        <v>0.04</v>
      </c>
    </row>
    <row r="280" spans="1:10">
      <c r="A280" s="1"/>
      <c r="B280">
        <v>4</v>
      </c>
      <c r="C280" s="33">
        <f>ROUND(产出与消耗!P7*D280,0)</f>
        <v>490</v>
      </c>
      <c r="D280" s="34">
        <v>0.03</v>
      </c>
      <c r="E280" s="33">
        <f>ROUND(产出与消耗!P29*F280,0)</f>
        <v>435</v>
      </c>
      <c r="F280" s="34">
        <v>0.02</v>
      </c>
      <c r="G280" s="33">
        <f>ROUND(产出与消耗!P51*H280,0)</f>
        <v>544</v>
      </c>
      <c r="H280" s="34">
        <v>0.04</v>
      </c>
    </row>
    <row r="281" spans="1:10">
      <c r="A281" s="1"/>
      <c r="B281">
        <v>5</v>
      </c>
      <c r="C281" s="33">
        <f>ROUND(产出与消耗!P8*D281,0)</f>
        <v>1586</v>
      </c>
      <c r="D281" s="34">
        <v>0.03</v>
      </c>
      <c r="E281" s="33">
        <f>ROUND(产出与消耗!P30*F281,0)</f>
        <v>1410</v>
      </c>
      <c r="F281" s="34">
        <v>0.02</v>
      </c>
      <c r="G281" s="33">
        <f>ROUND(产出与消耗!P52*H281,0)</f>
        <v>1763</v>
      </c>
      <c r="H281" s="34">
        <v>0.04</v>
      </c>
    </row>
    <row r="282" spans="1:10">
      <c r="A282" s="1"/>
      <c r="B282">
        <v>6</v>
      </c>
      <c r="C282" s="33">
        <f>ROUND(产出与消耗!P9*D282,0)</f>
        <v>4529</v>
      </c>
      <c r="D282" s="34">
        <v>0.03</v>
      </c>
      <c r="E282" s="33">
        <f>ROUND(产出与消耗!P31*F282,0)</f>
        <v>4026</v>
      </c>
      <c r="F282" s="34">
        <v>0.02</v>
      </c>
      <c r="G282" s="33">
        <f>ROUND(产出与消耗!P53*H282,0)</f>
        <v>5032</v>
      </c>
      <c r="H282" s="34">
        <v>0.04</v>
      </c>
    </row>
    <row r="283" spans="1:10">
      <c r="A283" s="1"/>
      <c r="B283">
        <v>7</v>
      </c>
      <c r="C283" s="33">
        <f>ROUND(产出与消耗!P10*D283,0)</f>
        <v>12770</v>
      </c>
      <c r="D283" s="34">
        <v>0.03</v>
      </c>
      <c r="E283" s="33">
        <f>ROUND(产出与消耗!P32*F283,0)</f>
        <v>11351</v>
      </c>
      <c r="F283" s="34">
        <v>0.02</v>
      </c>
      <c r="G283" s="33">
        <f>ROUND(产出与消耗!P54*H283,0)</f>
        <v>14189</v>
      </c>
      <c r="H283" s="34">
        <v>0.04</v>
      </c>
    </row>
    <row r="284" spans="1:10">
      <c r="A284" s="1"/>
      <c r="B284">
        <v>8</v>
      </c>
      <c r="C284" s="33">
        <f>ROUND(产出与消耗!P11*D284,0)</f>
        <v>40927</v>
      </c>
      <c r="D284" s="34">
        <v>0.03</v>
      </c>
      <c r="E284" s="33">
        <f>ROUND(产出与消耗!P33*F284,0)</f>
        <v>36379</v>
      </c>
      <c r="F284" s="34">
        <v>0.02</v>
      </c>
      <c r="G284" s="33">
        <f>ROUND(产出与消耗!P55*H284,0)</f>
        <v>45474</v>
      </c>
      <c r="H284" s="34">
        <v>0.04</v>
      </c>
    </row>
    <row r="285" spans="1:10">
      <c r="A285" s="1"/>
      <c r="B285">
        <v>9</v>
      </c>
      <c r="C285" s="33">
        <f>ROUND(产出与消耗!P12*D285,0)</f>
        <v>97216</v>
      </c>
      <c r="D285" s="34">
        <v>0.03</v>
      </c>
      <c r="E285" s="33">
        <f>ROUND(产出与消耗!P34*F285,0)</f>
        <v>86414</v>
      </c>
      <c r="F285" s="34">
        <v>0.02</v>
      </c>
      <c r="G285" s="33">
        <f>ROUND(产出与消耗!P56*H285,0)</f>
        <v>108017</v>
      </c>
      <c r="H285" s="34">
        <v>0.04</v>
      </c>
    </row>
    <row r="286" spans="1:10">
      <c r="A286" s="1"/>
      <c r="B286">
        <v>10</v>
      </c>
      <c r="C286" s="33">
        <f>ROUND(产出与消耗!P13*D286,0)</f>
        <v>232658</v>
      </c>
      <c r="D286" s="34">
        <v>0.03</v>
      </c>
      <c r="E286" s="33">
        <f>ROUND(产出与消耗!P35*F286,0)</f>
        <v>206807</v>
      </c>
      <c r="F286" s="34">
        <v>0.02</v>
      </c>
      <c r="G286" s="33">
        <f>ROUND(产出与消耗!P57*H286,0)</f>
        <v>258509</v>
      </c>
      <c r="H286" s="34">
        <v>0.04</v>
      </c>
    </row>
    <row r="287" spans="1:10">
      <c r="A287" s="1"/>
      <c r="B287">
        <v>11</v>
      </c>
      <c r="C287" s="33">
        <f>ROUND(产出与消耗!P14*D287,0)</f>
        <v>476171</v>
      </c>
      <c r="D287" s="34">
        <v>0.03</v>
      </c>
      <c r="E287" s="33">
        <f>ROUND(产出与消耗!P36*F287,0)</f>
        <v>423263</v>
      </c>
      <c r="F287" s="34">
        <v>0.02</v>
      </c>
      <c r="G287" s="33">
        <f>ROUND(产出与消耗!P58*H287,0)</f>
        <v>529079</v>
      </c>
      <c r="H287" s="34">
        <v>0.04</v>
      </c>
    </row>
    <row r="288" spans="1:10">
      <c r="A288" s="1"/>
      <c r="B288">
        <v>12</v>
      </c>
      <c r="C288" s="33">
        <f>ROUND(产出与消耗!P15*D288,0)</f>
        <v>1062357</v>
      </c>
      <c r="D288" s="34">
        <v>0.03</v>
      </c>
      <c r="E288" s="33">
        <f>ROUND(产出与消耗!P37*F288,0)</f>
        <v>944317</v>
      </c>
      <c r="F288" s="34">
        <v>0.02</v>
      </c>
      <c r="G288" s="33">
        <f>ROUND(产出与消耗!P59*H288,0)</f>
        <v>1180397</v>
      </c>
      <c r="H288" s="34">
        <v>0.04</v>
      </c>
    </row>
    <row r="289" spans="1:10">
      <c r="A289" s="1"/>
      <c r="B289">
        <v>13</v>
      </c>
      <c r="C289" s="33">
        <f>ROUND(产出与消耗!P16*D289,0)</f>
        <v>2060329</v>
      </c>
      <c r="D289" s="34">
        <v>0.03</v>
      </c>
      <c r="E289" s="33">
        <f>ROUND(产出与消耗!P38*F289,0)</f>
        <v>1831404</v>
      </c>
      <c r="F289" s="34">
        <v>0.02</v>
      </c>
      <c r="G289" s="33">
        <f>ROUND(产出与消耗!P60*H289,0)</f>
        <v>2289254</v>
      </c>
      <c r="H289" s="34">
        <v>0.04</v>
      </c>
    </row>
    <row r="290" spans="1:10">
      <c r="A290" s="1"/>
      <c r="B290">
        <v>14</v>
      </c>
      <c r="C290" s="33">
        <f>ROUND(产出与消耗!P17*D290,0)</f>
        <v>3553321</v>
      </c>
      <c r="D290" s="34">
        <v>0.03</v>
      </c>
      <c r="E290" s="33">
        <f>ROUND(产出与消耗!P39*F290,0)</f>
        <v>3158508</v>
      </c>
      <c r="F290" s="34">
        <v>0.02</v>
      </c>
      <c r="G290" s="33">
        <f>ROUND(产出与消耗!P61*H290,0)</f>
        <v>3948134</v>
      </c>
      <c r="H290" s="34">
        <v>0.04</v>
      </c>
    </row>
    <row r="291" spans="1:10">
      <c r="A291" s="1"/>
      <c r="B291">
        <v>15</v>
      </c>
      <c r="C291" s="33">
        <f>ROUND(产出与消耗!P18*D291,0)</f>
        <v>5832000</v>
      </c>
      <c r="D291" s="34">
        <v>0.03</v>
      </c>
      <c r="E291" s="33">
        <f>ROUND(产出与消耗!P40*F291,0)</f>
        <v>5184000</v>
      </c>
      <c r="F291" s="34">
        <v>0.02</v>
      </c>
      <c r="G291" s="33">
        <f>ROUND(产出与消耗!P62*H291,0)</f>
        <v>6480000</v>
      </c>
      <c r="H291" s="34">
        <v>0.04</v>
      </c>
    </row>
    <row r="292" spans="1:10">
      <c r="A292" s="1"/>
      <c r="B292">
        <v>16</v>
      </c>
      <c r="C292" s="33">
        <f>ROUND(产出与消耗!P19*D292,0)</f>
        <v>9021093</v>
      </c>
      <c r="D292" s="34">
        <v>0.03</v>
      </c>
      <c r="E292" s="33">
        <f>ROUND(产出与消耗!P41*F292,0)</f>
        <v>8018749</v>
      </c>
      <c r="F292" s="34">
        <v>0.02</v>
      </c>
      <c r="G292" s="33">
        <f>ROUND(产出与消耗!P63*H292,0)</f>
        <v>10023437</v>
      </c>
      <c r="H292" s="34">
        <v>0.04</v>
      </c>
    </row>
    <row r="293" spans="1:10">
      <c r="A293" s="1"/>
      <c r="B293">
        <v>17</v>
      </c>
      <c r="C293" s="33">
        <f>ROUND(产出与消耗!P20*D293,0)</f>
        <v>13473040</v>
      </c>
      <c r="D293" s="34">
        <v>0.03</v>
      </c>
      <c r="E293" s="33">
        <f>ROUND(产出与消耗!P42*F293,0)</f>
        <v>11976035</v>
      </c>
      <c r="F293" s="34">
        <v>0.02</v>
      </c>
      <c r="G293" s="33">
        <f>ROUND(产出与消耗!P64*H293,0)</f>
        <v>14970044</v>
      </c>
      <c r="H293" s="34">
        <v>0.04</v>
      </c>
    </row>
    <row r="294" spans="1:10">
      <c r="A294" s="1"/>
      <c r="B294">
        <v>18</v>
      </c>
      <c r="C294" s="33">
        <f>ROUND(产出与消耗!P21*D294,0)</f>
        <v>19595520</v>
      </c>
      <c r="D294" s="34">
        <v>0.03</v>
      </c>
      <c r="E294" s="33">
        <f>ROUND(产出与消耗!P43*F294,0)</f>
        <v>17418240</v>
      </c>
      <c r="F294" s="34">
        <v>0.02</v>
      </c>
      <c r="G294" s="33">
        <f>ROUND(产出与消耗!P65*H294,0)</f>
        <v>21772800</v>
      </c>
      <c r="H294" s="34">
        <v>0.04</v>
      </c>
    </row>
    <row r="295" spans="1:10">
      <c r="A295" s="1"/>
      <c r="B295">
        <v>19</v>
      </c>
      <c r="C295" s="33">
        <f>ROUND(产出与消耗!P22*D295,0)</f>
        <v>27755032</v>
      </c>
      <c r="D295" s="34">
        <v>0.03</v>
      </c>
      <c r="E295" s="33">
        <f>ROUND(产出与消耗!P44*F295,0)</f>
        <v>24671140</v>
      </c>
      <c r="F295" s="34">
        <v>0.02</v>
      </c>
      <c r="G295" s="33">
        <f>ROUND(产出与消耗!P66*H295,0)</f>
        <v>30838925</v>
      </c>
      <c r="H295" s="34">
        <v>0.04</v>
      </c>
    </row>
    <row r="296" spans="1:10">
      <c r="A296" s="1"/>
      <c r="B296">
        <v>20</v>
      </c>
      <c r="C296" s="33">
        <f>ROUND(产出与消耗!P23*D296,0)</f>
        <v>40124160</v>
      </c>
      <c r="D296" s="34">
        <v>0.03</v>
      </c>
      <c r="E296" s="33">
        <f>ROUND(产出与消耗!P45*F296,0)</f>
        <v>35665920</v>
      </c>
      <c r="F296" s="34">
        <v>0.02</v>
      </c>
      <c r="G296" s="33">
        <f>ROUND(产出与消耗!P67*H296,0)</f>
        <v>44582400</v>
      </c>
      <c r="H296" s="34">
        <v>0.04</v>
      </c>
    </row>
    <row r="297" spans="1:10" s="32" customFormat="1">
      <c r="A297" s="32" t="s">
        <v>91</v>
      </c>
      <c r="C297" s="33"/>
      <c r="D297" s="36"/>
      <c r="E297" s="33"/>
      <c r="F297" s="36"/>
      <c r="G297" s="33"/>
      <c r="H297" s="36"/>
      <c r="I297" s="39"/>
      <c r="J297" s="36"/>
    </row>
    <row r="298" spans="1:10">
      <c r="B298">
        <v>1</v>
      </c>
      <c r="C298" s="33">
        <f>ROUND(产出与消耗!P4*D298,0)</f>
        <v>3</v>
      </c>
      <c r="D298" s="34">
        <v>0.05</v>
      </c>
      <c r="E298" s="33">
        <f>ROUND(产出与消耗!P26*F298,0)</f>
        <v>5</v>
      </c>
      <c r="F298" s="34">
        <v>7.0000000000000007E-2</v>
      </c>
      <c r="G298" s="33">
        <f>ROUND(产出与消耗!P48*H298,0)</f>
        <v>3</v>
      </c>
      <c r="H298" s="34">
        <v>7.0000000000000007E-2</v>
      </c>
    </row>
    <row r="299" spans="1:10">
      <c r="B299">
        <v>2</v>
      </c>
      <c r="C299" s="33">
        <f>ROUND(产出与消耗!P5*D299,0)</f>
        <v>31</v>
      </c>
      <c r="D299" s="34">
        <v>0.05</v>
      </c>
      <c r="E299" s="33">
        <f>ROUND(产出与消耗!P27*F299,0)</f>
        <v>58</v>
      </c>
      <c r="F299" s="34">
        <v>7.0000000000000007E-2</v>
      </c>
      <c r="G299" s="33">
        <f>ROUND(产出与消耗!P49*H299,0)</f>
        <v>36</v>
      </c>
      <c r="H299" s="34">
        <v>7.0000000000000007E-2</v>
      </c>
    </row>
    <row r="300" spans="1:10">
      <c r="B300">
        <v>3</v>
      </c>
      <c r="C300" s="33">
        <f>ROUND(产出与消耗!P6*D300,0)</f>
        <v>202</v>
      </c>
      <c r="D300" s="34">
        <v>0.05</v>
      </c>
      <c r="E300" s="33">
        <f>ROUND(产出与消耗!P28*F300,0)</f>
        <v>377</v>
      </c>
      <c r="F300" s="34">
        <v>7.0000000000000007E-2</v>
      </c>
      <c r="G300" s="33">
        <f>ROUND(产出与消耗!P50*H300,0)</f>
        <v>236</v>
      </c>
      <c r="H300" s="34">
        <v>7.0000000000000007E-2</v>
      </c>
    </row>
    <row r="301" spans="1:10">
      <c r="B301">
        <v>4</v>
      </c>
      <c r="C301" s="33">
        <f>ROUND(产出与消耗!P7*D301,0)</f>
        <v>817</v>
      </c>
      <c r="D301" s="34">
        <v>0.05</v>
      </c>
      <c r="E301" s="33">
        <f>ROUND(产出与消耗!P29*F301,0)</f>
        <v>1524</v>
      </c>
      <c r="F301" s="34">
        <v>7.0000000000000007E-2</v>
      </c>
      <c r="G301" s="33">
        <f>ROUND(产出与消耗!P51*H301,0)</f>
        <v>953</v>
      </c>
      <c r="H301" s="34">
        <v>7.0000000000000007E-2</v>
      </c>
    </row>
    <row r="302" spans="1:10">
      <c r="B302">
        <v>5</v>
      </c>
      <c r="C302" s="33">
        <f>ROUND(产出与消耗!P8*D302,0)</f>
        <v>2644</v>
      </c>
      <c r="D302" s="34">
        <v>0.05</v>
      </c>
      <c r="E302" s="33">
        <f>ROUND(产出与消耗!P30*F302,0)</f>
        <v>4935</v>
      </c>
      <c r="F302" s="34">
        <v>7.0000000000000007E-2</v>
      </c>
      <c r="G302" s="33">
        <f>ROUND(产出与消耗!P52*H302,0)</f>
        <v>3084</v>
      </c>
      <c r="H302" s="34">
        <v>7.0000000000000007E-2</v>
      </c>
    </row>
    <row r="303" spans="1:10">
      <c r="B303">
        <v>6</v>
      </c>
      <c r="C303" s="33">
        <f>ROUND(产出与消耗!P9*D303,0)</f>
        <v>7548</v>
      </c>
      <c r="D303" s="34">
        <v>0.05</v>
      </c>
      <c r="E303" s="33">
        <f>ROUND(产出与消耗!P31*F303,0)</f>
        <v>14089</v>
      </c>
      <c r="F303" s="34">
        <v>7.0000000000000007E-2</v>
      </c>
      <c r="G303" s="33">
        <f>ROUND(产出与消耗!P53*H303,0)</f>
        <v>8806</v>
      </c>
      <c r="H303" s="34">
        <v>7.0000000000000007E-2</v>
      </c>
    </row>
    <row r="304" spans="1:10">
      <c r="B304">
        <v>7</v>
      </c>
      <c r="C304" s="33">
        <f>ROUND(产出与消耗!P10*D304,0)</f>
        <v>21283</v>
      </c>
      <c r="D304" s="34">
        <v>0.05</v>
      </c>
      <c r="E304" s="33">
        <f>ROUND(产出与消耗!P32*F304,0)</f>
        <v>39728</v>
      </c>
      <c r="F304" s="34">
        <v>7.0000000000000007E-2</v>
      </c>
      <c r="G304" s="33">
        <f>ROUND(产出与消耗!P54*H304,0)</f>
        <v>24830</v>
      </c>
      <c r="H304" s="34">
        <v>7.0000000000000007E-2</v>
      </c>
    </row>
    <row r="305" spans="2:8">
      <c r="B305">
        <v>8</v>
      </c>
      <c r="C305" s="33">
        <f>ROUND(产出与消耗!P11*D305,0)</f>
        <v>68211</v>
      </c>
      <c r="D305" s="34">
        <v>0.05</v>
      </c>
      <c r="E305" s="33">
        <f>ROUND(产出与消耗!P33*F305,0)</f>
        <v>127327</v>
      </c>
      <c r="F305" s="34">
        <v>7.0000000000000007E-2</v>
      </c>
      <c r="G305" s="33">
        <f>ROUND(产出与消耗!P55*H305,0)</f>
        <v>79580</v>
      </c>
      <c r="H305" s="34">
        <v>7.0000000000000007E-2</v>
      </c>
    </row>
    <row r="306" spans="2:8">
      <c r="B306">
        <v>9</v>
      </c>
      <c r="C306" s="33">
        <f>ROUND(产出与消耗!P12*D306,0)</f>
        <v>162026</v>
      </c>
      <c r="D306" s="34">
        <v>0.05</v>
      </c>
      <c r="E306" s="33">
        <f>ROUND(产出与消耗!P34*F306,0)</f>
        <v>302448</v>
      </c>
      <c r="F306" s="34">
        <v>7.0000000000000007E-2</v>
      </c>
      <c r="G306" s="33">
        <f>ROUND(产出与消耗!P56*H306,0)</f>
        <v>189030</v>
      </c>
      <c r="H306" s="34">
        <v>7.0000000000000007E-2</v>
      </c>
    </row>
    <row r="307" spans="2:8">
      <c r="B307">
        <v>10</v>
      </c>
      <c r="C307" s="33">
        <f>ROUND(产出与消耗!P13*D307,0)</f>
        <v>387763</v>
      </c>
      <c r="D307" s="34">
        <v>0.05</v>
      </c>
      <c r="E307" s="33">
        <f>ROUND(产出与消耗!P35*F307,0)</f>
        <v>723825</v>
      </c>
      <c r="F307" s="34">
        <v>7.0000000000000007E-2</v>
      </c>
      <c r="G307" s="33">
        <f>ROUND(产出与消耗!P57*H307,0)</f>
        <v>452390</v>
      </c>
      <c r="H307" s="34">
        <v>7.0000000000000007E-2</v>
      </c>
    </row>
    <row r="308" spans="2:8">
      <c r="B308">
        <v>11</v>
      </c>
      <c r="C308" s="33">
        <f>ROUND(产出与消耗!P14*D308,0)</f>
        <v>793619</v>
      </c>
      <c r="D308" s="34">
        <v>0.05</v>
      </c>
      <c r="E308" s="33">
        <f>ROUND(产出与消耗!P36*F308,0)</f>
        <v>1481421</v>
      </c>
      <c r="F308" s="34">
        <v>7.0000000000000007E-2</v>
      </c>
      <c r="G308" s="33">
        <f>ROUND(产出与消耗!P58*H308,0)</f>
        <v>925888</v>
      </c>
      <c r="H308" s="34">
        <v>7.0000000000000007E-2</v>
      </c>
    </row>
    <row r="309" spans="2:8">
      <c r="B309">
        <v>12</v>
      </c>
      <c r="C309" s="33">
        <f>ROUND(产出与消耗!P15*D309,0)</f>
        <v>1770595</v>
      </c>
      <c r="D309" s="34">
        <v>0.05</v>
      </c>
      <c r="E309" s="33">
        <f>ROUND(产出与消耗!P37*F309,0)</f>
        <v>3305111</v>
      </c>
      <c r="F309" s="34">
        <v>7.0000000000000007E-2</v>
      </c>
      <c r="G309" s="33">
        <f>ROUND(产出与消耗!P59*H309,0)</f>
        <v>2065694</v>
      </c>
      <c r="H309" s="34">
        <v>7.0000000000000007E-2</v>
      </c>
    </row>
    <row r="310" spans="2:8">
      <c r="B310">
        <v>13</v>
      </c>
      <c r="C310" s="33">
        <f>ROUND(产出与消耗!P16*D310,0)</f>
        <v>3433882</v>
      </c>
      <c r="D310" s="34">
        <v>0.05</v>
      </c>
      <c r="E310" s="33">
        <f>ROUND(产出与消耗!P38*F310,0)</f>
        <v>6409912</v>
      </c>
      <c r="F310" s="34">
        <v>7.0000000000000007E-2</v>
      </c>
      <c r="G310" s="33">
        <f>ROUND(产出与消耗!P60*H310,0)</f>
        <v>4006195</v>
      </c>
      <c r="H310" s="34">
        <v>7.0000000000000007E-2</v>
      </c>
    </row>
    <row r="311" spans="2:8">
      <c r="B311">
        <v>14</v>
      </c>
      <c r="C311" s="33">
        <f>ROUND(产出与消耗!P17*D311,0)</f>
        <v>5922202</v>
      </c>
      <c r="D311" s="34">
        <v>0.05</v>
      </c>
      <c r="E311" s="33">
        <f>ROUND(产出与消耗!P39*F311,0)</f>
        <v>11054776</v>
      </c>
      <c r="F311" s="34">
        <v>7.0000000000000007E-2</v>
      </c>
      <c r="G311" s="33">
        <f>ROUND(产出与消耗!P61*H311,0)</f>
        <v>6909235</v>
      </c>
      <c r="H311" s="34">
        <v>7.0000000000000007E-2</v>
      </c>
    </row>
    <row r="312" spans="2:8">
      <c r="B312">
        <v>15</v>
      </c>
      <c r="C312" s="33">
        <f>ROUND(产出与消耗!P18*D312,0)</f>
        <v>9720000</v>
      </c>
      <c r="D312" s="34">
        <v>0.05</v>
      </c>
      <c r="E312" s="33">
        <f>ROUND(产出与消耗!P40*F312,0)</f>
        <v>18144000</v>
      </c>
      <c r="F312" s="34">
        <v>7.0000000000000007E-2</v>
      </c>
      <c r="G312" s="33">
        <f>ROUND(产出与消耗!P62*H312,0)</f>
        <v>11340000</v>
      </c>
      <c r="H312" s="34">
        <v>7.0000000000000007E-2</v>
      </c>
    </row>
    <row r="313" spans="2:8">
      <c r="B313">
        <v>16</v>
      </c>
      <c r="C313" s="33">
        <f>ROUND(产出与消耗!P19*D313,0)</f>
        <v>15035155</v>
      </c>
      <c r="D313" s="34">
        <v>0.05</v>
      </c>
      <c r="E313" s="33">
        <f>ROUND(产出与消耗!P41*F313,0)</f>
        <v>28065623</v>
      </c>
      <c r="F313" s="34">
        <v>7.0000000000000007E-2</v>
      </c>
      <c r="G313" s="33">
        <f>ROUND(产出与消耗!P63*H313,0)</f>
        <v>17541014</v>
      </c>
      <c r="H313" s="34">
        <v>7.0000000000000007E-2</v>
      </c>
    </row>
    <row r="314" spans="2:8">
      <c r="B314">
        <v>17</v>
      </c>
      <c r="C314" s="33">
        <f>ROUND(产出与消耗!P20*D314,0)</f>
        <v>22455066</v>
      </c>
      <c r="D314" s="34">
        <v>0.05</v>
      </c>
      <c r="E314" s="33">
        <f>ROUND(产出与消耗!P42*F314,0)</f>
        <v>41916124</v>
      </c>
      <c r="F314" s="34">
        <v>7.0000000000000007E-2</v>
      </c>
      <c r="G314" s="33">
        <f>ROUND(产出与消耗!P64*H314,0)</f>
        <v>26197577</v>
      </c>
      <c r="H314" s="34">
        <v>7.0000000000000007E-2</v>
      </c>
    </row>
    <row r="315" spans="2:8">
      <c r="B315">
        <v>18</v>
      </c>
      <c r="C315" s="33">
        <f>ROUND(产出与消耗!P21*D315,0)</f>
        <v>32659200</v>
      </c>
      <c r="D315" s="34">
        <v>0.05</v>
      </c>
      <c r="E315" s="33">
        <f>ROUND(产出与消耗!P43*F315,0)</f>
        <v>60963840</v>
      </c>
      <c r="F315" s="34">
        <v>7.0000000000000007E-2</v>
      </c>
      <c r="G315" s="33">
        <f>ROUND(产出与消耗!P65*H315,0)</f>
        <v>38102400</v>
      </c>
      <c r="H315" s="34">
        <v>7.0000000000000007E-2</v>
      </c>
    </row>
    <row r="316" spans="2:8">
      <c r="B316">
        <v>19</v>
      </c>
      <c r="C316" s="33">
        <f>ROUND(产出与消耗!P22*D316,0)</f>
        <v>46258387</v>
      </c>
      <c r="D316" s="34">
        <v>0.05</v>
      </c>
      <c r="E316" s="33">
        <f>ROUND(产出与消耗!P44*F316,0)</f>
        <v>86348989</v>
      </c>
      <c r="F316" s="34">
        <v>7.0000000000000007E-2</v>
      </c>
      <c r="G316" s="33">
        <f>ROUND(产出与消耗!P66*H316,0)</f>
        <v>53968118</v>
      </c>
      <c r="H316" s="34">
        <v>7.0000000000000007E-2</v>
      </c>
    </row>
    <row r="317" spans="2:8">
      <c r="B317">
        <v>20</v>
      </c>
      <c r="C317" s="33">
        <f>ROUND(产出与消耗!P23*D317,0)</f>
        <v>66873600</v>
      </c>
      <c r="D317" s="34">
        <v>0.05</v>
      </c>
      <c r="E317" s="33">
        <f>ROUND(产出与消耗!P45*F317,0)</f>
        <v>124830720</v>
      </c>
      <c r="F317" s="34">
        <v>7.0000000000000007E-2</v>
      </c>
      <c r="G317" s="33">
        <f>ROUND(产出与消耗!P67*H317,0)</f>
        <v>78019200</v>
      </c>
      <c r="H317" s="34">
        <v>7.0000000000000007E-2</v>
      </c>
    </row>
  </sheetData>
  <phoneticPr fontId="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topLeftCell="A181" workbookViewId="0">
      <selection activeCell="I128" sqref="I128:I147"/>
    </sheetView>
  </sheetViews>
  <sheetFormatPr defaultColWidth="9" defaultRowHeight="13.5"/>
  <cols>
    <col min="1" max="1" width="10.25" customWidth="1"/>
    <col min="2" max="2" width="10.25" style="14" customWidth="1"/>
    <col min="3" max="3" width="10.25" style="27" customWidth="1"/>
    <col min="4" max="4" width="13.25" style="14" customWidth="1"/>
    <col min="5" max="6" width="10.25" style="27" customWidth="1"/>
    <col min="7" max="7" width="11.625" customWidth="1"/>
    <col min="8" max="8" width="12.75" customWidth="1"/>
    <col min="9" max="9" width="12.875" customWidth="1"/>
    <col min="10" max="10" width="16.875" customWidth="1"/>
    <col min="11" max="11" width="11.5" customWidth="1"/>
  </cols>
  <sheetData>
    <row r="1" spans="1:8" s="7" customFormat="1" ht="27">
      <c r="A1" s="7" t="s">
        <v>81</v>
      </c>
      <c r="B1" s="28" t="s">
        <v>230</v>
      </c>
      <c r="C1" s="29" t="s">
        <v>231</v>
      </c>
      <c r="D1" s="28" t="s">
        <v>232</v>
      </c>
      <c r="E1" s="29" t="s">
        <v>233</v>
      </c>
      <c r="F1" s="29" t="s">
        <v>234</v>
      </c>
      <c r="G1" s="7" t="s">
        <v>235</v>
      </c>
      <c r="H1" s="7" t="s">
        <v>236</v>
      </c>
    </row>
    <row r="2" spans="1:8">
      <c r="A2">
        <v>1</v>
      </c>
      <c r="B2" s="30">
        <f>ROUND(H23*基本公式!$B$162,0)</f>
        <v>240</v>
      </c>
      <c r="C2" s="27">
        <f>其他表格!G28*基本公式!$B$4*基本公式!$B$120</f>
        <v>1.9575055271595899E-2</v>
      </c>
      <c r="D2" s="30">
        <f>ROUND(E2*3600,0)</f>
        <v>70</v>
      </c>
      <c r="E2" s="27">
        <f>C2</f>
        <v>1.9575055271595899E-2</v>
      </c>
      <c r="F2" s="27">
        <f>E2/24</f>
        <v>8.1562730298316295E-4</v>
      </c>
      <c r="G2" s="13">
        <v>1</v>
      </c>
      <c r="H2">
        <v>12</v>
      </c>
    </row>
    <row r="3" spans="1:8">
      <c r="A3">
        <v>2</v>
      </c>
      <c r="B3" s="30">
        <f>ROUND(H24*基本公式!$B$162,0)</f>
        <v>465</v>
      </c>
      <c r="C3" s="27">
        <f>其他表格!G29*基本公式!$B$4*基本公式!$B$120</f>
        <v>0.1720732427561</v>
      </c>
      <c r="D3" s="30">
        <f t="shared" ref="D3" si="0">ROUND(E3*3600,0)</f>
        <v>549</v>
      </c>
      <c r="E3" s="27">
        <f t="shared" ref="E3" si="1">C3-C2</f>
        <v>0.152498187484504</v>
      </c>
      <c r="F3" s="27">
        <f t="shared" ref="F3" si="2">E3/24</f>
        <v>6.3540911451876797E-3</v>
      </c>
      <c r="G3" s="13">
        <v>1</v>
      </c>
      <c r="H3">
        <v>13</v>
      </c>
    </row>
    <row r="4" spans="1:8">
      <c r="A4">
        <v>3</v>
      </c>
      <c r="B4" s="30">
        <f>ROUND(H25*基本公式!$B$162,0)</f>
        <v>690</v>
      </c>
      <c r="C4" s="27">
        <f>其他表格!G30*基本公式!$B$4*基本公式!$B$120</f>
        <v>0.72451891686779102</v>
      </c>
      <c r="D4" s="30">
        <f t="shared" ref="D4:D21" si="3">ROUND(E4*3600,0)</f>
        <v>1989</v>
      </c>
      <c r="E4" s="27">
        <f t="shared" ref="E4:E21" si="4">C4-C3</f>
        <v>0.55244567411168999</v>
      </c>
      <c r="F4" s="27">
        <f t="shared" ref="F4:F21" si="5">E4/24</f>
        <v>2.30185697546538E-2</v>
      </c>
      <c r="G4" s="13">
        <v>1</v>
      </c>
      <c r="H4">
        <v>14</v>
      </c>
    </row>
    <row r="5" spans="1:8">
      <c r="A5">
        <v>4</v>
      </c>
      <c r="B5" s="30">
        <f>ROUND(H26*基本公式!$B$162,0)</f>
        <v>1140</v>
      </c>
      <c r="C5" s="27">
        <f>其他表格!G31*基本公式!$B$4*基本公式!$B$120</f>
        <v>1.7159658557394999</v>
      </c>
      <c r="D5" s="30">
        <f t="shared" si="3"/>
        <v>3569</v>
      </c>
      <c r="E5" s="27">
        <f t="shared" si="4"/>
        <v>0.99144693887171298</v>
      </c>
      <c r="F5" s="27">
        <f t="shared" si="5"/>
        <v>4.1310289119654703E-2</v>
      </c>
      <c r="G5" s="13">
        <v>2</v>
      </c>
      <c r="H5">
        <v>15</v>
      </c>
    </row>
    <row r="6" spans="1:8">
      <c r="A6">
        <v>5</v>
      </c>
      <c r="B6" s="30">
        <f>ROUND(H27*基本公式!$B$162,0)</f>
        <v>1895</v>
      </c>
      <c r="C6" s="27">
        <f>其他表格!G32*基本公式!$B$4*基本公式!$B$120</f>
        <v>3.4118619353884898</v>
      </c>
      <c r="D6" s="30">
        <f t="shared" si="3"/>
        <v>6105</v>
      </c>
      <c r="E6" s="27">
        <f t="shared" si="4"/>
        <v>1.6958960796489799</v>
      </c>
      <c r="F6" s="27">
        <f t="shared" si="5"/>
        <v>7.0662336652040997E-2</v>
      </c>
      <c r="G6" s="13">
        <v>2</v>
      </c>
      <c r="H6">
        <v>16</v>
      </c>
    </row>
    <row r="7" spans="1:8">
      <c r="A7">
        <v>6</v>
      </c>
      <c r="B7" s="30">
        <f>ROUND(H28*基本公式!$B$162,0)</f>
        <v>4825</v>
      </c>
      <c r="C7" s="27">
        <f>其他表格!G33*基本公式!$B$4*基本公式!$B$120</f>
        <v>5.9153024266797303</v>
      </c>
      <c r="D7" s="30">
        <f t="shared" si="3"/>
        <v>9012</v>
      </c>
      <c r="E7" s="27">
        <f t="shared" si="4"/>
        <v>2.50344049129124</v>
      </c>
      <c r="F7" s="27">
        <f t="shared" si="5"/>
        <v>0.104310020470468</v>
      </c>
      <c r="G7" s="13">
        <v>2</v>
      </c>
      <c r="H7">
        <v>17</v>
      </c>
    </row>
    <row r="8" spans="1:8">
      <c r="A8">
        <v>7</v>
      </c>
      <c r="B8" s="30">
        <f>ROUND(H29*基本公式!$B$162,0)</f>
        <v>9505</v>
      </c>
      <c r="C8" s="27">
        <f>其他表格!G34*基本公式!$B$4*基本公式!$B$120</f>
        <v>10.229470361927399</v>
      </c>
      <c r="D8" s="30">
        <f t="shared" si="3"/>
        <v>15531</v>
      </c>
      <c r="E8" s="27">
        <f t="shared" si="4"/>
        <v>4.3141679352476201</v>
      </c>
      <c r="F8" s="27">
        <f t="shared" si="5"/>
        <v>0.179756997301984</v>
      </c>
      <c r="G8" s="13">
        <v>3</v>
      </c>
      <c r="H8">
        <v>18</v>
      </c>
    </row>
    <row r="9" spans="1:8">
      <c r="A9">
        <v>8</v>
      </c>
      <c r="B9" s="30">
        <f>ROUND(H30*基本公式!$B$162,0)</f>
        <v>17090</v>
      </c>
      <c r="C9" s="27">
        <f>其他表格!G35*基本公式!$B$4*基本公式!$B$120</f>
        <v>20.131223137889101</v>
      </c>
      <c r="D9" s="30">
        <f t="shared" si="3"/>
        <v>35646</v>
      </c>
      <c r="E9" s="27">
        <f t="shared" si="4"/>
        <v>9.9017527759617199</v>
      </c>
      <c r="F9" s="27">
        <f t="shared" si="5"/>
        <v>0.41257303233173798</v>
      </c>
      <c r="G9" s="13">
        <v>3</v>
      </c>
      <c r="H9">
        <v>19</v>
      </c>
    </row>
    <row r="10" spans="1:8">
      <c r="A10">
        <v>9</v>
      </c>
      <c r="B10" s="30">
        <f>ROUND(H31*基本公式!$B$162,0)</f>
        <v>24655</v>
      </c>
      <c r="C10" s="27">
        <f>其他表格!G36*基本公式!$B$4*基本公式!$B$120</f>
        <v>34.496587996382701</v>
      </c>
      <c r="D10" s="30">
        <f t="shared" si="3"/>
        <v>51715</v>
      </c>
      <c r="E10" s="27">
        <f t="shared" si="4"/>
        <v>14.365364858493701</v>
      </c>
      <c r="F10" s="27">
        <f t="shared" si="5"/>
        <v>0.59855686910390304</v>
      </c>
      <c r="G10" s="13">
        <v>4</v>
      </c>
      <c r="H10">
        <v>19</v>
      </c>
    </row>
    <row r="11" spans="1:8">
      <c r="A11">
        <v>10</v>
      </c>
      <c r="B11" s="30">
        <f>ROUND(H32*基本公式!$B$162,0)</f>
        <v>37495</v>
      </c>
      <c r="C11" s="27">
        <f>其他表格!G37*基本公式!$B$4*基本公式!$B$120</f>
        <v>57.062025257174497</v>
      </c>
      <c r="D11" s="30">
        <f t="shared" si="3"/>
        <v>81236</v>
      </c>
      <c r="E11" s="27">
        <f t="shared" si="4"/>
        <v>22.5654372607917</v>
      </c>
      <c r="F11" s="27">
        <f t="shared" si="5"/>
        <v>0.94022655253298903</v>
      </c>
      <c r="G11" s="13">
        <v>4</v>
      </c>
      <c r="H11">
        <v>19</v>
      </c>
    </row>
    <row r="12" spans="1:8">
      <c r="A12">
        <v>11</v>
      </c>
      <c r="B12" s="30">
        <f>ROUND(H33*基本公式!$B$162,0)</f>
        <v>54565</v>
      </c>
      <c r="C12" s="27">
        <f>其他表格!G38*基本公式!$B$4*基本公式!$B$120</f>
        <v>98.288655945372298</v>
      </c>
      <c r="D12" s="30">
        <f t="shared" si="3"/>
        <v>148416</v>
      </c>
      <c r="E12" s="27">
        <f t="shared" si="4"/>
        <v>41.226630688197801</v>
      </c>
      <c r="F12" s="27">
        <f t="shared" si="5"/>
        <v>1.71777627867491</v>
      </c>
      <c r="G12" s="13">
        <v>5</v>
      </c>
      <c r="H12">
        <v>19</v>
      </c>
    </row>
    <row r="13" spans="1:8">
      <c r="A13">
        <v>12</v>
      </c>
      <c r="B13" s="30">
        <f>ROUND(H34*基本公式!$B$162,0)</f>
        <v>98025</v>
      </c>
      <c r="C13" s="27">
        <f>其他表格!G39*基本公式!$B$4*基本公式!$B$120</f>
        <v>155.19261465058801</v>
      </c>
      <c r="D13" s="30">
        <f t="shared" si="3"/>
        <v>204854</v>
      </c>
      <c r="E13" s="27">
        <f t="shared" si="4"/>
        <v>56.903958705215501</v>
      </c>
      <c r="F13" s="27">
        <f t="shared" si="5"/>
        <v>2.3709982793839801</v>
      </c>
      <c r="G13" s="13">
        <v>5</v>
      </c>
      <c r="H13">
        <v>19</v>
      </c>
    </row>
    <row r="14" spans="1:8">
      <c r="A14">
        <v>13</v>
      </c>
      <c r="B14" s="30">
        <f>ROUND(H35*基本公式!$B$162,0)</f>
        <v>134125</v>
      </c>
      <c r="C14" s="27">
        <f>其他表格!G40*基本公式!$B$4*基本公式!$B$120</f>
        <v>242.01577333425001</v>
      </c>
      <c r="D14" s="30">
        <f t="shared" si="3"/>
        <v>312563</v>
      </c>
      <c r="E14" s="27">
        <f t="shared" si="4"/>
        <v>86.8231586836622</v>
      </c>
      <c r="F14" s="27">
        <f t="shared" si="5"/>
        <v>3.61763161181926</v>
      </c>
      <c r="G14" s="13">
        <v>6</v>
      </c>
      <c r="H14">
        <v>19</v>
      </c>
    </row>
    <row r="15" spans="1:8">
      <c r="A15">
        <v>14</v>
      </c>
      <c r="B15" s="30">
        <f>ROUND(H36*基本公式!$B$162,0)</f>
        <v>165655</v>
      </c>
      <c r="C15" s="27">
        <f>其他表格!G41*基本公式!$B$4*基本公式!$B$120</f>
        <v>356.65482386100001</v>
      </c>
      <c r="D15" s="30">
        <f t="shared" si="3"/>
        <v>412701</v>
      </c>
      <c r="E15" s="27">
        <f t="shared" si="4"/>
        <v>114.63905052675</v>
      </c>
      <c r="F15" s="27">
        <f t="shared" si="5"/>
        <v>4.7766271052812499</v>
      </c>
      <c r="G15" s="13">
        <v>6</v>
      </c>
      <c r="H15">
        <v>19</v>
      </c>
    </row>
    <row r="16" spans="1:8">
      <c r="A16">
        <v>15</v>
      </c>
      <c r="B16" s="30">
        <f>ROUND(H37*基本公式!$B$162,0)</f>
        <v>201120</v>
      </c>
      <c r="C16" s="27">
        <f>其他表格!G42*基本公式!$B$4*基本公式!$B$120</f>
        <v>502.80285318749998</v>
      </c>
      <c r="D16" s="30">
        <f t="shared" si="3"/>
        <v>526133</v>
      </c>
      <c r="E16" s="27">
        <f t="shared" si="4"/>
        <v>146.14802932649999</v>
      </c>
      <c r="F16" s="27">
        <f t="shared" si="5"/>
        <v>6.0895012219374998</v>
      </c>
      <c r="G16" s="13">
        <v>7</v>
      </c>
      <c r="H16">
        <v>19</v>
      </c>
    </row>
    <row r="17" spans="1:10">
      <c r="A17">
        <v>16</v>
      </c>
      <c r="B17" s="30">
        <f>ROUND(H38*基本公式!$B$162,0)</f>
        <v>235705</v>
      </c>
      <c r="C17" s="27">
        <f>其他表格!G43*基本公式!$B$4*基本公式!$B$120</f>
        <v>684.51756854999996</v>
      </c>
      <c r="D17" s="30">
        <f t="shared" si="3"/>
        <v>654173</v>
      </c>
      <c r="E17" s="27">
        <f t="shared" si="4"/>
        <v>181.71471536249999</v>
      </c>
      <c r="F17" s="27">
        <f t="shared" si="5"/>
        <v>7.5714464734374998</v>
      </c>
      <c r="G17" s="13">
        <v>7</v>
      </c>
      <c r="H17">
        <v>19</v>
      </c>
    </row>
    <row r="18" spans="1:10">
      <c r="A18">
        <v>17</v>
      </c>
      <c r="B18" s="30">
        <f>ROUND(H39*基本公式!$B$162,0)</f>
        <v>272825</v>
      </c>
      <c r="C18" s="27">
        <f>其他表格!G44*基本公式!$B$4*基本公式!$B$120</f>
        <v>906.25223400000004</v>
      </c>
      <c r="D18" s="30">
        <f t="shared" si="3"/>
        <v>798245</v>
      </c>
      <c r="E18" s="27">
        <f t="shared" si="4"/>
        <v>221.73466544999999</v>
      </c>
      <c r="F18" s="27">
        <f t="shared" si="5"/>
        <v>9.2389443937499998</v>
      </c>
      <c r="G18" s="13">
        <v>8</v>
      </c>
      <c r="H18">
        <v>19</v>
      </c>
    </row>
    <row r="19" spans="1:10">
      <c r="A19">
        <v>18</v>
      </c>
      <c r="B19" s="30">
        <f>ROUND(H40*基本公式!$B$162,0)</f>
        <v>313460</v>
      </c>
      <c r="C19" s="27">
        <f>其他表格!G45*基本公式!$B$4*基本公式!$B$120</f>
        <v>1172.8889999999999</v>
      </c>
      <c r="D19" s="30">
        <f t="shared" si="3"/>
        <v>959892</v>
      </c>
      <c r="E19" s="27">
        <f t="shared" si="4"/>
        <v>266.63676600000002</v>
      </c>
      <c r="F19" s="27">
        <f t="shared" si="5"/>
        <v>11.10986525</v>
      </c>
      <c r="G19" s="13">
        <v>8</v>
      </c>
      <c r="H19">
        <v>19</v>
      </c>
    </row>
    <row r="20" spans="1:10">
      <c r="A20">
        <v>19</v>
      </c>
      <c r="B20" s="30">
        <f>ROUND(H41*基本公式!$B$162,0)</f>
        <v>356365</v>
      </c>
      <c r="C20" s="27">
        <f>其他表格!G46*基本公式!$B$4*基本公式!$B$120</f>
        <v>1489.7747999999999</v>
      </c>
      <c r="D20" s="30">
        <f t="shared" si="3"/>
        <v>1140789</v>
      </c>
      <c r="E20" s="27">
        <f t="shared" si="4"/>
        <v>316.88580000000002</v>
      </c>
      <c r="F20" s="27">
        <f t="shared" si="5"/>
        <v>13.203575000000001</v>
      </c>
      <c r="G20" s="13">
        <v>9</v>
      </c>
      <c r="H20">
        <v>19</v>
      </c>
    </row>
    <row r="21" spans="1:10">
      <c r="A21">
        <v>20</v>
      </c>
      <c r="B21" s="30">
        <f>ROUND(H42*基本公式!$B$162,0)</f>
        <v>419250</v>
      </c>
      <c r="C21" s="27">
        <f>其他表格!G47*基本公式!$B$4*基本公式!$B$120</f>
        <v>1862.76</v>
      </c>
      <c r="D21" s="30">
        <f t="shared" si="3"/>
        <v>1342747</v>
      </c>
      <c r="E21" s="27">
        <f t="shared" si="4"/>
        <v>372.98520000000002</v>
      </c>
      <c r="F21" s="27">
        <f t="shared" si="5"/>
        <v>15.54105</v>
      </c>
      <c r="G21" s="13">
        <v>10</v>
      </c>
      <c r="H21">
        <v>19</v>
      </c>
    </row>
    <row r="22" spans="1:10" s="7" customFormat="1" ht="40.5">
      <c r="A22" s="7" t="s">
        <v>82</v>
      </c>
      <c r="B22" s="28" t="s">
        <v>230</v>
      </c>
      <c r="C22" s="29" t="s">
        <v>231</v>
      </c>
      <c r="D22" s="28" t="s">
        <v>232</v>
      </c>
      <c r="E22" s="29" t="s">
        <v>233</v>
      </c>
      <c r="F22" s="29" t="s">
        <v>234</v>
      </c>
      <c r="G22" s="7" t="s">
        <v>237</v>
      </c>
      <c r="H22" s="7" t="s">
        <v>238</v>
      </c>
      <c r="I22" s="7" t="s">
        <v>239</v>
      </c>
      <c r="J22" s="7" t="s">
        <v>240</v>
      </c>
    </row>
    <row r="23" spans="1:10">
      <c r="A23">
        <v>1</v>
      </c>
      <c r="B23" s="30">
        <f>ROUND(H23*基本公式!$B$163,0)</f>
        <v>96</v>
      </c>
      <c r="C23" s="27">
        <f>其他表格!G28*基本公式!$B$4*基本公式!$B$121</f>
        <v>1.7617549744436301E-2</v>
      </c>
      <c r="D23" s="30">
        <f>ROUND(E23*3600,0)</f>
        <v>63</v>
      </c>
      <c r="E23" s="27">
        <f>C23</f>
        <v>1.7617549744436301E-2</v>
      </c>
      <c r="F23" s="27">
        <f>E23/24</f>
        <v>7.3406457268484604E-4</v>
      </c>
      <c r="G23" s="16">
        <f>ROUND(兵消耗!H2*基本公式!$B$158,-2)</f>
        <v>4800</v>
      </c>
      <c r="H23" s="31">
        <f>G23</f>
        <v>4800</v>
      </c>
      <c r="I23" s="13">
        <f>SUM(G23:H23)</f>
        <v>9600</v>
      </c>
      <c r="J23" s="13">
        <f>I23*2</f>
        <v>19200</v>
      </c>
    </row>
    <row r="24" spans="1:10">
      <c r="A24">
        <v>2</v>
      </c>
      <c r="B24" s="30">
        <f>ROUND(H24*基本公式!$B$163,0)</f>
        <v>186</v>
      </c>
      <c r="C24" s="27">
        <f>其他表格!G29*基本公式!$B$4*基本公式!$B$121</f>
        <v>0.15486591848049</v>
      </c>
      <c r="D24" s="30">
        <f t="shared" ref="D24" si="6">ROUND(E24*3600,0)</f>
        <v>494</v>
      </c>
      <c r="E24" s="27">
        <f t="shared" ref="E24" si="7">C24-C23</f>
        <v>0.13724836873605401</v>
      </c>
      <c r="F24" s="27">
        <f t="shared" ref="F24" si="8">E24/24</f>
        <v>5.7186820306689102E-3</v>
      </c>
      <c r="G24" s="16">
        <f>ROUND(兵消耗!H3*基本公式!$B$158,-2)</f>
        <v>9300</v>
      </c>
      <c r="H24" s="31">
        <f t="shared" ref="H24" si="9">G24</f>
        <v>9300</v>
      </c>
      <c r="I24" s="13">
        <f t="shared" ref="I24" si="10">SUM(G24:H24)</f>
        <v>18600</v>
      </c>
      <c r="J24" s="13">
        <f t="shared" ref="J24" si="11">I24*2</f>
        <v>37200</v>
      </c>
    </row>
    <row r="25" spans="1:10">
      <c r="A25">
        <v>3</v>
      </c>
      <c r="B25" s="30">
        <f>ROUND(H25*基本公式!$B$163,0)</f>
        <v>276</v>
      </c>
      <c r="C25" s="27">
        <f>其他表格!G30*基本公式!$B$4*基本公式!$B$121</f>
        <v>0.65206702518101201</v>
      </c>
      <c r="D25" s="30">
        <f t="shared" ref="D25:D42" si="12">ROUND(E25*3600,0)</f>
        <v>1790</v>
      </c>
      <c r="E25" s="27">
        <f t="shared" ref="E25:E42" si="13">C25-C24</f>
        <v>0.49720110670052098</v>
      </c>
      <c r="F25" s="27">
        <f t="shared" ref="F25:F42" si="14">E25/24</f>
        <v>2.07167127791884E-2</v>
      </c>
      <c r="G25" s="16">
        <f>ROUND(兵消耗!H4*基本公式!$B$158,-2)</f>
        <v>13800</v>
      </c>
      <c r="H25" s="31">
        <f t="shared" ref="H25:H42" si="15">G25</f>
        <v>13800</v>
      </c>
      <c r="I25" s="13">
        <f t="shared" ref="I25:I42" si="16">SUM(G25:H25)</f>
        <v>27600</v>
      </c>
      <c r="J25" s="13">
        <f t="shared" ref="J25:J42" si="17">I25*2</f>
        <v>55200</v>
      </c>
    </row>
    <row r="26" spans="1:10">
      <c r="A26">
        <v>4</v>
      </c>
      <c r="B26" s="30">
        <f>ROUND(H26*基本公式!$B$163,0)</f>
        <v>456</v>
      </c>
      <c r="C26" s="27">
        <f>其他表格!G31*基本公式!$B$4*基本公式!$B$121</f>
        <v>1.54436927016555</v>
      </c>
      <c r="D26" s="30">
        <f t="shared" si="12"/>
        <v>3212</v>
      </c>
      <c r="E26" s="27">
        <f t="shared" si="13"/>
        <v>0.89230224498454203</v>
      </c>
      <c r="F26" s="27">
        <f t="shared" si="14"/>
        <v>3.7179260207689198E-2</v>
      </c>
      <c r="G26" s="16">
        <f>ROUND(兵消耗!H5*基本公式!$B$158,-2)</f>
        <v>22800</v>
      </c>
      <c r="H26" s="31">
        <f t="shared" si="15"/>
        <v>22800</v>
      </c>
      <c r="I26" s="13">
        <f t="shared" si="16"/>
        <v>45600</v>
      </c>
      <c r="J26" s="13">
        <f t="shared" si="17"/>
        <v>91200</v>
      </c>
    </row>
    <row r="27" spans="1:10">
      <c r="A27">
        <v>5</v>
      </c>
      <c r="B27" s="30">
        <f>ROUND(H27*基本公式!$B$163,0)</f>
        <v>758</v>
      </c>
      <c r="C27" s="27">
        <f>其他表格!G32*基本公式!$B$4*基本公式!$B$121</f>
        <v>3.07067574184964</v>
      </c>
      <c r="D27" s="30">
        <f t="shared" si="12"/>
        <v>5495</v>
      </c>
      <c r="E27" s="27">
        <f t="shared" si="13"/>
        <v>1.5263064716840899</v>
      </c>
      <c r="F27" s="27">
        <f t="shared" si="14"/>
        <v>6.3596102986836905E-2</v>
      </c>
      <c r="G27" s="16">
        <f>ROUND(兵消耗!H6*基本公式!$B$158,-2)</f>
        <v>37900</v>
      </c>
      <c r="H27" s="31">
        <f t="shared" si="15"/>
        <v>37900</v>
      </c>
      <c r="I27" s="13">
        <f t="shared" si="16"/>
        <v>75800</v>
      </c>
      <c r="J27" s="13">
        <f t="shared" si="17"/>
        <v>151600</v>
      </c>
    </row>
    <row r="28" spans="1:10">
      <c r="A28">
        <v>6</v>
      </c>
      <c r="B28" s="30">
        <f>ROUND(H28*基本公式!$B$163,0)</f>
        <v>1930</v>
      </c>
      <c r="C28" s="27">
        <f>其他表格!G33*基本公式!$B$4*基本公式!$B$121</f>
        <v>5.3237721840117596</v>
      </c>
      <c r="D28" s="30">
        <f t="shared" si="12"/>
        <v>8111</v>
      </c>
      <c r="E28" s="27">
        <f t="shared" si="13"/>
        <v>2.25309644216212</v>
      </c>
      <c r="F28" s="27">
        <f t="shared" si="14"/>
        <v>9.3879018423421598E-2</v>
      </c>
      <c r="G28" s="16">
        <f>ROUND(兵消耗!H7*基本公式!$B$158,-2)</f>
        <v>96500</v>
      </c>
      <c r="H28" s="31">
        <f t="shared" si="15"/>
        <v>96500</v>
      </c>
      <c r="I28" s="13">
        <f t="shared" si="16"/>
        <v>193000</v>
      </c>
      <c r="J28" s="13">
        <f t="shared" si="17"/>
        <v>386000</v>
      </c>
    </row>
    <row r="29" spans="1:10">
      <c r="A29">
        <v>7</v>
      </c>
      <c r="B29" s="30">
        <f>ROUND(H29*基本公式!$B$163,0)</f>
        <v>3802</v>
      </c>
      <c r="C29" s="27">
        <f>其他表格!G34*基本公式!$B$4*基本公式!$B$121</f>
        <v>9.2065233257346204</v>
      </c>
      <c r="D29" s="30">
        <f t="shared" si="12"/>
        <v>13978</v>
      </c>
      <c r="E29" s="27">
        <f t="shared" si="13"/>
        <v>3.88275114172286</v>
      </c>
      <c r="F29" s="27">
        <f t="shared" si="14"/>
        <v>0.161781297571786</v>
      </c>
      <c r="G29" s="16">
        <f>ROUND(兵消耗!H8*基本公式!$B$158,-2)</f>
        <v>190100</v>
      </c>
      <c r="H29" s="31">
        <f t="shared" si="15"/>
        <v>190100</v>
      </c>
      <c r="I29" s="13">
        <f t="shared" si="16"/>
        <v>380200</v>
      </c>
      <c r="J29" s="13">
        <f t="shared" si="17"/>
        <v>760400</v>
      </c>
    </row>
    <row r="30" spans="1:10">
      <c r="A30">
        <v>8</v>
      </c>
      <c r="B30" s="30">
        <f>ROUND(H30*基本公式!$B$163,0)</f>
        <v>6836</v>
      </c>
      <c r="C30" s="27">
        <f>其他表格!G35*基本公式!$B$4*基本公式!$B$121</f>
        <v>18.1181008241002</v>
      </c>
      <c r="D30" s="30">
        <f t="shared" si="12"/>
        <v>32082</v>
      </c>
      <c r="E30" s="27">
        <f t="shared" si="13"/>
        <v>8.9115774983655491</v>
      </c>
      <c r="F30" s="27">
        <f t="shared" si="14"/>
        <v>0.37131572909856397</v>
      </c>
      <c r="G30" s="16">
        <f>ROUND(兵消耗!H9*基本公式!$B$158,-2)</f>
        <v>341800</v>
      </c>
      <c r="H30" s="31">
        <f t="shared" si="15"/>
        <v>341800</v>
      </c>
      <c r="I30" s="13">
        <f t="shared" si="16"/>
        <v>683600</v>
      </c>
      <c r="J30" s="13">
        <f t="shared" si="17"/>
        <v>1367200</v>
      </c>
    </row>
    <row r="31" spans="1:10">
      <c r="A31">
        <v>9</v>
      </c>
      <c r="B31" s="30">
        <f>ROUND(H31*基本公式!$B$163,0)</f>
        <v>9862</v>
      </c>
      <c r="C31" s="27">
        <f>其他表格!G36*基本公式!$B$4*基本公式!$B$121</f>
        <v>31.0469291967445</v>
      </c>
      <c r="D31" s="30">
        <f t="shared" si="12"/>
        <v>46544</v>
      </c>
      <c r="E31" s="27">
        <f t="shared" si="13"/>
        <v>12.928828372644301</v>
      </c>
      <c r="F31" s="27">
        <f t="shared" si="14"/>
        <v>0.53870118219351204</v>
      </c>
      <c r="G31" s="16">
        <f>ROUND(兵消耗!H10*基本公式!$B$158,-2)</f>
        <v>493100</v>
      </c>
      <c r="H31" s="31">
        <f t="shared" si="15"/>
        <v>493100</v>
      </c>
      <c r="I31" s="13">
        <f t="shared" si="16"/>
        <v>986200</v>
      </c>
      <c r="J31" s="13">
        <f t="shared" si="17"/>
        <v>1972400</v>
      </c>
    </row>
    <row r="32" spans="1:10">
      <c r="A32">
        <v>10</v>
      </c>
      <c r="B32" s="30">
        <f>ROUND(H32*基本公式!$B$163,0)</f>
        <v>14998</v>
      </c>
      <c r="C32" s="27">
        <f>其他表格!G37*基本公式!$B$4*基本公式!$B$121</f>
        <v>51.355822731457003</v>
      </c>
      <c r="D32" s="30">
        <f t="shared" si="12"/>
        <v>73112</v>
      </c>
      <c r="E32" s="27">
        <f t="shared" si="13"/>
        <v>20.308893534712499</v>
      </c>
      <c r="F32" s="27">
        <f t="shared" si="14"/>
        <v>0.84620389727969003</v>
      </c>
      <c r="G32" s="16">
        <f>ROUND(兵消耗!H11*基本公式!$B$158,-2)</f>
        <v>749900</v>
      </c>
      <c r="H32" s="31">
        <f t="shared" si="15"/>
        <v>749900</v>
      </c>
      <c r="I32" s="13">
        <f t="shared" si="16"/>
        <v>1499800</v>
      </c>
      <c r="J32" s="13">
        <f t="shared" si="17"/>
        <v>2999600</v>
      </c>
    </row>
    <row r="33" spans="1:11">
      <c r="A33">
        <v>11</v>
      </c>
      <c r="B33" s="30">
        <f>ROUND(H33*基本公式!$B$163,0)</f>
        <v>21826</v>
      </c>
      <c r="C33" s="27">
        <f>其他表格!G38*基本公式!$B$4*基本公式!$B$121</f>
        <v>88.459790350834993</v>
      </c>
      <c r="D33" s="30">
        <f t="shared" si="12"/>
        <v>133574</v>
      </c>
      <c r="E33" s="27">
        <f t="shared" si="13"/>
        <v>37.103967619377997</v>
      </c>
      <c r="F33" s="27">
        <f t="shared" si="14"/>
        <v>1.5459986508074199</v>
      </c>
      <c r="G33" s="16">
        <f>ROUND(兵消耗!H12*基本公式!$B$158,-2)</f>
        <v>1091300</v>
      </c>
      <c r="H33" s="31">
        <f t="shared" si="15"/>
        <v>1091300</v>
      </c>
      <c r="I33" s="13">
        <f t="shared" si="16"/>
        <v>2182600</v>
      </c>
      <c r="J33" s="13">
        <f t="shared" si="17"/>
        <v>4365200</v>
      </c>
    </row>
    <row r="34" spans="1:11">
      <c r="A34">
        <v>12</v>
      </c>
      <c r="B34" s="30">
        <f>ROUND(H34*基本公式!$B$163,0)</f>
        <v>39210</v>
      </c>
      <c r="C34" s="27">
        <f>其他表格!G39*基本公式!$B$4*基本公式!$B$121</f>
        <v>139.67335318552901</v>
      </c>
      <c r="D34" s="30">
        <f t="shared" si="12"/>
        <v>184369</v>
      </c>
      <c r="E34" s="27">
        <f t="shared" si="13"/>
        <v>51.213562834694002</v>
      </c>
      <c r="F34" s="27">
        <f t="shared" si="14"/>
        <v>2.1338984514455799</v>
      </c>
      <c r="G34" s="16">
        <f>ROUND(兵消耗!H13*基本公式!$B$158,-2)</f>
        <v>1960500</v>
      </c>
      <c r="H34" s="31">
        <f t="shared" si="15"/>
        <v>1960500</v>
      </c>
      <c r="I34" s="13">
        <f t="shared" si="16"/>
        <v>3921000</v>
      </c>
      <c r="J34" s="13">
        <f t="shared" si="17"/>
        <v>7842000</v>
      </c>
    </row>
    <row r="35" spans="1:11">
      <c r="A35">
        <v>13</v>
      </c>
      <c r="B35" s="30">
        <f>ROUND(H35*基本公式!$B$163,0)</f>
        <v>53650</v>
      </c>
      <c r="C35" s="27">
        <f>其他表格!G40*基本公式!$B$4*基本公式!$B$121</f>
        <v>217.81419600082501</v>
      </c>
      <c r="D35" s="30">
        <f t="shared" si="12"/>
        <v>281307</v>
      </c>
      <c r="E35" s="27">
        <f t="shared" si="13"/>
        <v>78.140842815295997</v>
      </c>
      <c r="F35" s="27">
        <f t="shared" si="14"/>
        <v>3.2558684506373301</v>
      </c>
      <c r="G35" s="16">
        <f>ROUND(兵消耗!H14*基本公式!$B$158,-2)</f>
        <v>2682500</v>
      </c>
      <c r="H35" s="31">
        <f t="shared" si="15"/>
        <v>2682500</v>
      </c>
      <c r="I35" s="13">
        <f t="shared" si="16"/>
        <v>5365000</v>
      </c>
      <c r="J35" s="13">
        <f t="shared" si="17"/>
        <v>10730000</v>
      </c>
    </row>
    <row r="36" spans="1:11">
      <c r="A36">
        <v>14</v>
      </c>
      <c r="B36" s="30">
        <f>ROUND(H36*基本公式!$B$163,0)</f>
        <v>66262</v>
      </c>
      <c r="C36" s="27">
        <f>其他表格!G41*基本公式!$B$4*基本公式!$B$121</f>
        <v>320.98934147490002</v>
      </c>
      <c r="D36" s="30">
        <f t="shared" si="12"/>
        <v>371431</v>
      </c>
      <c r="E36" s="27">
        <f t="shared" si="13"/>
        <v>103.17514547407499</v>
      </c>
      <c r="F36" s="27">
        <f t="shared" si="14"/>
        <v>4.2989643947531198</v>
      </c>
      <c r="G36" s="16">
        <f>ROUND(兵消耗!H15*基本公式!$B$158,-2)</f>
        <v>3313100</v>
      </c>
      <c r="H36" s="31">
        <f t="shared" si="15"/>
        <v>3313100</v>
      </c>
      <c r="I36" s="13">
        <f t="shared" si="16"/>
        <v>6626200</v>
      </c>
      <c r="J36" s="13">
        <f t="shared" si="17"/>
        <v>13252400</v>
      </c>
    </row>
    <row r="37" spans="1:11">
      <c r="A37">
        <v>15</v>
      </c>
      <c r="B37" s="30">
        <f>ROUND(H37*基本公式!$B$163,0)</f>
        <v>80448</v>
      </c>
      <c r="C37" s="27">
        <f>其他表格!G42*基本公式!$B$4*基本公式!$B$121</f>
        <v>452.52256786875</v>
      </c>
      <c r="D37" s="30">
        <f t="shared" si="12"/>
        <v>473520</v>
      </c>
      <c r="E37" s="27">
        <f t="shared" si="13"/>
        <v>131.53322639384999</v>
      </c>
      <c r="F37" s="27">
        <f t="shared" si="14"/>
        <v>5.4805510997437503</v>
      </c>
      <c r="G37" s="16">
        <f>ROUND(兵消耗!H16*基本公式!$B$158,-2)</f>
        <v>4022400</v>
      </c>
      <c r="H37" s="31">
        <f t="shared" si="15"/>
        <v>4022400</v>
      </c>
      <c r="I37" s="13">
        <f t="shared" si="16"/>
        <v>8044800</v>
      </c>
      <c r="J37" s="13">
        <f t="shared" si="17"/>
        <v>16089600</v>
      </c>
    </row>
    <row r="38" spans="1:11">
      <c r="A38">
        <v>16</v>
      </c>
      <c r="B38" s="30">
        <f>ROUND(H38*基本公式!$B$163,0)</f>
        <v>94282</v>
      </c>
      <c r="C38" s="27">
        <f>其他表格!G43*基本公式!$B$4*基本公式!$B$121</f>
        <v>616.06581169499998</v>
      </c>
      <c r="D38" s="30">
        <f t="shared" si="12"/>
        <v>588756</v>
      </c>
      <c r="E38" s="27">
        <f t="shared" si="13"/>
        <v>163.54324382625001</v>
      </c>
      <c r="F38" s="27">
        <f t="shared" si="14"/>
        <v>6.8143018260937502</v>
      </c>
      <c r="G38" s="16">
        <f>ROUND(兵消耗!H17*基本公式!$B$158,-2)</f>
        <v>4714100</v>
      </c>
      <c r="H38" s="31">
        <f t="shared" si="15"/>
        <v>4714100</v>
      </c>
      <c r="I38" s="13">
        <f t="shared" si="16"/>
        <v>9428200</v>
      </c>
      <c r="J38" s="13">
        <f t="shared" si="17"/>
        <v>18856400</v>
      </c>
    </row>
    <row r="39" spans="1:11">
      <c r="A39">
        <v>17</v>
      </c>
      <c r="B39" s="30">
        <f>ROUND(H39*基本公式!$B$163,0)</f>
        <v>109130</v>
      </c>
      <c r="C39" s="27">
        <f>其他表格!G44*基本公式!$B$4*基本公式!$B$121</f>
        <v>815.62701059999995</v>
      </c>
      <c r="D39" s="30">
        <f t="shared" si="12"/>
        <v>718420</v>
      </c>
      <c r="E39" s="27">
        <f t="shared" si="13"/>
        <v>199.561198905</v>
      </c>
      <c r="F39" s="27">
        <f t="shared" si="14"/>
        <v>8.3150499543750005</v>
      </c>
      <c r="G39" s="16">
        <f>ROUND(兵消耗!H18*基本公式!$B$158,-2)</f>
        <v>5456500</v>
      </c>
      <c r="H39" s="31">
        <f t="shared" si="15"/>
        <v>5456500</v>
      </c>
      <c r="I39" s="13">
        <f t="shared" si="16"/>
        <v>10913000</v>
      </c>
      <c r="J39" s="13">
        <f t="shared" si="17"/>
        <v>21826000</v>
      </c>
    </row>
    <row r="40" spans="1:11">
      <c r="A40">
        <v>18</v>
      </c>
      <c r="B40" s="30">
        <f>ROUND(H40*基本公式!$B$163,0)</f>
        <v>125384</v>
      </c>
      <c r="C40" s="27">
        <f>其他表格!G45*基本公式!$B$4*基本公式!$B$121</f>
        <v>1055.6001000000001</v>
      </c>
      <c r="D40" s="30">
        <f t="shared" si="12"/>
        <v>863903</v>
      </c>
      <c r="E40" s="27">
        <f t="shared" si="13"/>
        <v>239.97308939999999</v>
      </c>
      <c r="F40" s="27">
        <f t="shared" si="14"/>
        <v>9.9988787249999902</v>
      </c>
      <c r="G40" s="16">
        <f>ROUND(兵消耗!H19*基本公式!$B$158,-2)</f>
        <v>6269200</v>
      </c>
      <c r="H40" s="31">
        <f t="shared" si="15"/>
        <v>6269200</v>
      </c>
      <c r="I40" s="13">
        <f t="shared" si="16"/>
        <v>12538400</v>
      </c>
      <c r="J40" s="13">
        <f t="shared" si="17"/>
        <v>25076800</v>
      </c>
    </row>
    <row r="41" spans="1:11">
      <c r="A41">
        <v>19</v>
      </c>
      <c r="B41" s="30">
        <f>ROUND(H41*基本公式!$B$163,0)</f>
        <v>142546</v>
      </c>
      <c r="C41" s="27">
        <f>其他表格!G46*基本公式!$B$4*基本公式!$B$121</f>
        <v>1340.7973199999999</v>
      </c>
      <c r="D41" s="30">
        <f t="shared" si="12"/>
        <v>1026710</v>
      </c>
      <c r="E41" s="27">
        <f t="shared" si="13"/>
        <v>285.19722000000002</v>
      </c>
      <c r="F41" s="27">
        <f t="shared" si="14"/>
        <v>11.883217500000001</v>
      </c>
      <c r="G41" s="16">
        <f>ROUND(兵消耗!H20*基本公式!$B$158,-2)</f>
        <v>7127300</v>
      </c>
      <c r="H41" s="31">
        <f t="shared" si="15"/>
        <v>7127300</v>
      </c>
      <c r="I41" s="13">
        <f t="shared" si="16"/>
        <v>14254600</v>
      </c>
      <c r="J41" s="13">
        <f t="shared" si="17"/>
        <v>28509200</v>
      </c>
    </row>
    <row r="42" spans="1:11">
      <c r="A42">
        <v>20</v>
      </c>
      <c r="B42" s="30">
        <f>ROUND(H42*基本公式!$B$163,0)</f>
        <v>167700</v>
      </c>
      <c r="C42" s="27">
        <f>其他表格!G47*基本公式!$B$4*基本公式!$B$121</f>
        <v>1676.4839999999999</v>
      </c>
      <c r="D42" s="30">
        <f t="shared" si="12"/>
        <v>1208472</v>
      </c>
      <c r="E42" s="27">
        <f t="shared" si="13"/>
        <v>335.68668000000002</v>
      </c>
      <c r="F42" s="27">
        <f t="shared" si="14"/>
        <v>13.986945</v>
      </c>
      <c r="G42" s="16">
        <f>ROUND(兵消耗!H21*基本公式!$B$158,-2)</f>
        <v>8385000</v>
      </c>
      <c r="H42" s="31">
        <f t="shared" si="15"/>
        <v>8385000</v>
      </c>
      <c r="I42" s="13">
        <f t="shared" si="16"/>
        <v>16770000</v>
      </c>
      <c r="J42" s="13">
        <f t="shared" si="17"/>
        <v>33540000</v>
      </c>
    </row>
    <row r="43" spans="1:11" s="7" customFormat="1" ht="27">
      <c r="A43" s="7" t="s">
        <v>83</v>
      </c>
      <c r="B43" s="28" t="s">
        <v>230</v>
      </c>
      <c r="C43" s="29" t="s">
        <v>231</v>
      </c>
      <c r="D43" s="28" t="s">
        <v>232</v>
      </c>
      <c r="E43" s="29" t="s">
        <v>233</v>
      </c>
      <c r="F43" s="29" t="s">
        <v>234</v>
      </c>
      <c r="G43" s="7" t="s">
        <v>241</v>
      </c>
      <c r="H43" s="7" t="s">
        <v>242</v>
      </c>
      <c r="I43" s="7" t="s">
        <v>243</v>
      </c>
      <c r="J43" s="7" t="s">
        <v>244</v>
      </c>
      <c r="K43" s="7" t="s">
        <v>245</v>
      </c>
    </row>
    <row r="44" spans="1:11">
      <c r="A44">
        <v>1</v>
      </c>
      <c r="B44" s="30">
        <f>ROUND(H23*基本公式!$B$164,0)</f>
        <v>168</v>
      </c>
      <c r="C44" s="27">
        <f>其他表格!G28*基本公式!$B$4*基本公式!$B$122</f>
        <v>1.17450331629575E-2</v>
      </c>
      <c r="D44" s="30">
        <f>ROUND(E44*3600,0)</f>
        <v>42</v>
      </c>
      <c r="E44" s="27">
        <f>C44</f>
        <v>1.17450331629575E-2</v>
      </c>
      <c r="F44" s="27">
        <f>E44/24</f>
        <v>4.8937638178989703E-4</v>
      </c>
      <c r="G44" s="13">
        <v>1</v>
      </c>
      <c r="H44" s="13">
        <v>0.04</v>
      </c>
      <c r="I44" s="13">
        <v>0</v>
      </c>
      <c r="J44" s="13">
        <v>0</v>
      </c>
      <c r="K44" s="13">
        <v>0</v>
      </c>
    </row>
    <row r="45" spans="1:11">
      <c r="A45">
        <v>2</v>
      </c>
      <c r="B45" s="30">
        <f>ROUND(H24*基本公式!$B$164,0)</f>
        <v>326</v>
      </c>
      <c r="C45" s="27">
        <f>其他表格!G29*基本公式!$B$4*基本公式!$B$122</f>
        <v>0.10324394565366</v>
      </c>
      <c r="D45" s="30">
        <f t="shared" ref="D45" si="18">ROUND(E45*3600,0)</f>
        <v>329</v>
      </c>
      <c r="E45" s="27">
        <f t="shared" ref="E45" si="19">C45-C44</f>
        <v>9.1498912490702605E-2</v>
      </c>
      <c r="F45" s="27">
        <f t="shared" ref="F45" si="20">E45/24</f>
        <v>3.8124546871126101E-3</v>
      </c>
      <c r="G45" s="13">
        <v>2</v>
      </c>
      <c r="H45" s="13">
        <v>7.0000000000000007E-2</v>
      </c>
      <c r="I45" s="13">
        <v>0</v>
      </c>
      <c r="J45" s="13">
        <v>0</v>
      </c>
      <c r="K45" s="13">
        <v>0</v>
      </c>
    </row>
    <row r="46" spans="1:11">
      <c r="A46">
        <v>3</v>
      </c>
      <c r="B46" s="30">
        <f>ROUND(H25*基本公式!$B$164,0)</f>
        <v>483</v>
      </c>
      <c r="C46" s="27">
        <f>其他表格!G30*基本公式!$B$4*基本公式!$B$122</f>
        <v>0.43471135012067402</v>
      </c>
      <c r="D46" s="30">
        <f t="shared" ref="D46:D63" si="21">ROUND(E46*3600,0)</f>
        <v>1193</v>
      </c>
      <c r="E46" s="27">
        <f t="shared" ref="E46:E63" si="22">C46-C45</f>
        <v>0.331467404467014</v>
      </c>
      <c r="F46" s="27">
        <f t="shared" ref="F46:F63" si="23">E46/24</f>
        <v>1.3811141852792299E-2</v>
      </c>
      <c r="G46" s="13">
        <v>3</v>
      </c>
      <c r="H46" s="13">
        <v>0.1</v>
      </c>
      <c r="I46" s="13">
        <v>0.01</v>
      </c>
      <c r="J46" s="13">
        <v>0</v>
      </c>
      <c r="K46" s="13">
        <v>0</v>
      </c>
    </row>
    <row r="47" spans="1:11">
      <c r="A47">
        <v>4</v>
      </c>
      <c r="B47" s="30">
        <f>ROUND(H26*基本公式!$B$164,0)</f>
        <v>798</v>
      </c>
      <c r="C47" s="27">
        <f>其他表格!G31*基本公式!$B$4*基本公式!$B$122</f>
        <v>1.0295795134437</v>
      </c>
      <c r="D47" s="30">
        <f t="shared" si="21"/>
        <v>2142</v>
      </c>
      <c r="E47" s="27">
        <f t="shared" si="22"/>
        <v>0.59486816332302805</v>
      </c>
      <c r="F47" s="27">
        <f t="shared" si="23"/>
        <v>2.4786173471792801E-2</v>
      </c>
      <c r="G47" s="13">
        <v>4</v>
      </c>
      <c r="H47" s="13">
        <v>0.15</v>
      </c>
      <c r="I47" s="13">
        <v>0.01</v>
      </c>
      <c r="J47" s="13">
        <v>0</v>
      </c>
      <c r="K47" s="13">
        <v>0</v>
      </c>
    </row>
    <row r="48" spans="1:11">
      <c r="A48">
        <v>5</v>
      </c>
      <c r="B48" s="30">
        <f>ROUND(H27*基本公式!$B$164,0)</f>
        <v>1327</v>
      </c>
      <c r="C48" s="27">
        <f>其他表格!G32*基本公式!$B$4*基本公式!$B$122</f>
        <v>2.0471171612330901</v>
      </c>
      <c r="D48" s="30">
        <f t="shared" si="21"/>
        <v>3663</v>
      </c>
      <c r="E48" s="27">
        <f t="shared" si="22"/>
        <v>1.01753764778939</v>
      </c>
      <c r="F48" s="27">
        <f t="shared" si="23"/>
        <v>4.2397401991224597E-2</v>
      </c>
      <c r="G48" s="13">
        <v>5</v>
      </c>
      <c r="H48" s="13">
        <v>0.2</v>
      </c>
      <c r="I48" s="13">
        <f>I47+0.01</f>
        <v>0.02</v>
      </c>
      <c r="J48" s="13">
        <v>0</v>
      </c>
      <c r="K48" s="13">
        <v>0</v>
      </c>
    </row>
    <row r="49" spans="1:11">
      <c r="A49">
        <v>6</v>
      </c>
      <c r="B49" s="30">
        <f>ROUND(H28*基本公式!$B$164,0)</f>
        <v>3378</v>
      </c>
      <c r="C49" s="27">
        <f>其他表格!G33*基本公式!$B$4*基本公式!$B$122</f>
        <v>3.5491814560078399</v>
      </c>
      <c r="D49" s="30">
        <f t="shared" si="21"/>
        <v>5407</v>
      </c>
      <c r="E49" s="27">
        <f t="shared" si="22"/>
        <v>1.50206429477475</v>
      </c>
      <c r="F49" s="27">
        <f t="shared" si="23"/>
        <v>6.2586012282281098E-2</v>
      </c>
      <c r="G49" s="13">
        <v>6</v>
      </c>
      <c r="H49" s="13">
        <v>0.25</v>
      </c>
      <c r="I49" s="13">
        <f t="shared" ref="I49" si="24">I48+0.01</f>
        <v>0.03</v>
      </c>
      <c r="J49" s="13">
        <v>0</v>
      </c>
      <c r="K49" s="13">
        <v>0</v>
      </c>
    </row>
    <row r="50" spans="1:11">
      <c r="A50">
        <v>7</v>
      </c>
      <c r="B50" s="30">
        <f>ROUND(H29*基本公式!$B$164,0)</f>
        <v>6654</v>
      </c>
      <c r="C50" s="27">
        <f>其他表格!G34*基本公式!$B$4*基本公式!$B$122</f>
        <v>6.13768221715641</v>
      </c>
      <c r="D50" s="30">
        <f t="shared" si="21"/>
        <v>9319</v>
      </c>
      <c r="E50" s="27">
        <f t="shared" si="22"/>
        <v>2.5885007611485702</v>
      </c>
      <c r="F50" s="27">
        <f t="shared" si="23"/>
        <v>0.10785419838119099</v>
      </c>
      <c r="G50" s="13">
        <v>7</v>
      </c>
      <c r="H50" s="13">
        <v>0.2</v>
      </c>
      <c r="I50" s="13">
        <f>I49+0.01</f>
        <v>0.04</v>
      </c>
      <c r="J50" s="13">
        <v>0</v>
      </c>
      <c r="K50" s="13">
        <v>0</v>
      </c>
    </row>
    <row r="51" spans="1:11">
      <c r="A51">
        <v>8</v>
      </c>
      <c r="B51" s="30">
        <f>ROUND(H30*基本公式!$B$164,0)</f>
        <v>11963</v>
      </c>
      <c r="C51" s="27">
        <f>其他表格!G35*基本公式!$B$4*基本公式!$B$122</f>
        <v>12.078733882733401</v>
      </c>
      <c r="D51" s="30">
        <f t="shared" si="21"/>
        <v>21388</v>
      </c>
      <c r="E51" s="27">
        <f t="shared" si="22"/>
        <v>5.9410516655770298</v>
      </c>
      <c r="F51" s="27">
        <f t="shared" si="23"/>
        <v>0.24754381939904299</v>
      </c>
      <c r="G51" s="13">
        <v>8</v>
      </c>
      <c r="H51" s="13">
        <v>0.15</v>
      </c>
      <c r="I51" s="13">
        <f>I50+0.01</f>
        <v>0.05</v>
      </c>
      <c r="J51" s="13">
        <v>0</v>
      </c>
      <c r="K51" s="13">
        <v>0</v>
      </c>
    </row>
    <row r="52" spans="1:11">
      <c r="A52">
        <v>9</v>
      </c>
      <c r="B52" s="30">
        <f>ROUND(H31*基本公式!$B$164,0)</f>
        <v>17259</v>
      </c>
      <c r="C52" s="27">
        <f>其他表格!G36*基本公式!$B$4*基本公式!$B$122</f>
        <v>20.697952797829601</v>
      </c>
      <c r="D52" s="30">
        <f t="shared" si="21"/>
        <v>31029</v>
      </c>
      <c r="E52" s="27">
        <f t="shared" si="22"/>
        <v>8.6192189150961998</v>
      </c>
      <c r="F52" s="27">
        <f t="shared" si="23"/>
        <v>0.35913412146234203</v>
      </c>
      <c r="G52" s="13">
        <v>9</v>
      </c>
      <c r="H52" s="13">
        <v>0.1</v>
      </c>
      <c r="I52" s="13">
        <f>I51+0.01</f>
        <v>0.06</v>
      </c>
      <c r="J52" s="13">
        <v>0.01</v>
      </c>
      <c r="K52" s="13">
        <v>0</v>
      </c>
    </row>
    <row r="53" spans="1:11">
      <c r="A53">
        <v>10</v>
      </c>
      <c r="B53" s="30">
        <f>ROUND(H32*基本公式!$B$164,0)</f>
        <v>26247</v>
      </c>
      <c r="C53" s="27">
        <f>其他表格!G37*基本公式!$B$4*基本公式!$B$122</f>
        <v>34.2372151543047</v>
      </c>
      <c r="D53" s="30">
        <f t="shared" si="21"/>
        <v>48741</v>
      </c>
      <c r="E53" s="27">
        <f t="shared" si="22"/>
        <v>13.539262356475</v>
      </c>
      <c r="F53" s="27">
        <f t="shared" si="23"/>
        <v>0.56413593151979302</v>
      </c>
      <c r="G53" s="13">
        <v>10</v>
      </c>
      <c r="H53" s="13">
        <v>0.1</v>
      </c>
      <c r="I53" s="13">
        <f>I52+0.02</f>
        <v>0.08</v>
      </c>
      <c r="J53" s="13">
        <f>J52+0.01</f>
        <v>0.02</v>
      </c>
      <c r="K53" s="13">
        <v>0</v>
      </c>
    </row>
    <row r="54" spans="1:11">
      <c r="A54">
        <v>11</v>
      </c>
      <c r="B54" s="30">
        <f>ROUND(H33*基本公式!$B$164,0)</f>
        <v>38196</v>
      </c>
      <c r="C54" s="27">
        <f>其他表格!G38*基本公式!$B$4*基本公式!$B$122</f>
        <v>58.973193567223397</v>
      </c>
      <c r="D54" s="30">
        <f t="shared" si="21"/>
        <v>89050</v>
      </c>
      <c r="E54" s="27">
        <f t="shared" si="22"/>
        <v>24.735978412918701</v>
      </c>
      <c r="F54" s="27">
        <f t="shared" si="23"/>
        <v>1.03066576720495</v>
      </c>
      <c r="G54" s="13">
        <v>11</v>
      </c>
      <c r="H54" s="13">
        <v>0.1</v>
      </c>
      <c r="I54" s="13">
        <f t="shared" ref="I54" si="25">I53+0.02</f>
        <v>0.1</v>
      </c>
      <c r="J54" s="13">
        <f t="shared" ref="J54" si="26">J53+0.01</f>
        <v>0.03</v>
      </c>
      <c r="K54" s="13">
        <v>0</v>
      </c>
    </row>
    <row r="55" spans="1:11">
      <c r="A55">
        <v>12</v>
      </c>
      <c r="B55" s="30">
        <f>ROUND(H34*基本公式!$B$164,0)</f>
        <v>68618</v>
      </c>
      <c r="C55" s="27">
        <f>其他表格!G39*基本公式!$B$4*基本公式!$B$122</f>
        <v>93.115568790352697</v>
      </c>
      <c r="D55" s="30">
        <f t="shared" si="21"/>
        <v>122913</v>
      </c>
      <c r="E55" s="27">
        <f t="shared" si="22"/>
        <v>34.142375223129299</v>
      </c>
      <c r="F55" s="27">
        <f t="shared" si="23"/>
        <v>1.4225989676303901</v>
      </c>
      <c r="G55" s="13">
        <v>12</v>
      </c>
      <c r="H55" s="13">
        <v>0.1</v>
      </c>
      <c r="I55" s="13">
        <f>I54+0.02</f>
        <v>0.12</v>
      </c>
      <c r="J55" s="13">
        <f t="shared" ref="J55:J63" si="27">J54+0.01</f>
        <v>0.04</v>
      </c>
      <c r="K55" s="13">
        <v>0</v>
      </c>
    </row>
    <row r="56" spans="1:11">
      <c r="A56">
        <v>13</v>
      </c>
      <c r="B56" s="30">
        <f>ROUND(H35*基本公式!$B$164,0)</f>
        <v>93888</v>
      </c>
      <c r="C56" s="27">
        <f>其他表格!G40*基本公式!$B$4*基本公式!$B$122</f>
        <v>145.20946400055001</v>
      </c>
      <c r="D56" s="30">
        <f t="shared" si="21"/>
        <v>187538</v>
      </c>
      <c r="E56" s="27">
        <f t="shared" si="22"/>
        <v>52.093895210197303</v>
      </c>
      <c r="F56" s="27">
        <f t="shared" si="23"/>
        <v>2.1705789670915498</v>
      </c>
      <c r="G56" s="13">
        <v>13</v>
      </c>
      <c r="H56" s="13">
        <v>0.1</v>
      </c>
      <c r="I56" s="13">
        <f>I55+0.02</f>
        <v>0.14000000000000001</v>
      </c>
      <c r="J56" s="13">
        <f t="shared" si="27"/>
        <v>0.05</v>
      </c>
      <c r="K56" s="13">
        <v>0.01</v>
      </c>
    </row>
    <row r="57" spans="1:11">
      <c r="A57">
        <v>14</v>
      </c>
      <c r="B57" s="30">
        <f>ROUND(H36*基本公式!$B$164,0)</f>
        <v>115959</v>
      </c>
      <c r="C57" s="27">
        <f>其他表格!G41*基本公式!$B$4*基本公式!$B$122</f>
        <v>213.9928943166</v>
      </c>
      <c r="D57" s="30">
        <f t="shared" si="21"/>
        <v>247620</v>
      </c>
      <c r="E57" s="27">
        <f t="shared" si="22"/>
        <v>68.783430316050001</v>
      </c>
      <c r="F57" s="27">
        <f t="shared" si="23"/>
        <v>2.8659762631687502</v>
      </c>
      <c r="G57" s="13">
        <v>14</v>
      </c>
      <c r="H57" s="13">
        <v>0.1</v>
      </c>
      <c r="I57" s="13">
        <f>I56+0.02</f>
        <v>0.16</v>
      </c>
      <c r="J57" s="13">
        <f t="shared" si="27"/>
        <v>0.06</v>
      </c>
      <c r="K57" s="13">
        <f>K56+0.002</f>
        <v>1.2E-2</v>
      </c>
    </row>
    <row r="58" spans="1:11">
      <c r="A58">
        <v>15</v>
      </c>
      <c r="B58" s="30">
        <f>ROUND(H37*基本公式!$B$164,0)</f>
        <v>140784</v>
      </c>
      <c r="C58" s="27">
        <f>其他表格!G42*基本公式!$B$4*基本公式!$B$122</f>
        <v>301.68171191250002</v>
      </c>
      <c r="D58" s="30">
        <f t="shared" si="21"/>
        <v>315680</v>
      </c>
      <c r="E58" s="27">
        <f t="shared" si="22"/>
        <v>87.688817595900005</v>
      </c>
      <c r="F58" s="27">
        <f t="shared" si="23"/>
        <v>3.6537007331625002</v>
      </c>
      <c r="G58" s="13">
        <v>15</v>
      </c>
      <c r="H58" s="13">
        <v>0.1</v>
      </c>
      <c r="I58" s="13">
        <f>I57+0.03</f>
        <v>0.19</v>
      </c>
      <c r="J58" s="13">
        <f t="shared" si="27"/>
        <v>7.0000000000000007E-2</v>
      </c>
      <c r="K58" s="13">
        <f t="shared" ref="K58" si="28">K57+0.002</f>
        <v>1.4E-2</v>
      </c>
    </row>
    <row r="59" spans="1:11">
      <c r="A59">
        <v>16</v>
      </c>
      <c r="B59" s="30">
        <f>ROUND(H38*基本公式!$B$164,0)</f>
        <v>164994</v>
      </c>
      <c r="C59" s="27">
        <f>其他表格!G43*基本公式!$B$4*基本公式!$B$122</f>
        <v>410.71054113000002</v>
      </c>
      <c r="D59" s="30">
        <f t="shared" si="21"/>
        <v>392504</v>
      </c>
      <c r="E59" s="27">
        <f t="shared" si="22"/>
        <v>109.0288292175</v>
      </c>
      <c r="F59" s="27">
        <f t="shared" si="23"/>
        <v>4.5428678840624999</v>
      </c>
      <c r="G59" s="13">
        <v>16</v>
      </c>
      <c r="H59" s="13">
        <v>0.1</v>
      </c>
      <c r="I59" s="13">
        <f t="shared" ref="I59" si="29">I58+0.03</f>
        <v>0.22</v>
      </c>
      <c r="J59" s="13">
        <f t="shared" si="27"/>
        <v>0.08</v>
      </c>
      <c r="K59" s="13">
        <f>K58+0.002</f>
        <v>1.6E-2</v>
      </c>
    </row>
    <row r="60" spans="1:11">
      <c r="A60">
        <v>17</v>
      </c>
      <c r="B60" s="30">
        <f>ROUND(H39*基本公式!$B$164,0)</f>
        <v>190978</v>
      </c>
      <c r="C60" s="27">
        <f>其他表格!G44*基本公式!$B$4*基本公式!$B$122</f>
        <v>543.7513404</v>
      </c>
      <c r="D60" s="30">
        <f t="shared" si="21"/>
        <v>478947</v>
      </c>
      <c r="E60" s="27">
        <f t="shared" si="22"/>
        <v>133.04079927000001</v>
      </c>
      <c r="F60" s="27">
        <f t="shared" si="23"/>
        <v>5.54336663625</v>
      </c>
      <c r="G60" s="13">
        <v>17</v>
      </c>
      <c r="H60" s="13">
        <v>0.1</v>
      </c>
      <c r="I60" s="13">
        <f>I59+0.03</f>
        <v>0.25</v>
      </c>
      <c r="J60" s="13">
        <f t="shared" si="27"/>
        <v>0.09</v>
      </c>
      <c r="K60" s="13">
        <f>K59+0.002</f>
        <v>1.7999999999999999E-2</v>
      </c>
    </row>
    <row r="61" spans="1:11">
      <c r="A61">
        <v>18</v>
      </c>
      <c r="B61" s="30">
        <f>ROUND(H40*基本公式!$B$164,0)</f>
        <v>219422</v>
      </c>
      <c r="C61" s="27">
        <f>其他表格!G45*基本公式!$B$4*基本公式!$B$122</f>
        <v>703.73339999999996</v>
      </c>
      <c r="D61" s="30">
        <f t="shared" si="21"/>
        <v>575935</v>
      </c>
      <c r="E61" s="27">
        <f t="shared" si="22"/>
        <v>159.98205960000001</v>
      </c>
      <c r="F61" s="27">
        <f t="shared" si="23"/>
        <v>6.6659191499999899</v>
      </c>
      <c r="G61" s="13">
        <v>18</v>
      </c>
      <c r="H61" s="13">
        <v>0.1</v>
      </c>
      <c r="I61" s="13">
        <f>I60+0.03</f>
        <v>0.28000000000000003</v>
      </c>
      <c r="J61" s="13">
        <f t="shared" si="27"/>
        <v>0.1</v>
      </c>
      <c r="K61" s="13">
        <f>K60+0.002</f>
        <v>0.02</v>
      </c>
    </row>
    <row r="62" spans="1:11">
      <c r="A62">
        <v>19</v>
      </c>
      <c r="B62" s="30">
        <f>ROUND(H41*基本公式!$B$164,0)</f>
        <v>249456</v>
      </c>
      <c r="C62" s="27">
        <f>其他表格!G46*基本公式!$B$4*基本公式!$B$122</f>
        <v>893.86487999999997</v>
      </c>
      <c r="D62" s="30">
        <f t="shared" si="21"/>
        <v>684473</v>
      </c>
      <c r="E62" s="27">
        <f t="shared" si="22"/>
        <v>190.13148000000001</v>
      </c>
      <c r="F62" s="27">
        <f t="shared" si="23"/>
        <v>7.9221450000000004</v>
      </c>
      <c r="G62" s="13">
        <v>19</v>
      </c>
      <c r="H62" s="13">
        <v>0.1</v>
      </c>
      <c r="I62" s="13">
        <f>I61+0.03</f>
        <v>0.31</v>
      </c>
      <c r="J62" s="13">
        <f t="shared" si="27"/>
        <v>0.11</v>
      </c>
      <c r="K62" s="13">
        <f>K61+0.002</f>
        <v>2.1999999999999999E-2</v>
      </c>
    </row>
    <row r="63" spans="1:11">
      <c r="A63">
        <v>20</v>
      </c>
      <c r="B63" s="30">
        <f>ROUND(H42*基本公式!$B$164,0)</f>
        <v>293475</v>
      </c>
      <c r="C63" s="27">
        <f>其他表格!G47*基本公式!$B$4*基本公式!$B$122</f>
        <v>1117.6559999999999</v>
      </c>
      <c r="D63" s="30">
        <f t="shared" si="21"/>
        <v>805648</v>
      </c>
      <c r="E63" s="27">
        <f t="shared" si="22"/>
        <v>223.79112000000001</v>
      </c>
      <c r="F63" s="27">
        <f t="shared" si="23"/>
        <v>9.3246300000000097</v>
      </c>
      <c r="G63" s="13">
        <v>20</v>
      </c>
      <c r="H63" s="13">
        <v>0.1</v>
      </c>
      <c r="I63" s="13">
        <f>I62+0.03</f>
        <v>0.34</v>
      </c>
      <c r="J63" s="13">
        <f t="shared" si="27"/>
        <v>0.12</v>
      </c>
      <c r="K63" s="13">
        <f>K62+0.002</f>
        <v>2.4E-2</v>
      </c>
    </row>
    <row r="64" spans="1:11" s="7" customFormat="1" ht="27">
      <c r="A64" s="7" t="s">
        <v>84</v>
      </c>
      <c r="B64" s="28" t="s">
        <v>230</v>
      </c>
      <c r="C64" s="29" t="s">
        <v>231</v>
      </c>
      <c r="D64" s="28" t="s">
        <v>232</v>
      </c>
      <c r="E64" s="29" t="s">
        <v>233</v>
      </c>
      <c r="F64" s="29" t="s">
        <v>234</v>
      </c>
      <c r="G64" s="7" t="s">
        <v>246</v>
      </c>
    </row>
    <row r="65" spans="1:7">
      <c r="A65">
        <v>1</v>
      </c>
      <c r="B65" s="30">
        <f>ROUND(H23*基本公式!$B$165,0)</f>
        <v>192</v>
      </c>
      <c r="C65" s="27">
        <f>其他表格!G28*基本公式!$B$4*基本公式!$B$123</f>
        <v>1.17450331629575E-2</v>
      </c>
      <c r="D65" s="30">
        <f>ROUND(E65*3600,0)</f>
        <v>42</v>
      </c>
      <c r="E65" s="27">
        <f>C65</f>
        <v>1.17450331629575E-2</v>
      </c>
      <c r="F65" s="27">
        <f>E65/24</f>
        <v>4.8937638178989703E-4</v>
      </c>
      <c r="G65" s="13">
        <v>1</v>
      </c>
    </row>
    <row r="66" spans="1:7">
      <c r="A66">
        <v>2</v>
      </c>
      <c r="B66" s="30">
        <f>ROUND(H24*基本公式!$B$165,0)</f>
        <v>372</v>
      </c>
      <c r="C66" s="27">
        <f>其他表格!G29*基本公式!$B$4*基本公式!$B$123</f>
        <v>0.10324394565366</v>
      </c>
      <c r="D66" s="30">
        <f t="shared" ref="D66" si="30">ROUND(E66*3600,0)</f>
        <v>329</v>
      </c>
      <c r="E66" s="27">
        <f t="shared" ref="E66" si="31">C66-C65</f>
        <v>9.1498912490702605E-2</v>
      </c>
      <c r="F66" s="27">
        <f t="shared" ref="F66" si="32">E66/24</f>
        <v>3.8124546871126101E-3</v>
      </c>
      <c r="G66" s="13">
        <v>2</v>
      </c>
    </row>
    <row r="67" spans="1:7">
      <c r="A67">
        <v>3</v>
      </c>
      <c r="B67" s="30">
        <f>ROUND(H25*基本公式!$B$165,0)</f>
        <v>552</v>
      </c>
      <c r="C67" s="27">
        <f>其他表格!G30*基本公式!$B$4*基本公式!$B$123</f>
        <v>0.43471135012067402</v>
      </c>
      <c r="D67" s="30">
        <f t="shared" ref="D67:D84" si="33">ROUND(E67*3600,0)</f>
        <v>1193</v>
      </c>
      <c r="E67" s="27">
        <f t="shared" ref="E67:E84" si="34">C67-C66</f>
        <v>0.331467404467014</v>
      </c>
      <c r="F67" s="27">
        <f t="shared" ref="F67:F84" si="35">E67/24</f>
        <v>1.3811141852792299E-2</v>
      </c>
      <c r="G67" s="13">
        <v>3</v>
      </c>
    </row>
    <row r="68" spans="1:7">
      <c r="A68">
        <v>4</v>
      </c>
      <c r="B68" s="30">
        <f>ROUND(H26*基本公式!$B$165,0)</f>
        <v>912</v>
      </c>
      <c r="C68" s="27">
        <f>其他表格!G31*基本公式!$B$4*基本公式!$B$123</f>
        <v>1.0295795134437</v>
      </c>
      <c r="D68" s="30">
        <f t="shared" si="33"/>
        <v>2142</v>
      </c>
      <c r="E68" s="27">
        <f t="shared" si="34"/>
        <v>0.59486816332302805</v>
      </c>
      <c r="F68" s="27">
        <f t="shared" si="35"/>
        <v>2.4786173471792801E-2</v>
      </c>
      <c r="G68" s="13">
        <v>4</v>
      </c>
    </row>
    <row r="69" spans="1:7">
      <c r="A69">
        <v>5</v>
      </c>
      <c r="B69" s="30">
        <f>ROUND(H27*基本公式!$B$165,0)</f>
        <v>1516</v>
      </c>
      <c r="C69" s="27">
        <f>其他表格!G32*基本公式!$B$4*基本公式!$B$123</f>
        <v>2.0471171612330901</v>
      </c>
      <c r="D69" s="30">
        <f t="shared" si="33"/>
        <v>3663</v>
      </c>
      <c r="E69" s="27">
        <f t="shared" si="34"/>
        <v>1.01753764778939</v>
      </c>
      <c r="F69" s="27">
        <f t="shared" si="35"/>
        <v>4.2397401991224597E-2</v>
      </c>
      <c r="G69" s="13">
        <v>5</v>
      </c>
    </row>
    <row r="70" spans="1:7">
      <c r="A70">
        <v>6</v>
      </c>
      <c r="B70" s="30">
        <f>ROUND(H28*基本公式!$B$165,0)</f>
        <v>3860</v>
      </c>
      <c r="C70" s="27">
        <f>其他表格!G33*基本公式!$B$4*基本公式!$B$123</f>
        <v>3.5491814560078399</v>
      </c>
      <c r="D70" s="30">
        <f t="shared" si="33"/>
        <v>5407</v>
      </c>
      <c r="E70" s="27">
        <f t="shared" si="34"/>
        <v>1.50206429477475</v>
      </c>
      <c r="F70" s="27">
        <f t="shared" si="35"/>
        <v>6.2586012282281098E-2</v>
      </c>
      <c r="G70" s="13">
        <v>6</v>
      </c>
    </row>
    <row r="71" spans="1:7">
      <c r="A71">
        <v>7</v>
      </c>
      <c r="B71" s="30">
        <f>ROUND(H29*基本公式!$B$165,0)</f>
        <v>7604</v>
      </c>
      <c r="C71" s="27">
        <f>其他表格!G34*基本公式!$B$4*基本公式!$B$123</f>
        <v>6.13768221715641</v>
      </c>
      <c r="D71" s="30">
        <f t="shared" si="33"/>
        <v>9319</v>
      </c>
      <c r="E71" s="27">
        <f t="shared" si="34"/>
        <v>2.5885007611485702</v>
      </c>
      <c r="F71" s="27">
        <f t="shared" si="35"/>
        <v>0.10785419838119099</v>
      </c>
      <c r="G71" s="13">
        <v>7</v>
      </c>
    </row>
    <row r="72" spans="1:7">
      <c r="A72">
        <v>8</v>
      </c>
      <c r="B72" s="30">
        <f>ROUND(H30*基本公式!$B$165,0)</f>
        <v>13672</v>
      </c>
      <c r="C72" s="27">
        <f>其他表格!G35*基本公式!$B$4*基本公式!$B$123</f>
        <v>12.078733882733401</v>
      </c>
      <c r="D72" s="30">
        <f t="shared" si="33"/>
        <v>21388</v>
      </c>
      <c r="E72" s="27">
        <f t="shared" si="34"/>
        <v>5.9410516655770298</v>
      </c>
      <c r="F72" s="27">
        <f t="shared" si="35"/>
        <v>0.24754381939904299</v>
      </c>
      <c r="G72" s="13">
        <v>8</v>
      </c>
    </row>
    <row r="73" spans="1:7">
      <c r="A73">
        <v>9</v>
      </c>
      <c r="B73" s="30">
        <f>ROUND(H31*基本公式!$B$165,0)</f>
        <v>19724</v>
      </c>
      <c r="C73" s="27">
        <f>其他表格!G36*基本公式!$B$4*基本公式!$B$123</f>
        <v>20.697952797829601</v>
      </c>
      <c r="D73" s="30">
        <f t="shared" si="33"/>
        <v>31029</v>
      </c>
      <c r="E73" s="27">
        <f t="shared" si="34"/>
        <v>8.6192189150961998</v>
      </c>
      <c r="F73" s="27">
        <f t="shared" si="35"/>
        <v>0.35913412146234203</v>
      </c>
      <c r="G73" s="13">
        <v>9</v>
      </c>
    </row>
    <row r="74" spans="1:7">
      <c r="A74">
        <v>10</v>
      </c>
      <c r="B74" s="30">
        <f>ROUND(H32*基本公式!$B$165,0)</f>
        <v>29996</v>
      </c>
      <c r="C74" s="27">
        <f>其他表格!G37*基本公式!$B$4*基本公式!$B$123</f>
        <v>34.2372151543047</v>
      </c>
      <c r="D74" s="30">
        <f t="shared" si="33"/>
        <v>48741</v>
      </c>
      <c r="E74" s="27">
        <f t="shared" si="34"/>
        <v>13.539262356475</v>
      </c>
      <c r="F74" s="27">
        <f t="shared" si="35"/>
        <v>0.56413593151979302</v>
      </c>
      <c r="G74" s="13">
        <v>10</v>
      </c>
    </row>
    <row r="75" spans="1:7">
      <c r="A75">
        <v>11</v>
      </c>
      <c r="B75" s="30">
        <f>ROUND(H33*基本公式!$B$165,0)</f>
        <v>43652</v>
      </c>
      <c r="C75" s="27">
        <f>其他表格!G38*基本公式!$B$4*基本公式!$B$123</f>
        <v>58.973193567223397</v>
      </c>
      <c r="D75" s="30">
        <f t="shared" si="33"/>
        <v>89050</v>
      </c>
      <c r="E75" s="27">
        <f t="shared" si="34"/>
        <v>24.735978412918701</v>
      </c>
      <c r="F75" s="27">
        <f t="shared" si="35"/>
        <v>1.03066576720495</v>
      </c>
      <c r="G75" s="13">
        <v>11</v>
      </c>
    </row>
    <row r="76" spans="1:7">
      <c r="A76">
        <v>12</v>
      </c>
      <c r="B76" s="30">
        <f>ROUND(H34*基本公式!$B$165,0)</f>
        <v>78420</v>
      </c>
      <c r="C76" s="27">
        <f>其他表格!G39*基本公式!$B$4*基本公式!$B$123</f>
        <v>93.115568790352697</v>
      </c>
      <c r="D76" s="30">
        <f t="shared" si="33"/>
        <v>122913</v>
      </c>
      <c r="E76" s="27">
        <f t="shared" si="34"/>
        <v>34.142375223129299</v>
      </c>
      <c r="F76" s="27">
        <f t="shared" si="35"/>
        <v>1.4225989676303901</v>
      </c>
      <c r="G76" s="13">
        <v>12</v>
      </c>
    </row>
    <row r="77" spans="1:7">
      <c r="A77">
        <v>13</v>
      </c>
      <c r="B77" s="30">
        <f>ROUND(H35*基本公式!$B$165,0)</f>
        <v>107300</v>
      </c>
      <c r="C77" s="27">
        <f>其他表格!G40*基本公式!$B$4*基本公式!$B$123</f>
        <v>145.20946400055001</v>
      </c>
      <c r="D77" s="30">
        <f t="shared" si="33"/>
        <v>187538</v>
      </c>
      <c r="E77" s="27">
        <f t="shared" si="34"/>
        <v>52.093895210197303</v>
      </c>
      <c r="F77" s="27">
        <f t="shared" si="35"/>
        <v>2.1705789670915498</v>
      </c>
      <c r="G77" s="13">
        <v>13</v>
      </c>
    </row>
    <row r="78" spans="1:7">
      <c r="A78">
        <v>14</v>
      </c>
      <c r="B78" s="30">
        <f>ROUND(H36*基本公式!$B$165,0)</f>
        <v>132524</v>
      </c>
      <c r="C78" s="27">
        <f>其他表格!G41*基本公式!$B$4*基本公式!$B$123</f>
        <v>213.9928943166</v>
      </c>
      <c r="D78" s="30">
        <f t="shared" si="33"/>
        <v>247620</v>
      </c>
      <c r="E78" s="27">
        <f t="shared" si="34"/>
        <v>68.783430316050001</v>
      </c>
      <c r="F78" s="27">
        <f t="shared" si="35"/>
        <v>2.8659762631687502</v>
      </c>
      <c r="G78" s="13">
        <v>14</v>
      </c>
    </row>
    <row r="79" spans="1:7">
      <c r="A79">
        <v>15</v>
      </c>
      <c r="B79" s="30">
        <f>ROUND(H37*基本公式!$B$165,0)</f>
        <v>160896</v>
      </c>
      <c r="C79" s="27">
        <f>其他表格!G42*基本公式!$B$4*基本公式!$B$123</f>
        <v>301.68171191250002</v>
      </c>
      <c r="D79" s="30">
        <f t="shared" si="33"/>
        <v>315680</v>
      </c>
      <c r="E79" s="27">
        <f t="shared" si="34"/>
        <v>87.688817595900005</v>
      </c>
      <c r="F79" s="27">
        <f t="shared" si="35"/>
        <v>3.6537007331625002</v>
      </c>
      <c r="G79" s="13">
        <v>15</v>
      </c>
    </row>
    <row r="80" spans="1:7">
      <c r="A80">
        <v>16</v>
      </c>
      <c r="B80" s="30">
        <f>ROUND(H38*基本公式!$B$165,0)</f>
        <v>188564</v>
      </c>
      <c r="C80" s="27">
        <f>其他表格!G43*基本公式!$B$4*基本公式!$B$123</f>
        <v>410.71054113000002</v>
      </c>
      <c r="D80" s="30">
        <f t="shared" si="33"/>
        <v>392504</v>
      </c>
      <c r="E80" s="27">
        <f t="shared" si="34"/>
        <v>109.0288292175</v>
      </c>
      <c r="F80" s="27">
        <f t="shared" si="35"/>
        <v>4.5428678840624999</v>
      </c>
      <c r="G80" s="13">
        <v>16</v>
      </c>
    </row>
    <row r="81" spans="1:7">
      <c r="A81">
        <v>17</v>
      </c>
      <c r="B81" s="30">
        <f>ROUND(H39*基本公式!$B$165,0)</f>
        <v>218260</v>
      </c>
      <c r="C81" s="27">
        <f>其他表格!G44*基本公式!$B$4*基本公式!$B$123</f>
        <v>543.7513404</v>
      </c>
      <c r="D81" s="30">
        <f t="shared" si="33"/>
        <v>478947</v>
      </c>
      <c r="E81" s="27">
        <f t="shared" si="34"/>
        <v>133.04079927000001</v>
      </c>
      <c r="F81" s="27">
        <f t="shared" si="35"/>
        <v>5.54336663625</v>
      </c>
      <c r="G81" s="13">
        <v>17</v>
      </c>
    </row>
    <row r="82" spans="1:7">
      <c r="A82">
        <v>18</v>
      </c>
      <c r="B82" s="30">
        <f>ROUND(H40*基本公式!$B$165,0)</f>
        <v>250768</v>
      </c>
      <c r="C82" s="27">
        <f>其他表格!G45*基本公式!$B$4*基本公式!$B$123</f>
        <v>703.73339999999996</v>
      </c>
      <c r="D82" s="30">
        <f t="shared" si="33"/>
        <v>575935</v>
      </c>
      <c r="E82" s="27">
        <f t="shared" si="34"/>
        <v>159.98205960000001</v>
      </c>
      <c r="F82" s="27">
        <f t="shared" si="35"/>
        <v>6.6659191499999899</v>
      </c>
      <c r="G82" s="13">
        <v>18</v>
      </c>
    </row>
    <row r="83" spans="1:7">
      <c r="A83">
        <v>19</v>
      </c>
      <c r="B83" s="30">
        <f>ROUND(H41*基本公式!$B$165,0)</f>
        <v>285092</v>
      </c>
      <c r="C83" s="27">
        <f>其他表格!G46*基本公式!$B$4*基本公式!$B$123</f>
        <v>893.86487999999997</v>
      </c>
      <c r="D83" s="30">
        <f t="shared" si="33"/>
        <v>684473</v>
      </c>
      <c r="E83" s="27">
        <f t="shared" si="34"/>
        <v>190.13148000000001</v>
      </c>
      <c r="F83" s="27">
        <f t="shared" si="35"/>
        <v>7.9221450000000004</v>
      </c>
      <c r="G83" s="13">
        <v>19</v>
      </c>
    </row>
    <row r="84" spans="1:7">
      <c r="A84">
        <v>20</v>
      </c>
      <c r="B84" s="30">
        <f>ROUND(H42*基本公式!$B$165,0)</f>
        <v>335400</v>
      </c>
      <c r="C84" s="27">
        <f>其他表格!G47*基本公式!$B$4*基本公式!$B$123</f>
        <v>1117.6559999999999</v>
      </c>
      <c r="D84" s="30">
        <f t="shared" si="33"/>
        <v>805648</v>
      </c>
      <c r="E84" s="27">
        <f t="shared" si="34"/>
        <v>223.79112000000001</v>
      </c>
      <c r="F84" s="27">
        <f t="shared" si="35"/>
        <v>9.3246300000000097</v>
      </c>
      <c r="G84" s="13">
        <v>20</v>
      </c>
    </row>
    <row r="85" spans="1:7" s="7" customFormat="1" ht="27">
      <c r="A85" s="7" t="s">
        <v>95</v>
      </c>
      <c r="B85" s="28" t="s">
        <v>230</v>
      </c>
      <c r="C85" s="29" t="s">
        <v>231</v>
      </c>
      <c r="D85" s="28" t="s">
        <v>232</v>
      </c>
      <c r="E85" s="29" t="s">
        <v>233</v>
      </c>
      <c r="F85" s="29" t="s">
        <v>234</v>
      </c>
      <c r="G85" s="7" t="s">
        <v>247</v>
      </c>
    </row>
    <row r="86" spans="1:7">
      <c r="A86">
        <v>1</v>
      </c>
      <c r="B86" s="30">
        <f>ROUND(H23*基本公式!$B$176,0)</f>
        <v>96</v>
      </c>
      <c r="C86" s="27">
        <f>其他表格!G28*基本公式!$B$4*基本公式!$B$134</f>
        <v>7.8300221086383594E-3</v>
      </c>
      <c r="D86" s="30">
        <f>ROUND(E86*3600,0)</f>
        <v>28</v>
      </c>
      <c r="E86" s="27">
        <f>C86</f>
        <v>7.8300221086383594E-3</v>
      </c>
      <c r="F86" s="27">
        <f>E86/24</f>
        <v>3.2625092119326499E-4</v>
      </c>
      <c r="G86" s="13">
        <v>1</v>
      </c>
    </row>
    <row r="87" spans="1:7">
      <c r="A87">
        <v>2</v>
      </c>
      <c r="B87" s="30">
        <f>ROUND(H24*基本公式!$B$176,0)</f>
        <v>186</v>
      </c>
      <c r="C87" s="27">
        <f>其他表格!G29*基本公式!$B$4*基本公式!$B$134</f>
        <v>6.8829297102440096E-2</v>
      </c>
      <c r="D87" s="30">
        <f t="shared" ref="D87" si="36">ROUND(E87*3600,0)</f>
        <v>220</v>
      </c>
      <c r="E87" s="27">
        <f t="shared" ref="E87" si="37">C87-C86</f>
        <v>6.09992749938017E-2</v>
      </c>
      <c r="F87" s="27">
        <f t="shared" ref="F87" si="38">E87/24</f>
        <v>2.54163645807507E-3</v>
      </c>
      <c r="G87" s="13">
        <v>1</v>
      </c>
    </row>
    <row r="88" spans="1:7">
      <c r="A88">
        <v>3</v>
      </c>
      <c r="B88" s="30">
        <f>ROUND(H25*基本公式!$B$176,0)</f>
        <v>276</v>
      </c>
      <c r="C88" s="27">
        <f>其他表格!G30*基本公式!$B$4*基本公式!$B$134</f>
        <v>0.289807566747116</v>
      </c>
      <c r="D88" s="30">
        <f t="shared" ref="D88:D105" si="39">ROUND(E88*3600,0)</f>
        <v>796</v>
      </c>
      <c r="E88" s="27">
        <f t="shared" ref="E88:E105" si="40">C88-C87</f>
        <v>0.22097826964467601</v>
      </c>
      <c r="F88" s="27">
        <f t="shared" ref="F88:F105" si="41">E88/24</f>
        <v>9.2074279018615098E-3</v>
      </c>
      <c r="G88" s="13">
        <v>1</v>
      </c>
    </row>
    <row r="89" spans="1:7">
      <c r="A89">
        <v>4</v>
      </c>
      <c r="B89" s="30">
        <f>ROUND(H26*基本公式!$B$176,0)</f>
        <v>456</v>
      </c>
      <c r="C89" s="27">
        <f>其他表格!G31*基本公式!$B$4*基本公式!$B$134</f>
        <v>0.68638634229580198</v>
      </c>
      <c r="D89" s="30">
        <f t="shared" si="39"/>
        <v>1428</v>
      </c>
      <c r="E89" s="27">
        <f t="shared" si="40"/>
        <v>0.39657877554868498</v>
      </c>
      <c r="F89" s="27">
        <f t="shared" si="41"/>
        <v>1.6524115647861898E-2</v>
      </c>
      <c r="G89" s="13">
        <v>1</v>
      </c>
    </row>
    <row r="90" spans="1:7">
      <c r="A90">
        <v>5</v>
      </c>
      <c r="B90" s="30">
        <f>ROUND(H27*基本公式!$B$176,0)</f>
        <v>758</v>
      </c>
      <c r="C90" s="27">
        <f>其他表格!G32*基本公式!$B$4*基本公式!$B$134</f>
        <v>1.3647447741554</v>
      </c>
      <c r="D90" s="30">
        <f t="shared" si="39"/>
        <v>2442</v>
      </c>
      <c r="E90" s="27">
        <f t="shared" si="40"/>
        <v>0.67835843185959399</v>
      </c>
      <c r="F90" s="27">
        <f t="shared" si="41"/>
        <v>2.82649346608164E-2</v>
      </c>
      <c r="G90" s="13">
        <v>1</v>
      </c>
    </row>
    <row r="91" spans="1:7">
      <c r="A91">
        <v>6</v>
      </c>
      <c r="B91" s="30">
        <f>ROUND(H28*基本公式!$B$176,0)</f>
        <v>1930</v>
      </c>
      <c r="C91" s="27">
        <f>其他表格!G33*基本公式!$B$4*基本公式!$B$134</f>
        <v>2.36612097067189</v>
      </c>
      <c r="D91" s="30">
        <f t="shared" si="39"/>
        <v>3605</v>
      </c>
      <c r="E91" s="27">
        <f t="shared" si="40"/>
        <v>1.0013761965165</v>
      </c>
      <c r="F91" s="27">
        <f t="shared" si="41"/>
        <v>4.1724008188187403E-2</v>
      </c>
      <c r="G91" s="13">
        <v>1</v>
      </c>
    </row>
    <row r="92" spans="1:7">
      <c r="A92">
        <v>7</v>
      </c>
      <c r="B92" s="30">
        <f>ROUND(H29*基本公式!$B$176,0)</f>
        <v>3802</v>
      </c>
      <c r="C92" s="27">
        <f>其他表格!G34*基本公式!$B$4*基本公式!$B$134</f>
        <v>4.0917881447709403</v>
      </c>
      <c r="D92" s="30">
        <f t="shared" si="39"/>
        <v>6212</v>
      </c>
      <c r="E92" s="27">
        <f t="shared" si="40"/>
        <v>1.7256671740990499</v>
      </c>
      <c r="F92" s="27">
        <f t="shared" si="41"/>
        <v>7.1902798920793695E-2</v>
      </c>
      <c r="G92" s="13">
        <v>2</v>
      </c>
    </row>
    <row r="93" spans="1:7">
      <c r="A93">
        <v>8</v>
      </c>
      <c r="B93" s="30">
        <f>ROUND(H30*基本公式!$B$176,0)</f>
        <v>6836</v>
      </c>
      <c r="C93" s="27">
        <f>其他表格!G35*基本公式!$B$4*基本公式!$B$134</f>
        <v>8.0524892551556295</v>
      </c>
      <c r="D93" s="30">
        <f t="shared" si="39"/>
        <v>14259</v>
      </c>
      <c r="E93" s="27">
        <f t="shared" si="40"/>
        <v>3.9607011103846901</v>
      </c>
      <c r="F93" s="27">
        <f t="shared" si="41"/>
        <v>0.16502921293269501</v>
      </c>
      <c r="G93" s="13">
        <v>2</v>
      </c>
    </row>
    <row r="94" spans="1:7">
      <c r="A94">
        <v>9</v>
      </c>
      <c r="B94" s="30">
        <f>ROUND(H31*基本公式!$B$176,0)</f>
        <v>9862</v>
      </c>
      <c r="C94" s="27">
        <f>其他表格!G36*基本公式!$B$4*基本公式!$B$134</f>
        <v>13.7986351985531</v>
      </c>
      <c r="D94" s="30">
        <f t="shared" si="39"/>
        <v>20686</v>
      </c>
      <c r="E94" s="27">
        <f t="shared" si="40"/>
        <v>5.7461459433974698</v>
      </c>
      <c r="F94" s="27">
        <f t="shared" si="41"/>
        <v>0.23942274764156099</v>
      </c>
      <c r="G94" s="13">
        <v>2</v>
      </c>
    </row>
    <row r="95" spans="1:7">
      <c r="A95">
        <v>10</v>
      </c>
      <c r="B95" s="30">
        <f>ROUND(H32*基本公式!$B$176,0)</f>
        <v>14998</v>
      </c>
      <c r="C95" s="27">
        <f>其他表格!G37*基本公式!$B$4*基本公式!$B$134</f>
        <v>22.824810102869801</v>
      </c>
      <c r="D95" s="30">
        <f t="shared" si="39"/>
        <v>32494</v>
      </c>
      <c r="E95" s="27">
        <f t="shared" si="40"/>
        <v>9.0261749043166901</v>
      </c>
      <c r="F95" s="27">
        <f t="shared" si="41"/>
        <v>0.37609062101319501</v>
      </c>
      <c r="G95" s="13">
        <v>2</v>
      </c>
    </row>
    <row r="96" spans="1:7">
      <c r="A96">
        <v>11</v>
      </c>
      <c r="B96" s="30">
        <f>ROUND(H33*基本公式!$B$176,0)</f>
        <v>21826</v>
      </c>
      <c r="C96" s="27">
        <f>其他表格!G38*基本公式!$B$4*基本公式!$B$134</f>
        <v>39.315462378148901</v>
      </c>
      <c r="D96" s="30">
        <f t="shared" si="39"/>
        <v>59366</v>
      </c>
      <c r="E96" s="27">
        <f t="shared" si="40"/>
        <v>16.4906522752791</v>
      </c>
      <c r="F96" s="27">
        <f t="shared" si="41"/>
        <v>0.68711051146996405</v>
      </c>
      <c r="G96" s="13">
        <v>2</v>
      </c>
    </row>
    <row r="97" spans="1:7">
      <c r="A97">
        <v>12</v>
      </c>
      <c r="B97" s="30">
        <f>ROUND(H34*基本公式!$B$176,0)</f>
        <v>39210</v>
      </c>
      <c r="C97" s="27">
        <f>其他表格!G39*基本公式!$B$4*基本公式!$B$134</f>
        <v>62.077045860235103</v>
      </c>
      <c r="D97" s="30">
        <f t="shared" si="39"/>
        <v>81942</v>
      </c>
      <c r="E97" s="27">
        <f t="shared" si="40"/>
        <v>22.761583482086198</v>
      </c>
      <c r="F97" s="27">
        <f t="shared" si="41"/>
        <v>0.94839931175359204</v>
      </c>
      <c r="G97" s="13">
        <v>3</v>
      </c>
    </row>
    <row r="98" spans="1:7">
      <c r="A98">
        <v>13</v>
      </c>
      <c r="B98" s="30">
        <f>ROUND(H35*基本公式!$B$176,0)</f>
        <v>53650</v>
      </c>
      <c r="C98" s="27">
        <f>其他表格!G40*基本公式!$B$4*基本公式!$B$134</f>
        <v>96.8063093337</v>
      </c>
      <c r="D98" s="30">
        <f t="shared" si="39"/>
        <v>125025</v>
      </c>
      <c r="E98" s="27">
        <f t="shared" si="40"/>
        <v>34.729263473464897</v>
      </c>
      <c r="F98" s="27">
        <f t="shared" si="41"/>
        <v>1.4470526447276999</v>
      </c>
      <c r="G98" s="13">
        <v>3</v>
      </c>
    </row>
    <row r="99" spans="1:7">
      <c r="A99">
        <v>14</v>
      </c>
      <c r="B99" s="30">
        <f>ROUND(H36*基本公式!$B$176,0)</f>
        <v>66262</v>
      </c>
      <c r="C99" s="27">
        <f>其他表格!G41*基本公式!$B$4*基本公式!$B$134</f>
        <v>142.66192954440001</v>
      </c>
      <c r="D99" s="30">
        <f t="shared" si="39"/>
        <v>165080</v>
      </c>
      <c r="E99" s="27">
        <f t="shared" si="40"/>
        <v>45.855620210700003</v>
      </c>
      <c r="F99" s="27">
        <f t="shared" si="41"/>
        <v>1.9106508421124999</v>
      </c>
      <c r="G99" s="13">
        <v>3</v>
      </c>
    </row>
    <row r="100" spans="1:7">
      <c r="A100">
        <v>15</v>
      </c>
      <c r="B100" s="30">
        <f>ROUND(H37*基本公式!$B$176,0)</f>
        <v>80448</v>
      </c>
      <c r="C100" s="27">
        <f>其他表格!G42*基本公式!$B$4*基本公式!$B$134</f>
        <v>201.12114127500001</v>
      </c>
      <c r="D100" s="30">
        <f t="shared" si="39"/>
        <v>210453</v>
      </c>
      <c r="E100" s="27">
        <f t="shared" si="40"/>
        <v>58.459211730600003</v>
      </c>
      <c r="F100" s="27">
        <f t="shared" si="41"/>
        <v>2.435800488775</v>
      </c>
      <c r="G100" s="13">
        <v>3</v>
      </c>
    </row>
    <row r="101" spans="1:7">
      <c r="A101">
        <v>16</v>
      </c>
      <c r="B101" s="30">
        <f>ROUND(H38*基本公式!$B$176,0)</f>
        <v>94282</v>
      </c>
      <c r="C101" s="27">
        <f>其他表格!G43*基本公式!$B$4*基本公式!$B$134</f>
        <v>273.80702742</v>
      </c>
      <c r="D101" s="30">
        <f t="shared" si="39"/>
        <v>261669</v>
      </c>
      <c r="E101" s="27">
        <f t="shared" si="40"/>
        <v>72.685886144999998</v>
      </c>
      <c r="F101" s="27">
        <f t="shared" si="41"/>
        <v>3.0285785893749999</v>
      </c>
      <c r="G101" s="13">
        <v>4</v>
      </c>
    </row>
    <row r="102" spans="1:7">
      <c r="A102">
        <v>17</v>
      </c>
      <c r="B102" s="30">
        <f>ROUND(H39*基本公式!$B$176,0)</f>
        <v>109130</v>
      </c>
      <c r="C102" s="27">
        <f>其他表格!G44*基本公式!$B$4*基本公式!$B$134</f>
        <v>362.50089359999998</v>
      </c>
      <c r="D102" s="30">
        <f t="shared" si="39"/>
        <v>319298</v>
      </c>
      <c r="E102" s="27">
        <f t="shared" si="40"/>
        <v>88.693866180000001</v>
      </c>
      <c r="F102" s="27">
        <f t="shared" si="41"/>
        <v>3.6955777575000002</v>
      </c>
      <c r="G102" s="13">
        <v>4</v>
      </c>
    </row>
    <row r="103" spans="1:7">
      <c r="A103">
        <v>18</v>
      </c>
      <c r="B103" s="30">
        <f>ROUND(H40*基本公式!$B$176,0)</f>
        <v>125384</v>
      </c>
      <c r="C103" s="27">
        <f>其他表格!G45*基本公式!$B$4*基本公式!$B$134</f>
        <v>469.15559999999999</v>
      </c>
      <c r="D103" s="30">
        <f t="shared" si="39"/>
        <v>383957</v>
      </c>
      <c r="E103" s="27">
        <f t="shared" si="40"/>
        <v>106.65470639999999</v>
      </c>
      <c r="F103" s="27">
        <f t="shared" si="41"/>
        <v>4.4439460999999998</v>
      </c>
      <c r="G103" s="13">
        <v>4</v>
      </c>
    </row>
    <row r="104" spans="1:7">
      <c r="A104">
        <v>19</v>
      </c>
      <c r="B104" s="30">
        <f>ROUND(H41*基本公式!$B$176,0)</f>
        <v>142546</v>
      </c>
      <c r="C104" s="27">
        <f>其他表格!G46*基本公式!$B$4*基本公式!$B$134</f>
        <v>595.90992000000006</v>
      </c>
      <c r="D104" s="30">
        <f t="shared" si="39"/>
        <v>456316</v>
      </c>
      <c r="E104" s="27">
        <f t="shared" si="40"/>
        <v>126.75432000000001</v>
      </c>
      <c r="F104" s="27">
        <f t="shared" si="41"/>
        <v>5.2814300000000003</v>
      </c>
      <c r="G104" s="13">
        <v>4</v>
      </c>
    </row>
    <row r="105" spans="1:7">
      <c r="A105">
        <v>20</v>
      </c>
      <c r="B105" s="30">
        <f>ROUND(H42*基本公式!$B$176,0)</f>
        <v>167700</v>
      </c>
      <c r="C105" s="27">
        <f>其他表格!G47*基本公式!$B$4*基本公式!$B$134</f>
        <v>745.10400000000004</v>
      </c>
      <c r="D105" s="30">
        <f t="shared" si="39"/>
        <v>537099</v>
      </c>
      <c r="E105" s="27">
        <f t="shared" si="40"/>
        <v>149.19408000000001</v>
      </c>
      <c r="F105" s="27">
        <f t="shared" si="41"/>
        <v>6.2164200000000003</v>
      </c>
      <c r="G105" s="13">
        <v>5</v>
      </c>
    </row>
    <row r="106" spans="1:7" s="7" customFormat="1" ht="27">
      <c r="A106" s="7" t="s">
        <v>85</v>
      </c>
      <c r="B106" s="28" t="s">
        <v>230</v>
      </c>
      <c r="C106" s="29" t="s">
        <v>231</v>
      </c>
      <c r="D106" s="28" t="s">
        <v>232</v>
      </c>
      <c r="E106" s="29" t="s">
        <v>233</v>
      </c>
      <c r="F106" s="29" t="s">
        <v>234</v>
      </c>
    </row>
    <row r="107" spans="1:7">
      <c r="A107">
        <v>1</v>
      </c>
      <c r="B107" s="30">
        <f>ROUND(H23*基本公式!$B$166,0)</f>
        <v>360</v>
      </c>
      <c r="C107" s="27">
        <f>其他表格!G28*基本公式!$B$4*基本公式!$B$124</f>
        <v>1.5660044217276702E-2</v>
      </c>
      <c r="D107" s="30">
        <f>ROUND(E107*3600,0)</f>
        <v>56</v>
      </c>
      <c r="E107" s="27">
        <f>C107</f>
        <v>1.5660044217276702E-2</v>
      </c>
      <c r="F107" s="27">
        <f>E107/24</f>
        <v>6.5250184238652999E-4</v>
      </c>
    </row>
    <row r="108" spans="1:7">
      <c r="A108">
        <v>2</v>
      </c>
      <c r="B108" s="30">
        <f>ROUND(H24*基本公式!$B$166,0)</f>
        <v>698</v>
      </c>
      <c r="C108" s="27">
        <f>其他表格!G29*基本公式!$B$4*基本公式!$B$124</f>
        <v>0.13765859420488</v>
      </c>
      <c r="D108" s="30">
        <f t="shared" ref="D108" si="42">ROUND(E108*3600,0)</f>
        <v>439</v>
      </c>
      <c r="E108" s="27">
        <f t="shared" ref="E108" si="43">C108-C107</f>
        <v>0.121998549987603</v>
      </c>
      <c r="F108" s="27">
        <f t="shared" ref="F108" si="44">E108/24</f>
        <v>5.0832729161501503E-3</v>
      </c>
    </row>
    <row r="109" spans="1:7">
      <c r="A109">
        <v>3</v>
      </c>
      <c r="B109" s="30">
        <f>ROUND(H25*基本公式!$B$166,0)</f>
        <v>1035</v>
      </c>
      <c r="C109" s="27">
        <f>其他表格!G30*基本公式!$B$4*基本公式!$B$124</f>
        <v>0.57961513349423299</v>
      </c>
      <c r="D109" s="30">
        <f t="shared" ref="D109:D126" si="45">ROUND(E109*3600,0)</f>
        <v>1591</v>
      </c>
      <c r="E109" s="27">
        <f t="shared" ref="E109:E126" si="46">C109-C108</f>
        <v>0.44195653928935202</v>
      </c>
      <c r="F109" s="27">
        <f t="shared" ref="F109:F126" si="47">E109/24</f>
        <v>1.8414855803722999E-2</v>
      </c>
    </row>
    <row r="110" spans="1:7">
      <c r="A110">
        <v>4</v>
      </c>
      <c r="B110" s="30">
        <f>ROUND(H26*基本公式!$B$166,0)</f>
        <v>1710</v>
      </c>
      <c r="C110" s="27">
        <f>其他表格!G31*基本公式!$B$4*基本公式!$B$124</f>
        <v>1.3727726845916</v>
      </c>
      <c r="D110" s="30">
        <f t="shared" si="45"/>
        <v>2855</v>
      </c>
      <c r="E110" s="27">
        <f t="shared" si="46"/>
        <v>0.79315755109737096</v>
      </c>
      <c r="F110" s="27">
        <f t="shared" si="47"/>
        <v>3.3048231295723797E-2</v>
      </c>
    </row>
    <row r="111" spans="1:7">
      <c r="A111">
        <v>5</v>
      </c>
      <c r="B111" s="30">
        <f>ROUND(H27*基本公式!$B$166,0)</f>
        <v>2843</v>
      </c>
      <c r="C111" s="27">
        <f>其他表格!G32*基本公式!$B$4*基本公式!$B$124</f>
        <v>2.7294895483107902</v>
      </c>
      <c r="D111" s="30">
        <f t="shared" si="45"/>
        <v>4884</v>
      </c>
      <c r="E111" s="27">
        <f t="shared" si="46"/>
        <v>1.35671686371919</v>
      </c>
      <c r="F111" s="27">
        <f t="shared" si="47"/>
        <v>5.65298693216328E-2</v>
      </c>
    </row>
    <row r="112" spans="1:7">
      <c r="A112">
        <v>6</v>
      </c>
      <c r="B112" s="30">
        <f>ROUND(H28*基本公式!$B$166,0)</f>
        <v>7238</v>
      </c>
      <c r="C112" s="27">
        <f>其他表格!G33*基本公式!$B$4*基本公式!$B$124</f>
        <v>4.73224194134378</v>
      </c>
      <c r="D112" s="30">
        <f t="shared" si="45"/>
        <v>7210</v>
      </c>
      <c r="E112" s="27">
        <f t="shared" si="46"/>
        <v>2.0027523930329898</v>
      </c>
      <c r="F112" s="27">
        <f t="shared" si="47"/>
        <v>8.3448016376374695E-2</v>
      </c>
    </row>
    <row r="113" spans="1:9">
      <c r="A113">
        <v>7</v>
      </c>
      <c r="B113" s="30">
        <f>ROUND(H29*基本公式!$B$166,0)</f>
        <v>14258</v>
      </c>
      <c r="C113" s="27">
        <f>其他表格!G34*基本公式!$B$4*基本公式!$B$124</f>
        <v>8.1835762895418807</v>
      </c>
      <c r="D113" s="30">
        <f t="shared" si="45"/>
        <v>12425</v>
      </c>
      <c r="E113" s="27">
        <f t="shared" si="46"/>
        <v>3.4513343481980998</v>
      </c>
      <c r="F113" s="27">
        <f t="shared" si="47"/>
        <v>0.143805597841587</v>
      </c>
    </row>
    <row r="114" spans="1:9">
      <c r="A114">
        <v>8</v>
      </c>
      <c r="B114" s="30">
        <f>ROUND(H30*基本公式!$B$166,0)</f>
        <v>25635</v>
      </c>
      <c r="C114" s="27">
        <f>其他表格!G35*基本公式!$B$4*基本公式!$B$124</f>
        <v>16.104978510311302</v>
      </c>
      <c r="D114" s="30">
        <f t="shared" si="45"/>
        <v>28517</v>
      </c>
      <c r="E114" s="27">
        <f t="shared" si="46"/>
        <v>7.9214022207693802</v>
      </c>
      <c r="F114" s="27">
        <f t="shared" si="47"/>
        <v>0.33005842586539103</v>
      </c>
    </row>
    <row r="115" spans="1:9">
      <c r="A115">
        <v>9</v>
      </c>
      <c r="B115" s="30">
        <f>ROUND(H31*基本公式!$B$166,0)</f>
        <v>36983</v>
      </c>
      <c r="C115" s="27">
        <f>其他表格!G36*基本公式!$B$4*基本公式!$B$124</f>
        <v>27.5972703971062</v>
      </c>
      <c r="D115" s="30">
        <f t="shared" si="45"/>
        <v>41372</v>
      </c>
      <c r="E115" s="27">
        <f t="shared" si="46"/>
        <v>11.4922918867949</v>
      </c>
      <c r="F115" s="27">
        <f t="shared" si="47"/>
        <v>0.47884549528312198</v>
      </c>
    </row>
    <row r="116" spans="1:9">
      <c r="A116">
        <v>10</v>
      </c>
      <c r="B116" s="30">
        <f>ROUND(H32*基本公式!$B$166,0)</f>
        <v>56243</v>
      </c>
      <c r="C116" s="27">
        <f>其他表格!G37*基本公式!$B$4*基本公式!$B$124</f>
        <v>45.649620205739602</v>
      </c>
      <c r="D116" s="30">
        <f t="shared" si="45"/>
        <v>64988</v>
      </c>
      <c r="E116" s="27">
        <f t="shared" si="46"/>
        <v>18.052349808633402</v>
      </c>
      <c r="F116" s="27">
        <f t="shared" si="47"/>
        <v>0.75218124202639103</v>
      </c>
    </row>
    <row r="117" spans="1:9">
      <c r="A117">
        <v>11</v>
      </c>
      <c r="B117" s="30">
        <f>ROUND(H33*基本公式!$B$166,0)</f>
        <v>81848</v>
      </c>
      <c r="C117" s="27">
        <f>其他表格!G38*基本公式!$B$4*基本公式!$B$124</f>
        <v>78.630924756297802</v>
      </c>
      <c r="D117" s="30">
        <f t="shared" si="45"/>
        <v>118733</v>
      </c>
      <c r="E117" s="27">
        <f t="shared" si="46"/>
        <v>32.9813045505582</v>
      </c>
      <c r="F117" s="27">
        <f t="shared" si="47"/>
        <v>1.3742210229399301</v>
      </c>
    </row>
    <row r="118" spans="1:9">
      <c r="A118">
        <v>12</v>
      </c>
      <c r="B118" s="30">
        <f>ROUND(H34*基本公式!$B$166,0)</f>
        <v>147038</v>
      </c>
      <c r="C118" s="27">
        <f>其他表格!G39*基本公式!$B$4*基本公式!$B$124</f>
        <v>124.15409172047001</v>
      </c>
      <c r="D118" s="30">
        <f t="shared" si="45"/>
        <v>163883</v>
      </c>
      <c r="E118" s="27">
        <f t="shared" si="46"/>
        <v>45.523166964172397</v>
      </c>
      <c r="F118" s="27">
        <f t="shared" si="47"/>
        <v>1.8967986235071801</v>
      </c>
    </row>
    <row r="119" spans="1:9">
      <c r="A119">
        <v>13</v>
      </c>
      <c r="B119" s="30">
        <f>ROUND(H35*基本公式!$B$166,0)</f>
        <v>201188</v>
      </c>
      <c r="C119" s="27">
        <f>其他表格!G40*基本公式!$B$4*基本公式!$B$124</f>
        <v>193.6126186674</v>
      </c>
      <c r="D119" s="30">
        <f t="shared" si="45"/>
        <v>250051</v>
      </c>
      <c r="E119" s="27">
        <f t="shared" si="46"/>
        <v>69.458526946929794</v>
      </c>
      <c r="F119" s="27">
        <f t="shared" si="47"/>
        <v>2.89410528945541</v>
      </c>
    </row>
    <row r="120" spans="1:9">
      <c r="A120">
        <v>14</v>
      </c>
      <c r="B120" s="30">
        <f>ROUND(H36*基本公式!$B$166,0)</f>
        <v>248483</v>
      </c>
      <c r="C120" s="27">
        <f>其他表格!G41*基本公式!$B$4*基本公式!$B$124</f>
        <v>285.32385908880002</v>
      </c>
      <c r="D120" s="30">
        <f t="shared" si="45"/>
        <v>330160</v>
      </c>
      <c r="E120" s="27">
        <f t="shared" si="46"/>
        <v>91.711240421400007</v>
      </c>
      <c r="F120" s="27">
        <f t="shared" si="47"/>
        <v>3.8213016842249998</v>
      </c>
    </row>
    <row r="121" spans="1:9">
      <c r="A121">
        <v>15</v>
      </c>
      <c r="B121" s="30">
        <f>ROUND(H37*基本公式!$B$166,0)</f>
        <v>301680</v>
      </c>
      <c r="C121" s="27">
        <f>其他表格!G42*基本公式!$B$4*基本公式!$B$124</f>
        <v>402.24228255000003</v>
      </c>
      <c r="D121" s="30">
        <f t="shared" si="45"/>
        <v>420906</v>
      </c>
      <c r="E121" s="27">
        <f t="shared" si="46"/>
        <v>116.91842346120001</v>
      </c>
      <c r="F121" s="27">
        <f t="shared" si="47"/>
        <v>4.87160097755</v>
      </c>
    </row>
    <row r="122" spans="1:9">
      <c r="A122">
        <v>16</v>
      </c>
      <c r="B122" s="30">
        <f>ROUND(H38*基本公式!$B$166,0)</f>
        <v>353558</v>
      </c>
      <c r="C122" s="27">
        <f>其他表格!G43*基本公式!$B$4*基本公式!$B$124</f>
        <v>547.61405483999999</v>
      </c>
      <c r="D122" s="30">
        <f t="shared" si="45"/>
        <v>523338</v>
      </c>
      <c r="E122" s="27">
        <f t="shared" si="46"/>
        <v>145.37177229</v>
      </c>
      <c r="F122" s="27">
        <f t="shared" si="47"/>
        <v>6.0571571787499998</v>
      </c>
    </row>
    <row r="123" spans="1:9">
      <c r="A123">
        <v>17</v>
      </c>
      <c r="B123" s="30">
        <f>ROUND(H39*基本公式!$B$166,0)</f>
        <v>409238</v>
      </c>
      <c r="C123" s="27">
        <f>其他表格!G44*基本公式!$B$4*基本公式!$B$124</f>
        <v>725.00178719999997</v>
      </c>
      <c r="D123" s="30">
        <f t="shared" si="45"/>
        <v>638596</v>
      </c>
      <c r="E123" s="27">
        <f t="shared" si="46"/>
        <v>177.38773236</v>
      </c>
      <c r="F123" s="27">
        <f t="shared" si="47"/>
        <v>7.3911555150000003</v>
      </c>
    </row>
    <row r="124" spans="1:9">
      <c r="A124">
        <v>18</v>
      </c>
      <c r="B124" s="30">
        <f>ROUND(H40*基本公式!$B$166,0)</f>
        <v>470190</v>
      </c>
      <c r="C124" s="27">
        <f>其他表格!G45*基本公式!$B$4*基本公式!$B$124</f>
        <v>938.31119999999999</v>
      </c>
      <c r="D124" s="30">
        <f t="shared" si="45"/>
        <v>767914</v>
      </c>
      <c r="E124" s="27">
        <f t="shared" si="46"/>
        <v>213.30941279999999</v>
      </c>
      <c r="F124" s="27">
        <f t="shared" si="47"/>
        <v>8.8878921999999996</v>
      </c>
    </row>
    <row r="125" spans="1:9">
      <c r="A125">
        <v>19</v>
      </c>
      <c r="B125" s="30">
        <f>ROUND(H41*基本公式!$B$166,0)</f>
        <v>534548</v>
      </c>
      <c r="C125" s="27">
        <f>其他表格!G46*基本公式!$B$4*基本公式!$B$124</f>
        <v>1191.8198400000001</v>
      </c>
      <c r="D125" s="30">
        <f t="shared" si="45"/>
        <v>912631</v>
      </c>
      <c r="E125" s="27">
        <f t="shared" si="46"/>
        <v>253.50864000000001</v>
      </c>
      <c r="F125" s="27">
        <f t="shared" si="47"/>
        <v>10.562860000000001</v>
      </c>
    </row>
    <row r="126" spans="1:9">
      <c r="A126">
        <v>20</v>
      </c>
      <c r="B126" s="30">
        <f>ROUND(H42*基本公式!$B$166,0)</f>
        <v>628875</v>
      </c>
      <c r="C126" s="27">
        <f>其他表格!G47*基本公式!$B$4*基本公式!$B$124</f>
        <v>1490.2080000000001</v>
      </c>
      <c r="D126" s="30">
        <f t="shared" si="45"/>
        <v>1074197</v>
      </c>
      <c r="E126" s="27">
        <f t="shared" si="46"/>
        <v>298.38816000000003</v>
      </c>
      <c r="F126" s="27">
        <f t="shared" si="47"/>
        <v>12.432840000000001</v>
      </c>
    </row>
    <row r="127" spans="1:9" s="7" customFormat="1" ht="27">
      <c r="A127" s="7" t="s">
        <v>86</v>
      </c>
      <c r="B127" s="28" t="s">
        <v>230</v>
      </c>
      <c r="C127" s="29" t="s">
        <v>231</v>
      </c>
      <c r="D127" s="28" t="s">
        <v>232</v>
      </c>
      <c r="E127" s="29" t="s">
        <v>233</v>
      </c>
      <c r="F127" s="29" t="s">
        <v>234</v>
      </c>
      <c r="G127" s="7" t="s">
        <v>248</v>
      </c>
      <c r="H127" s="7" t="s">
        <v>249</v>
      </c>
      <c r="I127" s="7" t="s">
        <v>250</v>
      </c>
    </row>
    <row r="128" spans="1:9">
      <c r="A128">
        <v>1</v>
      </c>
      <c r="B128" s="30">
        <f>ROUND(H23*基本公式!$B$167,0)</f>
        <v>240</v>
      </c>
      <c r="C128" s="27">
        <f>其他表格!G28*基本公式!$B$4*基本公式!$B$125</f>
        <v>1.5660044217276702E-2</v>
      </c>
      <c r="D128" s="30">
        <f>ROUND(E128*3600,0)</f>
        <v>56</v>
      </c>
      <c r="E128" s="27">
        <f>C128</f>
        <v>1.5660044217276702E-2</v>
      </c>
      <c r="F128" s="27">
        <f>E128/24</f>
        <v>6.5250184238652999E-4</v>
      </c>
      <c r="G128" s="13">
        <f>H128</f>
        <v>610</v>
      </c>
      <c r="H128">
        <f>ROUND(兵消耗!J2*基本公式!$B$51*基本公式!$B$52*基本公式!$B$53,-1)</f>
        <v>610</v>
      </c>
      <c r="I128" s="13">
        <v>1</v>
      </c>
    </row>
    <row r="129" spans="1:9">
      <c r="A129">
        <v>2</v>
      </c>
      <c r="B129" s="30">
        <f>ROUND(H24*基本公式!$B$167,0)</f>
        <v>465</v>
      </c>
      <c r="C129" s="27">
        <f>其他表格!G29*基本公式!$B$4*基本公式!$B$125</f>
        <v>0.13765859420488</v>
      </c>
      <c r="D129" s="30">
        <f t="shared" ref="D129" si="48">ROUND(E129*3600,0)</f>
        <v>439</v>
      </c>
      <c r="E129" s="27">
        <f t="shared" ref="E129" si="49">C129-C128</f>
        <v>0.121998549987603</v>
      </c>
      <c r="F129" s="27">
        <f t="shared" ref="F129" si="50">E129/24</f>
        <v>5.0832729161501503E-3</v>
      </c>
      <c r="G129" s="13">
        <f t="shared" ref="G129" si="51">H129</f>
        <v>1190</v>
      </c>
      <c r="H129">
        <f>ROUND(兵消耗!J3*基本公式!$B$51*基本公式!$B$52*基本公式!$B$53,-1)</f>
        <v>1190</v>
      </c>
      <c r="I129" s="13">
        <v>1</v>
      </c>
    </row>
    <row r="130" spans="1:9">
      <c r="A130">
        <v>3</v>
      </c>
      <c r="B130" s="30">
        <f>ROUND(H25*基本公式!$B$167,0)</f>
        <v>690</v>
      </c>
      <c r="C130" s="27">
        <f>其他表格!G30*基本公式!$B$4*基本公式!$B$125</f>
        <v>0.57961513349423299</v>
      </c>
      <c r="D130" s="30">
        <f t="shared" ref="D130:D147" si="52">ROUND(E130*3600,0)</f>
        <v>1591</v>
      </c>
      <c r="E130" s="27">
        <f t="shared" ref="E130:E147" si="53">C130-C129</f>
        <v>0.44195653928935202</v>
      </c>
      <c r="F130" s="27">
        <f t="shared" ref="F130:F147" si="54">E130/24</f>
        <v>1.8414855803722999E-2</v>
      </c>
      <c r="G130" s="13">
        <f t="shared" ref="G130:G147" si="55">H130</f>
        <v>1760</v>
      </c>
      <c r="H130">
        <f>ROUND(兵消耗!J4*基本公式!$B$51*基本公式!$B$52*基本公式!$B$53,-1)</f>
        <v>1760</v>
      </c>
      <c r="I130" s="13">
        <v>1</v>
      </c>
    </row>
    <row r="131" spans="1:9">
      <c r="A131">
        <v>4</v>
      </c>
      <c r="B131" s="30">
        <f>ROUND(H26*基本公式!$B$167,0)</f>
        <v>1140</v>
      </c>
      <c r="C131" s="27">
        <f>其他表格!G31*基本公式!$B$4*基本公式!$B$125</f>
        <v>1.3727726845916</v>
      </c>
      <c r="D131" s="30">
        <f t="shared" si="52"/>
        <v>2855</v>
      </c>
      <c r="E131" s="27">
        <f t="shared" si="53"/>
        <v>0.79315755109737096</v>
      </c>
      <c r="F131" s="27">
        <f t="shared" si="54"/>
        <v>3.3048231295723797E-2</v>
      </c>
      <c r="G131" s="13">
        <f t="shared" si="55"/>
        <v>2920</v>
      </c>
      <c r="H131">
        <f>ROUND(兵消耗!J5*基本公式!$B$51*基本公式!$B$52*基本公式!$B$53,-1)</f>
        <v>2920</v>
      </c>
      <c r="I131" s="13">
        <v>1</v>
      </c>
    </row>
    <row r="132" spans="1:9">
      <c r="A132">
        <v>5</v>
      </c>
      <c r="B132" s="30">
        <f>ROUND(H27*基本公式!$B$167,0)</f>
        <v>1895</v>
      </c>
      <c r="C132" s="27">
        <f>其他表格!G32*基本公式!$B$4*基本公式!$B$125</f>
        <v>2.7294895483107902</v>
      </c>
      <c r="D132" s="30">
        <f t="shared" si="52"/>
        <v>4884</v>
      </c>
      <c r="E132" s="27">
        <f t="shared" si="53"/>
        <v>1.35671686371919</v>
      </c>
      <c r="F132" s="27">
        <f t="shared" si="54"/>
        <v>5.65298693216328E-2</v>
      </c>
      <c r="G132" s="13">
        <f t="shared" si="55"/>
        <v>4650</v>
      </c>
      <c r="H132">
        <f>ROUND(兵消耗!J6*基本公式!$B$51*基本公式!$B$52*基本公式!$B$53,-1)</f>
        <v>4650</v>
      </c>
      <c r="I132" s="13">
        <v>1</v>
      </c>
    </row>
    <row r="133" spans="1:9">
      <c r="A133">
        <v>6</v>
      </c>
      <c r="B133" s="30">
        <f>ROUND(H28*基本公式!$B$167,0)</f>
        <v>4825</v>
      </c>
      <c r="C133" s="27">
        <f>其他表格!G33*基本公式!$B$4*基本公式!$B$125</f>
        <v>4.73224194134378</v>
      </c>
      <c r="D133" s="30">
        <f t="shared" si="52"/>
        <v>7210</v>
      </c>
      <c r="E133" s="27">
        <f t="shared" si="53"/>
        <v>2.0027523930329898</v>
      </c>
      <c r="F133" s="27">
        <f t="shared" si="54"/>
        <v>8.3448016376374695E-2</v>
      </c>
      <c r="G133" s="13">
        <f t="shared" si="55"/>
        <v>7540</v>
      </c>
      <c r="H133">
        <f>ROUND(兵消耗!J7*基本公式!$B$51*基本公式!$B$52*基本公式!$B$53,-1)</f>
        <v>7540</v>
      </c>
      <c r="I133" s="13">
        <v>1</v>
      </c>
    </row>
    <row r="134" spans="1:9">
      <c r="A134">
        <v>7</v>
      </c>
      <c r="B134" s="30">
        <f>ROUND(H29*基本公式!$B$167,0)</f>
        <v>9505</v>
      </c>
      <c r="C134" s="27">
        <f>其他表格!G34*基本公式!$B$4*基本公式!$B$125</f>
        <v>8.1835762895418807</v>
      </c>
      <c r="D134" s="30">
        <f t="shared" si="52"/>
        <v>12425</v>
      </c>
      <c r="E134" s="27">
        <f t="shared" si="53"/>
        <v>3.4513343481980998</v>
      </c>
      <c r="F134" s="27">
        <f t="shared" si="54"/>
        <v>0.143805597841587</v>
      </c>
      <c r="G134" s="13">
        <f t="shared" si="55"/>
        <v>12160</v>
      </c>
      <c r="H134">
        <f>ROUND(兵消耗!J8*基本公式!$B$51*基本公式!$B$52*基本公式!$B$53,-1)</f>
        <v>12160</v>
      </c>
      <c r="I134" s="13">
        <v>2</v>
      </c>
    </row>
    <row r="135" spans="1:9">
      <c r="A135">
        <v>8</v>
      </c>
      <c r="B135" s="30">
        <f>ROUND(H30*基本公式!$B$167,0)</f>
        <v>17090</v>
      </c>
      <c r="C135" s="27">
        <f>其他表格!G35*基本公式!$B$4*基本公式!$B$125</f>
        <v>16.104978510311302</v>
      </c>
      <c r="D135" s="30">
        <f t="shared" si="52"/>
        <v>28517</v>
      </c>
      <c r="E135" s="27">
        <f t="shared" si="53"/>
        <v>7.9214022207693802</v>
      </c>
      <c r="F135" s="27">
        <f t="shared" si="54"/>
        <v>0.33005842586539103</v>
      </c>
      <c r="G135" s="13">
        <f t="shared" si="55"/>
        <v>19680</v>
      </c>
      <c r="H135">
        <f>ROUND(兵消耗!J9*基本公式!$B$51*基本公式!$B$52*基本公式!$B$53,-1)</f>
        <v>19680</v>
      </c>
      <c r="I135" s="13">
        <v>2</v>
      </c>
    </row>
    <row r="136" spans="1:9">
      <c r="A136">
        <v>9</v>
      </c>
      <c r="B136" s="30">
        <f>ROUND(H31*基本公式!$B$167,0)</f>
        <v>24655</v>
      </c>
      <c r="C136" s="27">
        <f>其他表格!G36*基本公式!$B$4*基本公式!$B$125</f>
        <v>27.5972703971062</v>
      </c>
      <c r="D136" s="30">
        <f t="shared" si="52"/>
        <v>41372</v>
      </c>
      <c r="E136" s="27">
        <f t="shared" si="53"/>
        <v>11.4922918867949</v>
      </c>
      <c r="F136" s="27">
        <f t="shared" si="54"/>
        <v>0.47884549528312198</v>
      </c>
      <c r="G136" s="13">
        <f t="shared" si="55"/>
        <v>27190</v>
      </c>
      <c r="H136">
        <f>ROUND(兵消耗!J10*基本公式!$B$51*基本公式!$B$52*基本公式!$B$53,-1)</f>
        <v>27190</v>
      </c>
      <c r="I136" s="13">
        <v>2</v>
      </c>
    </row>
    <row r="137" spans="1:9">
      <c r="A137">
        <v>10</v>
      </c>
      <c r="B137" s="30">
        <f>ROUND(H32*基本公式!$B$167,0)</f>
        <v>37495</v>
      </c>
      <c r="C137" s="27">
        <f>其他表格!G37*基本公式!$B$4*基本公式!$B$125</f>
        <v>45.649620205739602</v>
      </c>
      <c r="D137" s="30">
        <f t="shared" si="52"/>
        <v>64988</v>
      </c>
      <c r="E137" s="27">
        <f t="shared" si="53"/>
        <v>18.052349808633402</v>
      </c>
      <c r="F137" s="27">
        <f t="shared" si="54"/>
        <v>0.75218124202639103</v>
      </c>
      <c r="G137" s="13">
        <f t="shared" si="55"/>
        <v>39330</v>
      </c>
      <c r="H137">
        <f>ROUND(兵消耗!J11*基本公式!$B$51*基本公式!$B$52*基本公式!$B$53,-1)</f>
        <v>39330</v>
      </c>
      <c r="I137" s="13">
        <v>2</v>
      </c>
    </row>
    <row r="138" spans="1:9">
      <c r="A138">
        <v>11</v>
      </c>
      <c r="B138" s="30">
        <f>ROUND(H33*基本公式!$B$167,0)</f>
        <v>54565</v>
      </c>
      <c r="C138" s="27">
        <f>其他表格!G38*基本公式!$B$4*基本公式!$B$125</f>
        <v>78.630924756297802</v>
      </c>
      <c r="D138" s="30">
        <f t="shared" si="52"/>
        <v>118733</v>
      </c>
      <c r="E138" s="27">
        <f t="shared" si="53"/>
        <v>32.9813045505582</v>
      </c>
      <c r="F138" s="27">
        <f t="shared" si="54"/>
        <v>1.3742210229399301</v>
      </c>
      <c r="G138" s="13">
        <f t="shared" si="55"/>
        <v>46840</v>
      </c>
      <c r="H138">
        <f>ROUND(兵消耗!J12*基本公式!$B$51*基本公式!$B$52*基本公式!$B$53,-1)</f>
        <v>46840</v>
      </c>
      <c r="I138" s="13">
        <v>2</v>
      </c>
    </row>
    <row r="139" spans="1:9">
      <c r="A139">
        <v>12</v>
      </c>
      <c r="B139" s="30">
        <f>ROUND(H34*基本公式!$B$167,0)</f>
        <v>98025</v>
      </c>
      <c r="C139" s="27">
        <f>其他表格!G39*基本公式!$B$4*基本公式!$B$125</f>
        <v>124.15409172047001</v>
      </c>
      <c r="D139" s="30">
        <f t="shared" si="52"/>
        <v>163883</v>
      </c>
      <c r="E139" s="27">
        <f t="shared" si="53"/>
        <v>45.523166964172397</v>
      </c>
      <c r="F139" s="27">
        <f t="shared" si="54"/>
        <v>1.8967986235071801</v>
      </c>
      <c r="G139" s="13">
        <f t="shared" si="55"/>
        <v>66490</v>
      </c>
      <c r="H139">
        <f>ROUND(兵消耗!J13*基本公式!$B$51*基本公式!$B$52*基本公式!$B$53,-1)</f>
        <v>66490</v>
      </c>
      <c r="I139" s="13">
        <v>3</v>
      </c>
    </row>
    <row r="140" spans="1:9">
      <c r="A140">
        <v>13</v>
      </c>
      <c r="B140" s="30">
        <f>ROUND(H35*基本公式!$B$167,0)</f>
        <v>134125</v>
      </c>
      <c r="C140" s="27">
        <f>其他表格!G40*基本公式!$B$4*基本公式!$B$125</f>
        <v>193.6126186674</v>
      </c>
      <c r="D140" s="30">
        <f t="shared" si="52"/>
        <v>250051</v>
      </c>
      <c r="E140" s="27">
        <f t="shared" si="53"/>
        <v>69.458526946929794</v>
      </c>
      <c r="F140" s="27">
        <f t="shared" si="54"/>
        <v>2.89410528945541</v>
      </c>
      <c r="G140" s="13">
        <f t="shared" si="55"/>
        <v>83260</v>
      </c>
      <c r="H140">
        <f>ROUND(兵消耗!J14*基本公式!$B$51*基本公式!$B$52*基本公式!$B$53,-1)</f>
        <v>83260</v>
      </c>
      <c r="I140" s="13">
        <v>3</v>
      </c>
    </row>
    <row r="141" spans="1:9">
      <c r="A141">
        <v>14</v>
      </c>
      <c r="B141" s="30">
        <f>ROUND(H36*基本公式!$B$167,0)</f>
        <v>165655</v>
      </c>
      <c r="C141" s="27">
        <f>其他表格!G41*基本公式!$B$4*基本公式!$B$125</f>
        <v>285.32385908880002</v>
      </c>
      <c r="D141" s="30">
        <f t="shared" si="52"/>
        <v>330160</v>
      </c>
      <c r="E141" s="27">
        <f t="shared" si="53"/>
        <v>91.711240421400007</v>
      </c>
      <c r="F141" s="27">
        <f t="shared" si="54"/>
        <v>3.8213016842249998</v>
      </c>
      <c r="G141" s="13">
        <f t="shared" si="55"/>
        <v>98290</v>
      </c>
      <c r="H141">
        <f>ROUND(兵消耗!J15*基本公式!$B$51*基本公式!$B$52*基本公式!$B$53,-1)</f>
        <v>98290</v>
      </c>
      <c r="I141" s="13">
        <v>3</v>
      </c>
    </row>
    <row r="142" spans="1:9">
      <c r="A142">
        <v>15</v>
      </c>
      <c r="B142" s="30">
        <f>ROUND(H37*基本公式!$B$167,0)</f>
        <v>201120</v>
      </c>
      <c r="C142" s="27">
        <f>其他表格!G42*基本公式!$B$4*基本公式!$B$125</f>
        <v>402.24228255000003</v>
      </c>
      <c r="D142" s="30">
        <f t="shared" si="52"/>
        <v>420906</v>
      </c>
      <c r="E142" s="27">
        <f t="shared" si="53"/>
        <v>116.91842346120001</v>
      </c>
      <c r="F142" s="27">
        <f t="shared" si="54"/>
        <v>4.87160097755</v>
      </c>
      <c r="G142" s="13">
        <f t="shared" si="55"/>
        <v>115630</v>
      </c>
      <c r="H142">
        <f>ROUND(兵消耗!J16*基本公式!$B$51*基本公式!$B$52*基本公式!$B$53,-1)</f>
        <v>115630</v>
      </c>
      <c r="I142" s="13">
        <v>3</v>
      </c>
    </row>
    <row r="143" spans="1:9">
      <c r="A143">
        <v>16</v>
      </c>
      <c r="B143" s="30">
        <f>ROUND(H38*基本公式!$B$167,0)</f>
        <v>235705</v>
      </c>
      <c r="C143" s="27">
        <f>其他表格!G43*基本公式!$B$4*基本公式!$B$125</f>
        <v>547.61405483999999</v>
      </c>
      <c r="D143" s="30">
        <f t="shared" si="52"/>
        <v>523338</v>
      </c>
      <c r="E143" s="27">
        <f t="shared" si="53"/>
        <v>145.37177229</v>
      </c>
      <c r="F143" s="27">
        <f t="shared" si="54"/>
        <v>6.0571571787499998</v>
      </c>
      <c r="G143" s="13">
        <f t="shared" si="55"/>
        <v>132980</v>
      </c>
      <c r="H143">
        <f>ROUND(兵消耗!J17*基本公式!$B$51*基本公式!$B$52*基本公式!$B$53,-1)</f>
        <v>132980</v>
      </c>
      <c r="I143" s="13">
        <v>4</v>
      </c>
    </row>
    <row r="144" spans="1:9">
      <c r="A144">
        <v>17</v>
      </c>
      <c r="B144" s="30">
        <f>ROUND(H39*基本公式!$B$167,0)</f>
        <v>272825</v>
      </c>
      <c r="C144" s="27">
        <f>其他表格!G44*基本公式!$B$4*基本公式!$B$125</f>
        <v>725.00178719999997</v>
      </c>
      <c r="D144" s="30">
        <f t="shared" si="52"/>
        <v>638596</v>
      </c>
      <c r="E144" s="27">
        <f t="shared" si="53"/>
        <v>177.38773236</v>
      </c>
      <c r="F144" s="27">
        <f t="shared" si="54"/>
        <v>7.3911555150000003</v>
      </c>
      <c r="G144" s="13">
        <f t="shared" si="55"/>
        <v>152050</v>
      </c>
      <c r="H144">
        <f>ROUND(兵消耗!J18*基本公式!$B$51*基本公式!$B$52*基本公式!$B$53,-1)</f>
        <v>152050</v>
      </c>
      <c r="I144" s="13">
        <v>4</v>
      </c>
    </row>
    <row r="145" spans="1:9" ht="12.75" customHeight="1">
      <c r="A145">
        <v>18</v>
      </c>
      <c r="B145" s="30">
        <f>ROUND(H40*基本公式!$B$167,0)</f>
        <v>313460</v>
      </c>
      <c r="C145" s="27">
        <f>其他表格!G45*基本公式!$B$4*基本公式!$B$125</f>
        <v>938.31119999999999</v>
      </c>
      <c r="D145" s="30">
        <f t="shared" si="52"/>
        <v>767914</v>
      </c>
      <c r="E145" s="27">
        <f t="shared" si="53"/>
        <v>213.30941279999999</v>
      </c>
      <c r="F145" s="27">
        <f t="shared" si="54"/>
        <v>8.8878921999999996</v>
      </c>
      <c r="G145" s="13">
        <f t="shared" si="55"/>
        <v>173440</v>
      </c>
      <c r="H145">
        <f>ROUND(兵消耗!J19*基本公式!$B$51*基本公式!$B$52*基本公式!$B$53,-1)</f>
        <v>173440</v>
      </c>
      <c r="I145" s="13">
        <v>4</v>
      </c>
    </row>
    <row r="146" spans="1:9">
      <c r="A146">
        <v>19</v>
      </c>
      <c r="B146" s="30">
        <f>ROUND(H41*基本公式!$B$167,0)</f>
        <v>356365</v>
      </c>
      <c r="C146" s="27">
        <f>其他表格!G46*基本公式!$B$4*基本公式!$B$125</f>
        <v>1191.8198400000001</v>
      </c>
      <c r="D146" s="30">
        <f t="shared" si="52"/>
        <v>912631</v>
      </c>
      <c r="E146" s="27">
        <f t="shared" si="53"/>
        <v>253.50864000000001</v>
      </c>
      <c r="F146" s="27">
        <f t="shared" si="54"/>
        <v>10.562860000000001</v>
      </c>
      <c r="G146" s="13">
        <f t="shared" si="55"/>
        <v>196570</v>
      </c>
      <c r="H146">
        <f>ROUND(兵消耗!J20*基本公式!$B$51*基本公式!$B$52*基本公式!$B$53,-1)</f>
        <v>196570</v>
      </c>
      <c r="I146" s="13">
        <v>4</v>
      </c>
    </row>
    <row r="147" spans="1:9">
      <c r="A147">
        <v>20</v>
      </c>
      <c r="B147" s="30">
        <f>ROUND(H42*基本公式!$B$167,0)</f>
        <v>419250</v>
      </c>
      <c r="C147" s="27">
        <f>其他表格!G47*基本公式!$B$4*基本公式!$B$125</f>
        <v>1490.2080000000001</v>
      </c>
      <c r="D147" s="30">
        <f t="shared" si="52"/>
        <v>1074197</v>
      </c>
      <c r="E147" s="27">
        <f t="shared" si="53"/>
        <v>298.38816000000003</v>
      </c>
      <c r="F147" s="27">
        <f t="shared" si="54"/>
        <v>12.432840000000001</v>
      </c>
      <c r="G147" s="13">
        <f t="shared" si="55"/>
        <v>231260</v>
      </c>
      <c r="H147">
        <f>ROUND(兵消耗!J21*基本公式!$B$51*基本公式!$B$52*基本公式!$B$53,-1)</f>
        <v>231260</v>
      </c>
      <c r="I147" s="13">
        <v>5</v>
      </c>
    </row>
    <row r="148" spans="1:9" s="7" customFormat="1" ht="27">
      <c r="A148" s="7" t="s">
        <v>87</v>
      </c>
      <c r="B148" s="28" t="s">
        <v>230</v>
      </c>
      <c r="C148" s="29" t="s">
        <v>231</v>
      </c>
      <c r="D148" s="28" t="s">
        <v>232</v>
      </c>
      <c r="E148" s="29" t="s">
        <v>233</v>
      </c>
      <c r="F148" s="29" t="s">
        <v>234</v>
      </c>
    </row>
    <row r="149" spans="1:9">
      <c r="A149" s="1">
        <v>1</v>
      </c>
      <c r="B149" s="30">
        <f>ROUND(H23*基本公式!$B$168,0)</f>
        <v>240</v>
      </c>
      <c r="C149" s="27">
        <f>其他表格!G28*基本公式!$B$4*基本公式!$B$126</f>
        <v>9.7875276357979497E-3</v>
      </c>
      <c r="D149" s="30">
        <f>ROUND(E149*3600,0)</f>
        <v>35</v>
      </c>
      <c r="E149" s="27">
        <f>C149</f>
        <v>9.7875276357979497E-3</v>
      </c>
      <c r="F149" s="27">
        <f>E149/24</f>
        <v>4.0781365149158099E-4</v>
      </c>
    </row>
    <row r="150" spans="1:9">
      <c r="A150" s="1">
        <v>2</v>
      </c>
      <c r="B150" s="30">
        <f>ROUND(H24*基本公式!$B$168,0)</f>
        <v>465</v>
      </c>
      <c r="C150" s="27">
        <f>其他表格!G29*基本公式!$B$4*基本公式!$B$126</f>
        <v>8.6036621378050099E-2</v>
      </c>
      <c r="D150" s="30">
        <f t="shared" ref="D150" si="56">ROUND(E150*3600,0)</f>
        <v>274</v>
      </c>
      <c r="E150" s="27">
        <f t="shared" ref="E150" si="57">C150-C149</f>
        <v>7.6249093742252194E-2</v>
      </c>
      <c r="F150" s="27">
        <f t="shared" ref="F150" si="58">E150/24</f>
        <v>3.1770455725938398E-3</v>
      </c>
    </row>
    <row r="151" spans="1:9">
      <c r="A151" s="1">
        <v>3</v>
      </c>
      <c r="B151" s="30">
        <f>ROUND(H25*基本公式!$B$168,0)</f>
        <v>690</v>
      </c>
      <c r="C151" s="27">
        <f>其他表格!G30*基本公式!$B$4*基本公式!$B$126</f>
        <v>0.36225945843389501</v>
      </c>
      <c r="D151" s="30">
        <f t="shared" ref="D151:D168" si="59">ROUND(E151*3600,0)</f>
        <v>994</v>
      </c>
      <c r="E151" s="27">
        <f t="shared" ref="E151:E168" si="60">C151-C150</f>
        <v>0.27622283705584499</v>
      </c>
      <c r="F151" s="27">
        <f t="shared" ref="F151:F168" si="61">E151/24</f>
        <v>1.15092848773269E-2</v>
      </c>
    </row>
    <row r="152" spans="1:9">
      <c r="A152" s="1">
        <v>4</v>
      </c>
      <c r="B152" s="30">
        <f>ROUND(H26*基本公式!$B$168,0)</f>
        <v>1140</v>
      </c>
      <c r="C152" s="27">
        <f>其他表格!G31*基本公式!$B$4*基本公式!$B$126</f>
        <v>0.85798292786975205</v>
      </c>
      <c r="D152" s="30">
        <f t="shared" si="59"/>
        <v>1785</v>
      </c>
      <c r="E152" s="27">
        <f t="shared" si="60"/>
        <v>0.49572346943585699</v>
      </c>
      <c r="F152" s="27">
        <f t="shared" si="61"/>
        <v>2.06551445598274E-2</v>
      </c>
    </row>
    <row r="153" spans="1:9">
      <c r="A153" s="1">
        <v>5</v>
      </c>
      <c r="B153" s="30">
        <f>ROUND(H27*基本公式!$B$168,0)</f>
        <v>1895</v>
      </c>
      <c r="C153" s="27">
        <f>其他表格!G32*基本公式!$B$4*基本公式!$B$126</f>
        <v>1.70593096769424</v>
      </c>
      <c r="D153" s="30">
        <f t="shared" si="59"/>
        <v>3053</v>
      </c>
      <c r="E153" s="27">
        <f t="shared" si="60"/>
        <v>0.84794803982449196</v>
      </c>
      <c r="F153" s="27">
        <f t="shared" si="61"/>
        <v>3.5331168326020498E-2</v>
      </c>
    </row>
    <row r="154" spans="1:9">
      <c r="A154" s="1">
        <v>6</v>
      </c>
      <c r="B154" s="30">
        <f>ROUND(H28*基本公式!$B$168,0)</f>
        <v>4825</v>
      </c>
      <c r="C154" s="27">
        <f>其他表格!G33*基本公式!$B$4*基本公式!$B$126</f>
        <v>2.95765121333987</v>
      </c>
      <c r="D154" s="30">
        <f t="shared" si="59"/>
        <v>4506</v>
      </c>
      <c r="E154" s="27">
        <f t="shared" si="60"/>
        <v>1.25172024564562</v>
      </c>
      <c r="F154" s="27">
        <f t="shared" si="61"/>
        <v>5.2155010235234202E-2</v>
      </c>
    </row>
    <row r="155" spans="1:9">
      <c r="A155" s="1">
        <v>7</v>
      </c>
      <c r="B155" s="30">
        <f>ROUND(H29*基本公式!$B$168,0)</f>
        <v>9505</v>
      </c>
      <c r="C155" s="27">
        <f>其他表格!G34*基本公式!$B$4*基本公式!$B$126</f>
        <v>5.1147351809636801</v>
      </c>
      <c r="D155" s="30">
        <f t="shared" si="59"/>
        <v>7766</v>
      </c>
      <c r="E155" s="27">
        <f t="shared" si="60"/>
        <v>2.1570839676238101</v>
      </c>
      <c r="F155" s="27">
        <f t="shared" si="61"/>
        <v>8.9878498650992095E-2</v>
      </c>
    </row>
    <row r="156" spans="1:9">
      <c r="A156" s="1">
        <v>8</v>
      </c>
      <c r="B156" s="30">
        <f>ROUND(H30*基本公式!$B$168,0)</f>
        <v>17090</v>
      </c>
      <c r="C156" s="27">
        <f>其他表格!G35*基本公式!$B$4*基本公式!$B$126</f>
        <v>10.065611568944499</v>
      </c>
      <c r="D156" s="30">
        <f t="shared" si="59"/>
        <v>17823</v>
      </c>
      <c r="E156" s="27">
        <f t="shared" si="60"/>
        <v>4.9508763879808599</v>
      </c>
      <c r="F156" s="27">
        <f t="shared" si="61"/>
        <v>0.20628651616586899</v>
      </c>
    </row>
    <row r="157" spans="1:9">
      <c r="A157" s="1">
        <v>9</v>
      </c>
      <c r="B157" s="30">
        <f>ROUND(H31*基本公式!$B$168,0)</f>
        <v>24655</v>
      </c>
      <c r="C157" s="27">
        <f>其他表格!G36*基本公式!$B$4*基本公式!$B$126</f>
        <v>17.2482939981914</v>
      </c>
      <c r="D157" s="30">
        <f t="shared" si="59"/>
        <v>25858</v>
      </c>
      <c r="E157" s="27">
        <f t="shared" si="60"/>
        <v>7.1826824292468299</v>
      </c>
      <c r="F157" s="27">
        <f t="shared" si="61"/>
        <v>0.29927843455195102</v>
      </c>
    </row>
    <row r="158" spans="1:9">
      <c r="A158" s="1">
        <v>10</v>
      </c>
      <c r="B158" s="30">
        <f>ROUND(H32*基本公式!$B$168,0)</f>
        <v>37495</v>
      </c>
      <c r="C158" s="27">
        <f>其他表格!G37*基本公式!$B$4*基本公式!$B$126</f>
        <v>28.531012628587199</v>
      </c>
      <c r="D158" s="30">
        <f t="shared" si="59"/>
        <v>40618</v>
      </c>
      <c r="E158" s="27">
        <f t="shared" si="60"/>
        <v>11.2827186303959</v>
      </c>
      <c r="F158" s="27">
        <f t="shared" si="61"/>
        <v>0.47011327626649402</v>
      </c>
    </row>
    <row r="159" spans="1:9">
      <c r="A159" s="1">
        <v>11</v>
      </c>
      <c r="B159" s="30">
        <f>ROUND(H33*基本公式!$B$168,0)</f>
        <v>54565</v>
      </c>
      <c r="C159" s="27">
        <f>其他表格!G38*基本公式!$B$4*基本公式!$B$126</f>
        <v>49.144327972686099</v>
      </c>
      <c r="D159" s="30">
        <f t="shared" si="59"/>
        <v>74208</v>
      </c>
      <c r="E159" s="27">
        <f t="shared" si="60"/>
        <v>20.613315344098901</v>
      </c>
      <c r="F159" s="27">
        <f t="shared" si="61"/>
        <v>0.858888139337455</v>
      </c>
    </row>
    <row r="160" spans="1:9">
      <c r="A160" s="1">
        <v>12</v>
      </c>
      <c r="B160" s="30">
        <f>ROUND(H34*基本公式!$B$168,0)</f>
        <v>98025</v>
      </c>
      <c r="C160" s="27">
        <f>其他表格!G39*基本公式!$B$4*基本公式!$B$126</f>
        <v>77.596307325293907</v>
      </c>
      <c r="D160" s="30">
        <f t="shared" si="59"/>
        <v>102427</v>
      </c>
      <c r="E160" s="27">
        <f t="shared" si="60"/>
        <v>28.4519793526078</v>
      </c>
      <c r="F160" s="27">
        <f t="shared" si="61"/>
        <v>1.1854991396919901</v>
      </c>
    </row>
    <row r="161" spans="1:6">
      <c r="A161" s="1">
        <v>13</v>
      </c>
      <c r="B161" s="30">
        <f>ROUND(H35*基本公式!$B$168,0)</f>
        <v>134125</v>
      </c>
      <c r="C161" s="27">
        <f>其他表格!G40*基本公式!$B$4*基本公式!$B$126</f>
        <v>121.00788666712501</v>
      </c>
      <c r="D161" s="30">
        <f t="shared" si="59"/>
        <v>156282</v>
      </c>
      <c r="E161" s="27">
        <f t="shared" si="60"/>
        <v>43.4115793418311</v>
      </c>
      <c r="F161" s="27">
        <f t="shared" si="61"/>
        <v>1.80881580590963</v>
      </c>
    </row>
    <row r="162" spans="1:6">
      <c r="A162" s="1">
        <v>14</v>
      </c>
      <c r="B162" s="30">
        <f>ROUND(H36*基本公式!$B$168,0)</f>
        <v>165655</v>
      </c>
      <c r="C162" s="27">
        <f>其他表格!G41*基本公式!$B$4*基本公式!$B$126</f>
        <v>178.32741193050001</v>
      </c>
      <c r="D162" s="30">
        <f t="shared" si="59"/>
        <v>206350</v>
      </c>
      <c r="E162" s="27">
        <f t="shared" si="60"/>
        <v>57.319525263374999</v>
      </c>
      <c r="F162" s="27">
        <f t="shared" si="61"/>
        <v>2.3883135526406298</v>
      </c>
    </row>
    <row r="163" spans="1:6">
      <c r="A163" s="1">
        <v>15</v>
      </c>
      <c r="B163" s="30">
        <f>ROUND(H37*基本公式!$B$168,0)</f>
        <v>201120</v>
      </c>
      <c r="C163" s="27">
        <f>其他表格!G42*基本公式!$B$4*基本公式!$B$126</f>
        <v>251.40142659374999</v>
      </c>
      <c r="D163" s="30">
        <f t="shared" si="59"/>
        <v>263066</v>
      </c>
      <c r="E163" s="27">
        <f t="shared" si="60"/>
        <v>73.074014663249997</v>
      </c>
      <c r="F163" s="27">
        <f t="shared" si="61"/>
        <v>3.0447506109687499</v>
      </c>
    </row>
    <row r="164" spans="1:6">
      <c r="A164" s="1">
        <v>16</v>
      </c>
      <c r="B164" s="30">
        <f>ROUND(H38*基本公式!$B$168,0)</f>
        <v>235705</v>
      </c>
      <c r="C164" s="27">
        <f>其他表格!G43*基本公式!$B$4*基本公式!$B$126</f>
        <v>342.25878427499998</v>
      </c>
      <c r="D164" s="30">
        <f t="shared" si="59"/>
        <v>327086</v>
      </c>
      <c r="E164" s="27">
        <f t="shared" si="60"/>
        <v>90.857357681249994</v>
      </c>
      <c r="F164" s="27">
        <f t="shared" si="61"/>
        <v>3.7857232367187499</v>
      </c>
    </row>
    <row r="165" spans="1:6">
      <c r="A165" s="1">
        <v>17</v>
      </c>
      <c r="B165" s="30">
        <f>ROUND(H39*基本公式!$B$168,0)</f>
        <v>272825</v>
      </c>
      <c r="C165" s="27">
        <f>其他表格!G44*基本公式!$B$4*基本公式!$B$126</f>
        <v>453.12611700000002</v>
      </c>
      <c r="D165" s="30">
        <f t="shared" si="59"/>
        <v>399122</v>
      </c>
      <c r="E165" s="27">
        <f t="shared" si="60"/>
        <v>110.867332725</v>
      </c>
      <c r="F165" s="27">
        <f t="shared" si="61"/>
        <v>4.6194721968749999</v>
      </c>
    </row>
    <row r="166" spans="1:6">
      <c r="A166" s="1">
        <v>18</v>
      </c>
      <c r="B166" s="30">
        <f>ROUND(H40*基本公式!$B$168,0)</f>
        <v>313460</v>
      </c>
      <c r="C166" s="27">
        <f>其他表格!G45*基本公式!$B$4*基本公式!$B$126</f>
        <v>586.44449999999995</v>
      </c>
      <c r="D166" s="30">
        <f t="shared" si="59"/>
        <v>479946</v>
      </c>
      <c r="E166" s="27">
        <f t="shared" si="60"/>
        <v>133.31838300000001</v>
      </c>
      <c r="F166" s="27">
        <f t="shared" si="61"/>
        <v>5.5549326250000002</v>
      </c>
    </row>
    <row r="167" spans="1:6">
      <c r="A167" s="1">
        <v>19</v>
      </c>
      <c r="B167" s="30">
        <f>ROUND(H41*基本公式!$B$168,0)</f>
        <v>356365</v>
      </c>
      <c r="C167" s="27">
        <f>其他表格!G46*基本公式!$B$4*基本公式!$B$126</f>
        <v>744.88739999999996</v>
      </c>
      <c r="D167" s="30">
        <f t="shared" si="59"/>
        <v>570394</v>
      </c>
      <c r="E167" s="27">
        <f t="shared" si="60"/>
        <v>158.44290000000001</v>
      </c>
      <c r="F167" s="27">
        <f t="shared" si="61"/>
        <v>6.6017875000000004</v>
      </c>
    </row>
    <row r="168" spans="1:6">
      <c r="A168" s="1">
        <v>20</v>
      </c>
      <c r="B168" s="30">
        <f>ROUND(H42*基本公式!$B$168,0)</f>
        <v>419250</v>
      </c>
      <c r="C168" s="27">
        <f>其他表格!G47*基本公式!$B$4*基本公式!$B$126</f>
        <v>931.38</v>
      </c>
      <c r="D168" s="30">
        <f t="shared" si="59"/>
        <v>671373</v>
      </c>
      <c r="E168" s="27">
        <f t="shared" si="60"/>
        <v>186.49260000000001</v>
      </c>
      <c r="F168" s="27">
        <f t="shared" si="61"/>
        <v>7.7705250000000099</v>
      </c>
    </row>
    <row r="169" spans="1:6" s="7" customFormat="1" ht="27">
      <c r="A169" s="7" t="s">
        <v>88</v>
      </c>
      <c r="B169" s="28" t="s">
        <v>230</v>
      </c>
      <c r="C169" s="29" t="s">
        <v>231</v>
      </c>
      <c r="D169" s="28" t="s">
        <v>232</v>
      </c>
      <c r="E169" s="29" t="s">
        <v>233</v>
      </c>
      <c r="F169" s="29" t="s">
        <v>234</v>
      </c>
    </row>
    <row r="170" spans="1:6">
      <c r="A170" s="1">
        <v>1</v>
      </c>
      <c r="B170" s="30">
        <f>ROUND(H23*基本公式!$B$169,0)</f>
        <v>168</v>
      </c>
      <c r="C170" s="27">
        <f>其他表格!G28*基本公式!$B$4*基本公式!$B$127</f>
        <v>7.8300221086383594E-3</v>
      </c>
      <c r="D170" s="30">
        <f>ROUND(E170*3600,0)</f>
        <v>28</v>
      </c>
      <c r="E170" s="27">
        <f>C170</f>
        <v>7.8300221086383594E-3</v>
      </c>
      <c r="F170" s="27">
        <f>E170/24</f>
        <v>3.2625092119326499E-4</v>
      </c>
    </row>
    <row r="171" spans="1:6">
      <c r="A171" s="1">
        <v>2</v>
      </c>
      <c r="B171" s="30">
        <f>ROUND(H24*基本公式!$B$169,0)</f>
        <v>326</v>
      </c>
      <c r="C171" s="27">
        <f>其他表格!G29*基本公式!$B$4*基本公式!$B$127</f>
        <v>6.8829297102440096E-2</v>
      </c>
      <c r="D171" s="30">
        <f t="shared" ref="D171" si="62">ROUND(E171*3600,0)</f>
        <v>220</v>
      </c>
      <c r="E171" s="27">
        <f t="shared" ref="E171" si="63">C171-C170</f>
        <v>6.09992749938017E-2</v>
      </c>
      <c r="F171" s="27">
        <f t="shared" ref="F171" si="64">E171/24</f>
        <v>2.54163645807507E-3</v>
      </c>
    </row>
    <row r="172" spans="1:6">
      <c r="A172" s="1">
        <v>3</v>
      </c>
      <c r="B172" s="30">
        <f>ROUND(H25*基本公式!$B$169,0)</f>
        <v>483</v>
      </c>
      <c r="C172" s="27">
        <f>其他表格!G30*基本公式!$B$4*基本公式!$B$127</f>
        <v>0.289807566747116</v>
      </c>
      <c r="D172" s="30">
        <f t="shared" ref="D172:D189" si="65">ROUND(E172*3600,0)</f>
        <v>796</v>
      </c>
      <c r="E172" s="27">
        <f t="shared" ref="E172:E189" si="66">C172-C171</f>
        <v>0.22097826964467601</v>
      </c>
      <c r="F172" s="27">
        <f t="shared" ref="F172:F189" si="67">E172/24</f>
        <v>9.2074279018615098E-3</v>
      </c>
    </row>
    <row r="173" spans="1:6">
      <c r="A173" s="1">
        <v>4</v>
      </c>
      <c r="B173" s="30">
        <f>ROUND(H26*基本公式!$B$169,0)</f>
        <v>798</v>
      </c>
      <c r="C173" s="27">
        <f>其他表格!G31*基本公式!$B$4*基本公式!$B$127</f>
        <v>0.68638634229580198</v>
      </c>
      <c r="D173" s="30">
        <f t="shared" si="65"/>
        <v>1428</v>
      </c>
      <c r="E173" s="27">
        <f t="shared" si="66"/>
        <v>0.39657877554868498</v>
      </c>
      <c r="F173" s="27">
        <f t="shared" si="67"/>
        <v>1.6524115647861898E-2</v>
      </c>
    </row>
    <row r="174" spans="1:6">
      <c r="A174" s="1">
        <v>5</v>
      </c>
      <c r="B174" s="30">
        <f>ROUND(H27*基本公式!$B$169,0)</f>
        <v>1327</v>
      </c>
      <c r="C174" s="27">
        <f>其他表格!G32*基本公式!$B$4*基本公式!$B$127</f>
        <v>1.3647447741554</v>
      </c>
      <c r="D174" s="30">
        <f t="shared" si="65"/>
        <v>2442</v>
      </c>
      <c r="E174" s="27">
        <f t="shared" si="66"/>
        <v>0.67835843185959399</v>
      </c>
      <c r="F174" s="27">
        <f t="shared" si="67"/>
        <v>2.82649346608164E-2</v>
      </c>
    </row>
    <row r="175" spans="1:6">
      <c r="A175" s="1">
        <v>6</v>
      </c>
      <c r="B175" s="30">
        <f>ROUND(H28*基本公式!$B$169,0)</f>
        <v>3378</v>
      </c>
      <c r="C175" s="27">
        <f>其他表格!G33*基本公式!$B$4*基本公式!$B$127</f>
        <v>2.36612097067189</v>
      </c>
      <c r="D175" s="30">
        <f t="shared" si="65"/>
        <v>3605</v>
      </c>
      <c r="E175" s="27">
        <f t="shared" si="66"/>
        <v>1.0013761965165</v>
      </c>
      <c r="F175" s="27">
        <f t="shared" si="67"/>
        <v>4.1724008188187403E-2</v>
      </c>
    </row>
    <row r="176" spans="1:6">
      <c r="A176" s="1">
        <v>7</v>
      </c>
      <c r="B176" s="30">
        <f>ROUND(H29*基本公式!$B$169,0)</f>
        <v>6654</v>
      </c>
      <c r="C176" s="27">
        <f>其他表格!G34*基本公式!$B$4*基本公式!$B$127</f>
        <v>4.0917881447709403</v>
      </c>
      <c r="D176" s="30">
        <f t="shared" si="65"/>
        <v>6212</v>
      </c>
      <c r="E176" s="27">
        <f t="shared" si="66"/>
        <v>1.7256671740990499</v>
      </c>
      <c r="F176" s="27">
        <f t="shared" si="67"/>
        <v>7.1902798920793695E-2</v>
      </c>
    </row>
    <row r="177" spans="1:6">
      <c r="A177" s="1">
        <v>8</v>
      </c>
      <c r="B177" s="30">
        <f>ROUND(H30*基本公式!$B$169,0)</f>
        <v>11963</v>
      </c>
      <c r="C177" s="27">
        <f>其他表格!G35*基本公式!$B$4*基本公式!$B$127</f>
        <v>8.0524892551556295</v>
      </c>
      <c r="D177" s="30">
        <f t="shared" si="65"/>
        <v>14259</v>
      </c>
      <c r="E177" s="27">
        <f t="shared" si="66"/>
        <v>3.9607011103846901</v>
      </c>
      <c r="F177" s="27">
        <f t="shared" si="67"/>
        <v>0.16502921293269501</v>
      </c>
    </row>
    <row r="178" spans="1:6">
      <c r="A178" s="1">
        <v>9</v>
      </c>
      <c r="B178" s="30">
        <f>ROUND(H31*基本公式!$B$169,0)</f>
        <v>17259</v>
      </c>
      <c r="C178" s="27">
        <f>其他表格!G36*基本公式!$B$4*基本公式!$B$127</f>
        <v>13.7986351985531</v>
      </c>
      <c r="D178" s="30">
        <f t="shared" si="65"/>
        <v>20686</v>
      </c>
      <c r="E178" s="27">
        <f t="shared" si="66"/>
        <v>5.7461459433974698</v>
      </c>
      <c r="F178" s="27">
        <f t="shared" si="67"/>
        <v>0.23942274764156099</v>
      </c>
    </row>
    <row r="179" spans="1:6">
      <c r="A179" s="1">
        <v>10</v>
      </c>
      <c r="B179" s="30">
        <f>ROUND(H32*基本公式!$B$169,0)</f>
        <v>26247</v>
      </c>
      <c r="C179" s="27">
        <f>其他表格!G37*基本公式!$B$4*基本公式!$B$127</f>
        <v>22.824810102869801</v>
      </c>
      <c r="D179" s="30">
        <f t="shared" si="65"/>
        <v>32494</v>
      </c>
      <c r="E179" s="27">
        <f t="shared" si="66"/>
        <v>9.0261749043166901</v>
      </c>
      <c r="F179" s="27">
        <f t="shared" si="67"/>
        <v>0.37609062101319501</v>
      </c>
    </row>
    <row r="180" spans="1:6">
      <c r="A180" s="1">
        <v>11</v>
      </c>
      <c r="B180" s="30">
        <f>ROUND(H33*基本公式!$B$169,0)</f>
        <v>38196</v>
      </c>
      <c r="C180" s="27">
        <f>其他表格!G38*基本公式!$B$4*基本公式!$B$127</f>
        <v>39.315462378148901</v>
      </c>
      <c r="D180" s="30">
        <f t="shared" si="65"/>
        <v>59366</v>
      </c>
      <c r="E180" s="27">
        <f t="shared" si="66"/>
        <v>16.4906522752791</v>
      </c>
      <c r="F180" s="27">
        <f t="shared" si="67"/>
        <v>0.68711051146996405</v>
      </c>
    </row>
    <row r="181" spans="1:6">
      <c r="A181" s="1">
        <v>12</v>
      </c>
      <c r="B181" s="30">
        <f>ROUND(H34*基本公式!$B$169,0)</f>
        <v>68618</v>
      </c>
      <c r="C181" s="27">
        <f>其他表格!G39*基本公式!$B$4*基本公式!$B$127</f>
        <v>62.077045860235103</v>
      </c>
      <c r="D181" s="30">
        <f t="shared" si="65"/>
        <v>81942</v>
      </c>
      <c r="E181" s="27">
        <f t="shared" si="66"/>
        <v>22.761583482086198</v>
      </c>
      <c r="F181" s="27">
        <f t="shared" si="67"/>
        <v>0.94839931175359204</v>
      </c>
    </row>
    <row r="182" spans="1:6">
      <c r="A182" s="1">
        <v>13</v>
      </c>
      <c r="B182" s="30">
        <f>ROUND(H35*基本公式!$B$169,0)</f>
        <v>93888</v>
      </c>
      <c r="C182" s="27">
        <f>其他表格!G40*基本公式!$B$4*基本公式!$B$127</f>
        <v>96.8063093337</v>
      </c>
      <c r="D182" s="30">
        <f t="shared" si="65"/>
        <v>125025</v>
      </c>
      <c r="E182" s="27">
        <f t="shared" si="66"/>
        <v>34.729263473464897</v>
      </c>
      <c r="F182" s="27">
        <f t="shared" si="67"/>
        <v>1.4470526447276999</v>
      </c>
    </row>
    <row r="183" spans="1:6">
      <c r="A183" s="1">
        <v>14</v>
      </c>
      <c r="B183" s="30">
        <f>ROUND(H36*基本公式!$B$169,0)</f>
        <v>115959</v>
      </c>
      <c r="C183" s="27">
        <f>其他表格!G41*基本公式!$B$4*基本公式!$B$127</f>
        <v>142.66192954440001</v>
      </c>
      <c r="D183" s="30">
        <f t="shared" si="65"/>
        <v>165080</v>
      </c>
      <c r="E183" s="27">
        <f t="shared" si="66"/>
        <v>45.855620210700003</v>
      </c>
      <c r="F183" s="27">
        <f t="shared" si="67"/>
        <v>1.9106508421124999</v>
      </c>
    </row>
    <row r="184" spans="1:6">
      <c r="A184" s="1">
        <v>15</v>
      </c>
      <c r="B184" s="30">
        <f>ROUND(H37*基本公式!$B$169,0)</f>
        <v>140784</v>
      </c>
      <c r="C184" s="27">
        <f>其他表格!G42*基本公式!$B$4*基本公式!$B$127</f>
        <v>201.12114127500001</v>
      </c>
      <c r="D184" s="30">
        <f t="shared" si="65"/>
        <v>210453</v>
      </c>
      <c r="E184" s="27">
        <f t="shared" si="66"/>
        <v>58.459211730600003</v>
      </c>
      <c r="F184" s="27">
        <f t="shared" si="67"/>
        <v>2.435800488775</v>
      </c>
    </row>
    <row r="185" spans="1:6">
      <c r="A185" s="1">
        <v>16</v>
      </c>
      <c r="B185" s="30">
        <f>ROUND(H38*基本公式!$B$169,0)</f>
        <v>164994</v>
      </c>
      <c r="C185" s="27">
        <f>其他表格!G43*基本公式!$B$4*基本公式!$B$127</f>
        <v>273.80702742</v>
      </c>
      <c r="D185" s="30">
        <f t="shared" si="65"/>
        <v>261669</v>
      </c>
      <c r="E185" s="27">
        <f t="shared" si="66"/>
        <v>72.685886144999998</v>
      </c>
      <c r="F185" s="27">
        <f t="shared" si="67"/>
        <v>3.0285785893749999</v>
      </c>
    </row>
    <row r="186" spans="1:6">
      <c r="A186" s="1">
        <v>17</v>
      </c>
      <c r="B186" s="30">
        <f>ROUND(H39*基本公式!$B$169,0)</f>
        <v>190978</v>
      </c>
      <c r="C186" s="27">
        <f>其他表格!G44*基本公式!$B$4*基本公式!$B$127</f>
        <v>362.50089359999998</v>
      </c>
      <c r="D186" s="30">
        <f t="shared" si="65"/>
        <v>319298</v>
      </c>
      <c r="E186" s="27">
        <f t="shared" si="66"/>
        <v>88.693866180000001</v>
      </c>
      <c r="F186" s="27">
        <f t="shared" si="67"/>
        <v>3.6955777575000002</v>
      </c>
    </row>
    <row r="187" spans="1:6">
      <c r="A187" s="1">
        <v>18</v>
      </c>
      <c r="B187" s="30">
        <f>ROUND(H40*基本公式!$B$169,0)</f>
        <v>219422</v>
      </c>
      <c r="C187" s="27">
        <f>其他表格!G45*基本公式!$B$4*基本公式!$B$127</f>
        <v>469.15559999999999</v>
      </c>
      <c r="D187" s="30">
        <f t="shared" si="65"/>
        <v>383957</v>
      </c>
      <c r="E187" s="27">
        <f t="shared" si="66"/>
        <v>106.65470639999999</v>
      </c>
      <c r="F187" s="27">
        <f t="shared" si="67"/>
        <v>4.4439460999999998</v>
      </c>
    </row>
    <row r="188" spans="1:6">
      <c r="A188" s="1">
        <v>19</v>
      </c>
      <c r="B188" s="30">
        <f>ROUND(H41*基本公式!$B$169,0)</f>
        <v>249456</v>
      </c>
      <c r="C188" s="27">
        <f>其他表格!G46*基本公式!$B$4*基本公式!$B$127</f>
        <v>595.90992000000006</v>
      </c>
      <c r="D188" s="30">
        <f t="shared" si="65"/>
        <v>456316</v>
      </c>
      <c r="E188" s="27">
        <f t="shared" si="66"/>
        <v>126.75432000000001</v>
      </c>
      <c r="F188" s="27">
        <f t="shared" si="67"/>
        <v>5.2814300000000003</v>
      </c>
    </row>
    <row r="189" spans="1:6">
      <c r="A189" s="1">
        <v>20</v>
      </c>
      <c r="B189" s="30">
        <f>ROUND(H42*基本公式!$B$169,0)</f>
        <v>293475</v>
      </c>
      <c r="C189" s="27">
        <f>其他表格!G47*基本公式!$B$4*基本公式!$B$127</f>
        <v>745.10400000000004</v>
      </c>
      <c r="D189" s="30">
        <f t="shared" si="65"/>
        <v>537099</v>
      </c>
      <c r="E189" s="27">
        <f t="shared" si="66"/>
        <v>149.19408000000001</v>
      </c>
      <c r="F189" s="27">
        <f t="shared" si="67"/>
        <v>6.2164200000000003</v>
      </c>
    </row>
    <row r="190" spans="1:6" s="7" customFormat="1" ht="27">
      <c r="A190" s="7" t="s">
        <v>89</v>
      </c>
      <c r="B190" s="28" t="s">
        <v>230</v>
      </c>
      <c r="C190" s="29" t="s">
        <v>231</v>
      </c>
      <c r="D190" s="28" t="s">
        <v>232</v>
      </c>
      <c r="E190" s="29" t="s">
        <v>233</v>
      </c>
      <c r="F190" s="29" t="s">
        <v>234</v>
      </c>
    </row>
    <row r="191" spans="1:6">
      <c r="A191" s="1">
        <v>1</v>
      </c>
      <c r="B191" s="30">
        <f>ROUND(H23*基本公式!$B$170,0)</f>
        <v>240</v>
      </c>
      <c r="C191" s="27">
        <f>其他表格!G28*基本公式!$B$4*基本公式!$B$128</f>
        <v>7.8300221086383594E-3</v>
      </c>
      <c r="D191" s="30">
        <f>ROUND(E191*3600,0)</f>
        <v>28</v>
      </c>
      <c r="E191" s="27">
        <f>C191</f>
        <v>7.8300221086383594E-3</v>
      </c>
      <c r="F191" s="27">
        <f>E191/24</f>
        <v>3.2625092119326499E-4</v>
      </c>
    </row>
    <row r="192" spans="1:6">
      <c r="A192" s="1">
        <v>2</v>
      </c>
      <c r="B192" s="30">
        <f>ROUND(H24*基本公式!$B$170,0)</f>
        <v>465</v>
      </c>
      <c r="C192" s="27">
        <f>其他表格!G29*基本公式!$B$4*基本公式!$B$128</f>
        <v>6.8829297102440096E-2</v>
      </c>
      <c r="D192" s="30">
        <f t="shared" ref="D192" si="68">ROUND(E192*3600,0)</f>
        <v>220</v>
      </c>
      <c r="E192" s="27">
        <f t="shared" ref="E192" si="69">C192-C191</f>
        <v>6.09992749938017E-2</v>
      </c>
      <c r="F192" s="27">
        <f t="shared" ref="F192" si="70">E192/24</f>
        <v>2.54163645807507E-3</v>
      </c>
    </row>
    <row r="193" spans="1:6">
      <c r="A193" s="1">
        <v>3</v>
      </c>
      <c r="B193" s="30">
        <f>ROUND(H25*基本公式!$B$170,0)</f>
        <v>690</v>
      </c>
      <c r="C193" s="27">
        <f>其他表格!G30*基本公式!$B$4*基本公式!$B$128</f>
        <v>0.289807566747116</v>
      </c>
      <c r="D193" s="30">
        <f t="shared" ref="D193:D210" si="71">ROUND(E193*3600,0)</f>
        <v>796</v>
      </c>
      <c r="E193" s="27">
        <f t="shared" ref="E193:E210" si="72">C193-C192</f>
        <v>0.22097826964467601</v>
      </c>
      <c r="F193" s="27">
        <f t="shared" ref="F193:F210" si="73">E193/24</f>
        <v>9.2074279018615098E-3</v>
      </c>
    </row>
    <row r="194" spans="1:6">
      <c r="A194" s="1">
        <v>4</v>
      </c>
      <c r="B194" s="30">
        <f>ROUND(H26*基本公式!$B$170,0)</f>
        <v>1140</v>
      </c>
      <c r="C194" s="27">
        <f>其他表格!G31*基本公式!$B$4*基本公式!$B$128</f>
        <v>0.68638634229580198</v>
      </c>
      <c r="D194" s="30">
        <f t="shared" si="71"/>
        <v>1428</v>
      </c>
      <c r="E194" s="27">
        <f t="shared" si="72"/>
        <v>0.39657877554868498</v>
      </c>
      <c r="F194" s="27">
        <f t="shared" si="73"/>
        <v>1.6524115647861898E-2</v>
      </c>
    </row>
    <row r="195" spans="1:6">
      <c r="A195" s="1">
        <v>5</v>
      </c>
      <c r="B195" s="30">
        <f>ROUND(H27*基本公式!$B$170,0)</f>
        <v>1895</v>
      </c>
      <c r="C195" s="27">
        <f>其他表格!G32*基本公式!$B$4*基本公式!$B$128</f>
        <v>1.3647447741554</v>
      </c>
      <c r="D195" s="30">
        <f t="shared" si="71"/>
        <v>2442</v>
      </c>
      <c r="E195" s="27">
        <f t="shared" si="72"/>
        <v>0.67835843185959399</v>
      </c>
      <c r="F195" s="27">
        <f t="shared" si="73"/>
        <v>2.82649346608164E-2</v>
      </c>
    </row>
    <row r="196" spans="1:6">
      <c r="A196" s="1">
        <v>6</v>
      </c>
      <c r="B196" s="30">
        <f>ROUND(H28*基本公式!$B$170,0)</f>
        <v>4825</v>
      </c>
      <c r="C196" s="27">
        <f>其他表格!G33*基本公式!$B$4*基本公式!$B$128</f>
        <v>2.36612097067189</v>
      </c>
      <c r="D196" s="30">
        <f t="shared" si="71"/>
        <v>3605</v>
      </c>
      <c r="E196" s="27">
        <f t="shared" si="72"/>
        <v>1.0013761965165</v>
      </c>
      <c r="F196" s="27">
        <f t="shared" si="73"/>
        <v>4.1724008188187403E-2</v>
      </c>
    </row>
    <row r="197" spans="1:6">
      <c r="A197" s="1">
        <v>7</v>
      </c>
      <c r="B197" s="30">
        <f>ROUND(H29*基本公式!$B$170,0)</f>
        <v>9505</v>
      </c>
      <c r="C197" s="27">
        <f>其他表格!G34*基本公式!$B$4*基本公式!$B$128</f>
        <v>4.0917881447709403</v>
      </c>
      <c r="D197" s="30">
        <f t="shared" si="71"/>
        <v>6212</v>
      </c>
      <c r="E197" s="27">
        <f t="shared" si="72"/>
        <v>1.7256671740990499</v>
      </c>
      <c r="F197" s="27">
        <f t="shared" si="73"/>
        <v>7.1902798920793695E-2</v>
      </c>
    </row>
    <row r="198" spans="1:6">
      <c r="A198" s="1">
        <v>8</v>
      </c>
      <c r="B198" s="30">
        <f>ROUND(H30*基本公式!$B$170,0)</f>
        <v>17090</v>
      </c>
      <c r="C198" s="27">
        <f>其他表格!G35*基本公式!$B$4*基本公式!$B$128</f>
        <v>8.0524892551556295</v>
      </c>
      <c r="D198" s="30">
        <f t="shared" si="71"/>
        <v>14259</v>
      </c>
      <c r="E198" s="27">
        <f t="shared" si="72"/>
        <v>3.9607011103846901</v>
      </c>
      <c r="F198" s="27">
        <f t="shared" si="73"/>
        <v>0.16502921293269501</v>
      </c>
    </row>
    <row r="199" spans="1:6">
      <c r="A199" s="1">
        <v>9</v>
      </c>
      <c r="B199" s="30">
        <f>ROUND(H31*基本公式!$B$170,0)</f>
        <v>24655</v>
      </c>
      <c r="C199" s="27">
        <f>其他表格!G36*基本公式!$B$4*基本公式!$B$128</f>
        <v>13.7986351985531</v>
      </c>
      <c r="D199" s="30">
        <f t="shared" si="71"/>
        <v>20686</v>
      </c>
      <c r="E199" s="27">
        <f t="shared" si="72"/>
        <v>5.7461459433974698</v>
      </c>
      <c r="F199" s="27">
        <f t="shared" si="73"/>
        <v>0.23942274764156099</v>
      </c>
    </row>
    <row r="200" spans="1:6">
      <c r="A200" s="1">
        <v>10</v>
      </c>
      <c r="B200" s="30">
        <f>ROUND(H32*基本公式!$B$170,0)</f>
        <v>37495</v>
      </c>
      <c r="C200" s="27">
        <f>其他表格!G37*基本公式!$B$4*基本公式!$B$128</f>
        <v>22.824810102869801</v>
      </c>
      <c r="D200" s="30">
        <f t="shared" si="71"/>
        <v>32494</v>
      </c>
      <c r="E200" s="27">
        <f t="shared" si="72"/>
        <v>9.0261749043166901</v>
      </c>
      <c r="F200" s="27">
        <f t="shared" si="73"/>
        <v>0.37609062101319501</v>
      </c>
    </row>
    <row r="201" spans="1:6">
      <c r="A201" s="1">
        <v>11</v>
      </c>
      <c r="B201" s="30">
        <f>ROUND(H33*基本公式!$B$170,0)</f>
        <v>54565</v>
      </c>
      <c r="C201" s="27">
        <f>其他表格!G38*基本公式!$B$4*基本公式!$B$128</f>
        <v>39.315462378148901</v>
      </c>
      <c r="D201" s="30">
        <f t="shared" si="71"/>
        <v>59366</v>
      </c>
      <c r="E201" s="27">
        <f t="shared" si="72"/>
        <v>16.4906522752791</v>
      </c>
      <c r="F201" s="27">
        <f t="shared" si="73"/>
        <v>0.68711051146996405</v>
      </c>
    </row>
    <row r="202" spans="1:6">
      <c r="A202" s="1">
        <v>12</v>
      </c>
      <c r="B202" s="30">
        <f>ROUND(H34*基本公式!$B$170,0)</f>
        <v>98025</v>
      </c>
      <c r="C202" s="27">
        <f>其他表格!G39*基本公式!$B$4*基本公式!$B$128</f>
        <v>62.077045860235103</v>
      </c>
      <c r="D202" s="30">
        <f t="shared" si="71"/>
        <v>81942</v>
      </c>
      <c r="E202" s="27">
        <f t="shared" si="72"/>
        <v>22.761583482086198</v>
      </c>
      <c r="F202" s="27">
        <f t="shared" si="73"/>
        <v>0.94839931175359204</v>
      </c>
    </row>
    <row r="203" spans="1:6">
      <c r="A203" s="1">
        <v>13</v>
      </c>
      <c r="B203" s="30">
        <f>ROUND(H35*基本公式!$B$170,0)</f>
        <v>134125</v>
      </c>
      <c r="C203" s="27">
        <f>其他表格!G40*基本公式!$B$4*基本公式!$B$128</f>
        <v>96.8063093337</v>
      </c>
      <c r="D203" s="30">
        <f t="shared" si="71"/>
        <v>125025</v>
      </c>
      <c r="E203" s="27">
        <f t="shared" si="72"/>
        <v>34.729263473464897</v>
      </c>
      <c r="F203" s="27">
        <f t="shared" si="73"/>
        <v>1.4470526447276999</v>
      </c>
    </row>
    <row r="204" spans="1:6">
      <c r="A204" s="1">
        <v>14</v>
      </c>
      <c r="B204" s="30">
        <f>ROUND(H36*基本公式!$B$170,0)</f>
        <v>165655</v>
      </c>
      <c r="C204" s="27">
        <f>其他表格!G41*基本公式!$B$4*基本公式!$B$128</f>
        <v>142.66192954440001</v>
      </c>
      <c r="D204" s="30">
        <f t="shared" si="71"/>
        <v>165080</v>
      </c>
      <c r="E204" s="27">
        <f t="shared" si="72"/>
        <v>45.855620210700003</v>
      </c>
      <c r="F204" s="27">
        <f t="shared" si="73"/>
        <v>1.9106508421124999</v>
      </c>
    </row>
    <row r="205" spans="1:6">
      <c r="A205" s="1">
        <v>15</v>
      </c>
      <c r="B205" s="30">
        <f>ROUND(H37*基本公式!$B$170,0)</f>
        <v>201120</v>
      </c>
      <c r="C205" s="27">
        <f>其他表格!G42*基本公式!$B$4*基本公式!$B$128</f>
        <v>201.12114127500001</v>
      </c>
      <c r="D205" s="30">
        <f t="shared" si="71"/>
        <v>210453</v>
      </c>
      <c r="E205" s="27">
        <f t="shared" si="72"/>
        <v>58.459211730600003</v>
      </c>
      <c r="F205" s="27">
        <f t="shared" si="73"/>
        <v>2.435800488775</v>
      </c>
    </row>
    <row r="206" spans="1:6">
      <c r="A206" s="1">
        <v>16</v>
      </c>
      <c r="B206" s="30">
        <f>ROUND(H38*基本公式!$B$170,0)</f>
        <v>235705</v>
      </c>
      <c r="C206" s="27">
        <f>其他表格!G43*基本公式!$B$4*基本公式!$B$128</f>
        <v>273.80702742</v>
      </c>
      <c r="D206" s="30">
        <f t="shared" si="71"/>
        <v>261669</v>
      </c>
      <c r="E206" s="27">
        <f t="shared" si="72"/>
        <v>72.685886144999998</v>
      </c>
      <c r="F206" s="27">
        <f t="shared" si="73"/>
        <v>3.0285785893749999</v>
      </c>
    </row>
    <row r="207" spans="1:6">
      <c r="A207" s="1">
        <v>17</v>
      </c>
      <c r="B207" s="30">
        <f>ROUND(H39*基本公式!$B$170,0)</f>
        <v>272825</v>
      </c>
      <c r="C207" s="27">
        <f>其他表格!G44*基本公式!$B$4*基本公式!$B$128</f>
        <v>362.50089359999998</v>
      </c>
      <c r="D207" s="30">
        <f t="shared" si="71"/>
        <v>319298</v>
      </c>
      <c r="E207" s="27">
        <f t="shared" si="72"/>
        <v>88.693866180000001</v>
      </c>
      <c r="F207" s="27">
        <f t="shared" si="73"/>
        <v>3.6955777575000002</v>
      </c>
    </row>
    <row r="208" spans="1:6">
      <c r="A208" s="1">
        <v>18</v>
      </c>
      <c r="B208" s="30">
        <f>ROUND(H40*基本公式!$B$170,0)</f>
        <v>313460</v>
      </c>
      <c r="C208" s="27">
        <f>其他表格!G45*基本公式!$B$4*基本公式!$B$128</f>
        <v>469.15559999999999</v>
      </c>
      <c r="D208" s="30">
        <f t="shared" si="71"/>
        <v>383957</v>
      </c>
      <c r="E208" s="27">
        <f t="shared" si="72"/>
        <v>106.65470639999999</v>
      </c>
      <c r="F208" s="27">
        <f t="shared" si="73"/>
        <v>4.4439460999999998</v>
      </c>
    </row>
    <row r="209" spans="1:7">
      <c r="A209" s="1">
        <v>19</v>
      </c>
      <c r="B209" s="30">
        <f>ROUND(H41*基本公式!$B$170,0)</f>
        <v>356365</v>
      </c>
      <c r="C209" s="27">
        <f>其他表格!G46*基本公式!$B$4*基本公式!$B$128</f>
        <v>595.90992000000006</v>
      </c>
      <c r="D209" s="30">
        <f t="shared" si="71"/>
        <v>456316</v>
      </c>
      <c r="E209" s="27">
        <f t="shared" si="72"/>
        <v>126.75432000000001</v>
      </c>
      <c r="F209" s="27">
        <f t="shared" si="73"/>
        <v>5.2814300000000003</v>
      </c>
    </row>
    <row r="210" spans="1:7">
      <c r="A210" s="1">
        <v>20</v>
      </c>
      <c r="B210" s="30">
        <f>ROUND(H42*基本公式!$B$170,0)</f>
        <v>419250</v>
      </c>
      <c r="C210" s="27">
        <f>其他表格!G47*基本公式!$B$4*基本公式!$B$128</f>
        <v>745.10400000000004</v>
      </c>
      <c r="D210" s="30">
        <f t="shared" si="71"/>
        <v>537099</v>
      </c>
      <c r="E210" s="27">
        <f t="shared" si="72"/>
        <v>149.19408000000001</v>
      </c>
      <c r="F210" s="27">
        <f t="shared" si="73"/>
        <v>6.2164200000000003</v>
      </c>
    </row>
    <row r="211" spans="1:7" s="7" customFormat="1" ht="27">
      <c r="A211" s="7" t="s">
        <v>90</v>
      </c>
      <c r="B211" s="28" t="s">
        <v>230</v>
      </c>
      <c r="C211" s="29" t="s">
        <v>231</v>
      </c>
      <c r="D211" s="28" t="s">
        <v>232</v>
      </c>
      <c r="E211" s="29" t="s">
        <v>233</v>
      </c>
      <c r="F211" s="29" t="s">
        <v>234</v>
      </c>
      <c r="G211" s="7" t="s">
        <v>251</v>
      </c>
    </row>
    <row r="212" spans="1:7">
      <c r="A212" s="1">
        <v>1</v>
      </c>
      <c r="B212" s="30">
        <f>ROUND(H23*基本公式!$B$171,0)</f>
        <v>72</v>
      </c>
      <c r="C212" s="27">
        <f>其他表格!G28*基本公式!$B$4*基本公式!$B$129</f>
        <v>7.8300221086383594E-3</v>
      </c>
      <c r="D212" s="30">
        <f>ROUND(E212*3600,0)</f>
        <v>28</v>
      </c>
      <c r="E212" s="27">
        <f>C212</f>
        <v>7.8300221086383594E-3</v>
      </c>
      <c r="F212" s="27">
        <f>E212/24</f>
        <v>3.2625092119326499E-4</v>
      </c>
      <c r="G212" s="13">
        <v>1</v>
      </c>
    </row>
    <row r="213" spans="1:7">
      <c r="A213" s="1">
        <v>2</v>
      </c>
      <c r="B213" s="30">
        <f>ROUND(H24*基本公式!$B$171,0)</f>
        <v>140</v>
      </c>
      <c r="C213" s="27">
        <f>其他表格!G29*基本公式!$B$4*基本公式!$B$129</f>
        <v>6.8829297102440096E-2</v>
      </c>
      <c r="D213" s="30">
        <f t="shared" ref="D213" si="74">ROUND(E213*3600,0)</f>
        <v>220</v>
      </c>
      <c r="E213" s="27">
        <f t="shared" ref="E213" si="75">C213-C212</f>
        <v>6.09992749938017E-2</v>
      </c>
      <c r="F213" s="27">
        <f t="shared" ref="F213" si="76">E213/24</f>
        <v>2.54163645807507E-3</v>
      </c>
      <c r="G213" s="13">
        <v>2</v>
      </c>
    </row>
    <row r="214" spans="1:7">
      <c r="A214" s="1">
        <v>3</v>
      </c>
      <c r="B214" s="30">
        <f>ROUND(H25*基本公式!$B$171,0)</f>
        <v>207</v>
      </c>
      <c r="C214" s="27">
        <f>其他表格!G30*基本公式!$B$4*基本公式!$B$129</f>
        <v>0.289807566747116</v>
      </c>
      <c r="D214" s="30">
        <f t="shared" ref="D214:D231" si="77">ROUND(E214*3600,0)</f>
        <v>796</v>
      </c>
      <c r="E214" s="27">
        <f t="shared" ref="E214:E231" si="78">C214-C213</f>
        <v>0.22097826964467601</v>
      </c>
      <c r="F214" s="27">
        <f t="shared" ref="F214:F231" si="79">E214/24</f>
        <v>9.2074279018615098E-3</v>
      </c>
      <c r="G214" s="13">
        <v>3</v>
      </c>
    </row>
    <row r="215" spans="1:7">
      <c r="A215" s="1">
        <v>4</v>
      </c>
      <c r="B215" s="30">
        <f>ROUND(H26*基本公式!$B$171,0)</f>
        <v>342</v>
      </c>
      <c r="C215" s="27">
        <f>其他表格!G31*基本公式!$B$4*基本公式!$B$129</f>
        <v>0.68638634229580198</v>
      </c>
      <c r="D215" s="30">
        <f t="shared" si="77"/>
        <v>1428</v>
      </c>
      <c r="E215" s="27">
        <f t="shared" si="78"/>
        <v>0.39657877554868498</v>
      </c>
      <c r="F215" s="27">
        <f t="shared" si="79"/>
        <v>1.6524115647861898E-2</v>
      </c>
      <c r="G215" s="13">
        <v>4</v>
      </c>
    </row>
    <row r="216" spans="1:7">
      <c r="A216" s="1">
        <v>5</v>
      </c>
      <c r="B216" s="30">
        <f>ROUND(H27*基本公式!$B$171,0)</f>
        <v>569</v>
      </c>
      <c r="C216" s="27">
        <f>其他表格!G32*基本公式!$B$4*基本公式!$B$129</f>
        <v>1.3647447741554</v>
      </c>
      <c r="D216" s="30">
        <f t="shared" si="77"/>
        <v>2442</v>
      </c>
      <c r="E216" s="27">
        <f t="shared" si="78"/>
        <v>0.67835843185959399</v>
      </c>
      <c r="F216" s="27">
        <f t="shared" si="79"/>
        <v>2.82649346608164E-2</v>
      </c>
      <c r="G216" s="13">
        <v>5</v>
      </c>
    </row>
    <row r="217" spans="1:7">
      <c r="A217" s="1">
        <v>6</v>
      </c>
      <c r="B217" s="30">
        <f>ROUND(H28*基本公式!$B$171,0)</f>
        <v>1448</v>
      </c>
      <c r="C217" s="27">
        <f>其他表格!G33*基本公式!$B$4*基本公式!$B$129</f>
        <v>2.36612097067189</v>
      </c>
      <c r="D217" s="30">
        <f t="shared" si="77"/>
        <v>3605</v>
      </c>
      <c r="E217" s="27">
        <f t="shared" si="78"/>
        <v>1.0013761965165</v>
      </c>
      <c r="F217" s="27">
        <f t="shared" si="79"/>
        <v>4.1724008188187403E-2</v>
      </c>
      <c r="G217" s="13">
        <v>6</v>
      </c>
    </row>
    <row r="218" spans="1:7">
      <c r="A218" s="1">
        <v>7</v>
      </c>
      <c r="B218" s="30">
        <f>ROUND(H29*基本公式!$B$171,0)</f>
        <v>2852</v>
      </c>
      <c r="C218" s="27">
        <f>其他表格!G34*基本公式!$B$4*基本公式!$B$129</f>
        <v>4.0917881447709403</v>
      </c>
      <c r="D218" s="30">
        <f t="shared" si="77"/>
        <v>6212</v>
      </c>
      <c r="E218" s="27">
        <f t="shared" si="78"/>
        <v>1.7256671740990499</v>
      </c>
      <c r="F218" s="27">
        <f t="shared" si="79"/>
        <v>7.1902798920793695E-2</v>
      </c>
      <c r="G218" s="13">
        <v>7</v>
      </c>
    </row>
    <row r="219" spans="1:7">
      <c r="A219" s="1">
        <v>8</v>
      </c>
      <c r="B219" s="30">
        <f>ROUND(H30*基本公式!$B$171,0)</f>
        <v>5127</v>
      </c>
      <c r="C219" s="27">
        <f>其他表格!G35*基本公式!$B$4*基本公式!$B$129</f>
        <v>8.0524892551556295</v>
      </c>
      <c r="D219" s="30">
        <f t="shared" si="77"/>
        <v>14259</v>
      </c>
      <c r="E219" s="27">
        <f t="shared" si="78"/>
        <v>3.9607011103846901</v>
      </c>
      <c r="F219" s="27">
        <f t="shared" si="79"/>
        <v>0.16502921293269501</v>
      </c>
      <c r="G219" s="13">
        <v>8</v>
      </c>
    </row>
    <row r="220" spans="1:7">
      <c r="A220" s="1">
        <v>9</v>
      </c>
      <c r="B220" s="30">
        <f>ROUND(H31*基本公式!$B$171,0)</f>
        <v>7397</v>
      </c>
      <c r="C220" s="27">
        <f>其他表格!G36*基本公式!$B$4*基本公式!$B$129</f>
        <v>13.7986351985531</v>
      </c>
      <c r="D220" s="30">
        <f t="shared" si="77"/>
        <v>20686</v>
      </c>
      <c r="E220" s="27">
        <f t="shared" si="78"/>
        <v>5.7461459433974698</v>
      </c>
      <c r="F220" s="27">
        <f t="shared" si="79"/>
        <v>0.23942274764156099</v>
      </c>
      <c r="G220" s="13">
        <v>9</v>
      </c>
    </row>
    <row r="221" spans="1:7">
      <c r="A221" s="1">
        <v>10</v>
      </c>
      <c r="B221" s="30">
        <f>ROUND(H32*基本公式!$B$171,0)</f>
        <v>11249</v>
      </c>
      <c r="C221" s="27">
        <f>其他表格!G37*基本公式!$B$4*基本公式!$B$129</f>
        <v>22.824810102869801</v>
      </c>
      <c r="D221" s="30">
        <f t="shared" si="77"/>
        <v>32494</v>
      </c>
      <c r="E221" s="27">
        <f t="shared" si="78"/>
        <v>9.0261749043166901</v>
      </c>
      <c r="F221" s="27">
        <f t="shared" si="79"/>
        <v>0.37609062101319501</v>
      </c>
      <c r="G221" s="13">
        <v>10</v>
      </c>
    </row>
    <row r="222" spans="1:7">
      <c r="A222" s="1">
        <v>11</v>
      </c>
      <c r="B222" s="30">
        <f>ROUND(H33*基本公式!$B$171,0)</f>
        <v>16370</v>
      </c>
      <c r="C222" s="27">
        <f>其他表格!G38*基本公式!$B$4*基本公式!$B$129</f>
        <v>39.315462378148901</v>
      </c>
      <c r="D222" s="30">
        <f t="shared" si="77"/>
        <v>59366</v>
      </c>
      <c r="E222" s="27">
        <f t="shared" si="78"/>
        <v>16.4906522752791</v>
      </c>
      <c r="F222" s="27">
        <f t="shared" si="79"/>
        <v>0.68711051146996405</v>
      </c>
      <c r="G222" s="13">
        <v>11</v>
      </c>
    </row>
    <row r="223" spans="1:7">
      <c r="A223" s="1">
        <v>12</v>
      </c>
      <c r="B223" s="30">
        <f>ROUND(H34*基本公式!$B$171,0)</f>
        <v>29408</v>
      </c>
      <c r="C223" s="27">
        <f>其他表格!G39*基本公式!$B$4*基本公式!$B$129</f>
        <v>62.077045860235103</v>
      </c>
      <c r="D223" s="30">
        <f t="shared" si="77"/>
        <v>81942</v>
      </c>
      <c r="E223" s="27">
        <f t="shared" si="78"/>
        <v>22.761583482086198</v>
      </c>
      <c r="F223" s="27">
        <f t="shared" si="79"/>
        <v>0.94839931175359204</v>
      </c>
      <c r="G223" s="13">
        <v>12</v>
      </c>
    </row>
    <row r="224" spans="1:7">
      <c r="A224" s="1">
        <v>13</v>
      </c>
      <c r="B224" s="30">
        <f>ROUND(H35*基本公式!$B$171,0)</f>
        <v>40238</v>
      </c>
      <c r="C224" s="27">
        <f>其他表格!G40*基本公式!$B$4*基本公式!$B$129</f>
        <v>96.8063093337</v>
      </c>
      <c r="D224" s="30">
        <f t="shared" si="77"/>
        <v>125025</v>
      </c>
      <c r="E224" s="27">
        <f t="shared" si="78"/>
        <v>34.729263473464897</v>
      </c>
      <c r="F224" s="27">
        <f t="shared" si="79"/>
        <v>1.4470526447276999</v>
      </c>
      <c r="G224" s="13">
        <v>13</v>
      </c>
    </row>
    <row r="225" spans="1:7">
      <c r="A225" s="1">
        <v>14</v>
      </c>
      <c r="B225" s="30">
        <f>ROUND(H36*基本公式!$B$171,0)</f>
        <v>49697</v>
      </c>
      <c r="C225" s="27">
        <f>其他表格!G41*基本公式!$B$4*基本公式!$B$129</f>
        <v>142.66192954440001</v>
      </c>
      <c r="D225" s="30">
        <f t="shared" si="77"/>
        <v>165080</v>
      </c>
      <c r="E225" s="27">
        <f t="shared" si="78"/>
        <v>45.855620210700003</v>
      </c>
      <c r="F225" s="27">
        <f t="shared" si="79"/>
        <v>1.9106508421124999</v>
      </c>
      <c r="G225" s="13">
        <v>14</v>
      </c>
    </row>
    <row r="226" spans="1:7">
      <c r="A226" s="1">
        <v>15</v>
      </c>
      <c r="B226" s="30">
        <f>ROUND(H37*基本公式!$B$171,0)</f>
        <v>60336</v>
      </c>
      <c r="C226" s="27">
        <f>其他表格!G42*基本公式!$B$4*基本公式!$B$129</f>
        <v>201.12114127500001</v>
      </c>
      <c r="D226" s="30">
        <f t="shared" si="77"/>
        <v>210453</v>
      </c>
      <c r="E226" s="27">
        <f t="shared" si="78"/>
        <v>58.459211730600003</v>
      </c>
      <c r="F226" s="27">
        <f t="shared" si="79"/>
        <v>2.435800488775</v>
      </c>
      <c r="G226" s="13">
        <v>15</v>
      </c>
    </row>
    <row r="227" spans="1:7">
      <c r="A227" s="1">
        <v>16</v>
      </c>
      <c r="B227" s="30">
        <f>ROUND(H38*基本公式!$B$171,0)</f>
        <v>70712</v>
      </c>
      <c r="C227" s="27">
        <f>其他表格!G43*基本公式!$B$4*基本公式!$B$129</f>
        <v>273.80702742</v>
      </c>
      <c r="D227" s="30">
        <f t="shared" si="77"/>
        <v>261669</v>
      </c>
      <c r="E227" s="27">
        <f t="shared" si="78"/>
        <v>72.685886144999998</v>
      </c>
      <c r="F227" s="27">
        <f t="shared" si="79"/>
        <v>3.0285785893749999</v>
      </c>
      <c r="G227" s="13">
        <v>16</v>
      </c>
    </row>
    <row r="228" spans="1:7">
      <c r="A228" s="1">
        <v>17</v>
      </c>
      <c r="B228" s="30">
        <f>ROUND(H39*基本公式!$B$171,0)</f>
        <v>81848</v>
      </c>
      <c r="C228" s="27">
        <f>其他表格!G44*基本公式!$B$4*基本公式!$B$129</f>
        <v>362.50089359999998</v>
      </c>
      <c r="D228" s="30">
        <f t="shared" si="77"/>
        <v>319298</v>
      </c>
      <c r="E228" s="27">
        <f t="shared" si="78"/>
        <v>88.693866180000001</v>
      </c>
      <c r="F228" s="27">
        <f t="shared" si="79"/>
        <v>3.6955777575000002</v>
      </c>
      <c r="G228" s="13">
        <v>17</v>
      </c>
    </row>
    <row r="229" spans="1:7">
      <c r="A229" s="1">
        <v>18</v>
      </c>
      <c r="B229" s="30">
        <f>ROUND(H40*基本公式!$B$171,0)</f>
        <v>94038</v>
      </c>
      <c r="C229" s="27">
        <f>其他表格!G45*基本公式!$B$4*基本公式!$B$129</f>
        <v>469.15559999999999</v>
      </c>
      <c r="D229" s="30">
        <f t="shared" si="77"/>
        <v>383957</v>
      </c>
      <c r="E229" s="27">
        <f t="shared" si="78"/>
        <v>106.65470639999999</v>
      </c>
      <c r="F229" s="27">
        <f t="shared" si="79"/>
        <v>4.4439460999999998</v>
      </c>
      <c r="G229" s="13">
        <v>18</v>
      </c>
    </row>
    <row r="230" spans="1:7">
      <c r="A230" s="1">
        <v>19</v>
      </c>
      <c r="B230" s="30">
        <f>ROUND(H41*基本公式!$B$171,0)</f>
        <v>106910</v>
      </c>
      <c r="C230" s="27">
        <f>其他表格!G46*基本公式!$B$4*基本公式!$B$129</f>
        <v>595.90992000000006</v>
      </c>
      <c r="D230" s="30">
        <f t="shared" si="77"/>
        <v>456316</v>
      </c>
      <c r="E230" s="27">
        <f t="shared" si="78"/>
        <v>126.75432000000001</v>
      </c>
      <c r="F230" s="27">
        <f t="shared" si="79"/>
        <v>5.2814300000000003</v>
      </c>
      <c r="G230" s="13">
        <v>19</v>
      </c>
    </row>
    <row r="231" spans="1:7">
      <c r="A231" s="1">
        <v>20</v>
      </c>
      <c r="B231" s="30">
        <f>ROUND(H42*基本公式!$B$171,0)</f>
        <v>125775</v>
      </c>
      <c r="C231" s="27">
        <f>其他表格!G47*基本公式!$B$4*基本公式!$B$129</f>
        <v>745.10400000000004</v>
      </c>
      <c r="D231" s="30">
        <f t="shared" si="77"/>
        <v>537099</v>
      </c>
      <c r="E231" s="27">
        <f t="shared" si="78"/>
        <v>149.19408000000001</v>
      </c>
      <c r="F231" s="27">
        <f t="shared" si="79"/>
        <v>6.2164200000000003</v>
      </c>
      <c r="G231" s="13">
        <v>20</v>
      </c>
    </row>
    <row r="232" spans="1:7" s="7" customFormat="1" ht="27">
      <c r="A232" s="7" t="s">
        <v>92</v>
      </c>
      <c r="B232" s="28" t="s">
        <v>230</v>
      </c>
      <c r="C232" s="29" t="s">
        <v>231</v>
      </c>
      <c r="D232" s="28" t="s">
        <v>232</v>
      </c>
      <c r="E232" s="29" t="s">
        <v>233</v>
      </c>
      <c r="F232" s="29" t="s">
        <v>234</v>
      </c>
    </row>
    <row r="233" spans="1:7">
      <c r="A233" s="1">
        <v>1</v>
      </c>
      <c r="B233" s="30">
        <f>ROUND(H23*基本公式!$B$173,0)</f>
        <v>360</v>
      </c>
      <c r="C233" s="27">
        <f>其他表格!G28*基本公式!$B$4*基本公式!$B$131</f>
        <v>5.87251658147877E-3</v>
      </c>
      <c r="D233" s="30">
        <f>ROUND(E233*3600,0)</f>
        <v>21</v>
      </c>
      <c r="E233" s="27">
        <f>C233</f>
        <v>5.87251658147877E-3</v>
      </c>
      <c r="F233" s="27">
        <f>E233/24</f>
        <v>2.44688190894949E-4</v>
      </c>
    </row>
    <row r="234" spans="1:7">
      <c r="A234" s="1">
        <v>2</v>
      </c>
      <c r="B234" s="30">
        <f>ROUND(H24*基本公式!$B$173,0)</f>
        <v>698</v>
      </c>
      <c r="C234" s="27">
        <f>其他表格!G29*基本公式!$B$4*基本公式!$B$131</f>
        <v>5.16219728268301E-2</v>
      </c>
      <c r="D234" s="30">
        <f t="shared" ref="D234" si="80">ROUND(E234*3600,0)</f>
        <v>165</v>
      </c>
      <c r="E234" s="27">
        <f t="shared" ref="E234" si="81">C234-C233</f>
        <v>4.5749456245351303E-2</v>
      </c>
      <c r="F234" s="27">
        <f t="shared" ref="F234" si="82">E234/24</f>
        <v>1.9062273435563001E-3</v>
      </c>
    </row>
    <row r="235" spans="1:7">
      <c r="A235" s="1">
        <v>3</v>
      </c>
      <c r="B235" s="30">
        <f>ROUND(H25*基本公式!$B$173,0)</f>
        <v>1035</v>
      </c>
      <c r="C235" s="27">
        <f>其他表格!G30*基本公式!$B$4*基本公式!$B$131</f>
        <v>0.21735567506033701</v>
      </c>
      <c r="D235" s="30">
        <f t="shared" ref="D235:D252" si="83">ROUND(E235*3600,0)</f>
        <v>597</v>
      </c>
      <c r="E235" s="27">
        <f t="shared" ref="E235:E252" si="84">C235-C234</f>
        <v>0.165733702233507</v>
      </c>
      <c r="F235" s="27">
        <f t="shared" ref="F235:F252" si="85">E235/24</f>
        <v>6.9055709263961297E-3</v>
      </c>
    </row>
    <row r="236" spans="1:7">
      <c r="A236" s="1">
        <v>4</v>
      </c>
      <c r="B236" s="30">
        <f>ROUND(H26*基本公式!$B$173,0)</f>
        <v>1710</v>
      </c>
      <c r="C236" s="27">
        <f>其他表格!G31*基本公式!$B$4*基本公式!$B$131</f>
        <v>0.51478975672185101</v>
      </c>
      <c r="D236" s="30">
        <f t="shared" si="83"/>
        <v>1071</v>
      </c>
      <c r="E236" s="27">
        <f t="shared" si="84"/>
        <v>0.29743408166151403</v>
      </c>
      <c r="F236" s="27">
        <f t="shared" si="85"/>
        <v>1.23930867358964E-2</v>
      </c>
    </row>
    <row r="237" spans="1:7">
      <c r="A237" s="1">
        <v>5</v>
      </c>
      <c r="B237" s="30">
        <f>ROUND(H27*基本公式!$B$173,0)</f>
        <v>2843</v>
      </c>
      <c r="C237" s="27">
        <f>其他表格!G32*基本公式!$B$4*基本公式!$B$131</f>
        <v>1.0235585806165499</v>
      </c>
      <c r="D237" s="30">
        <f t="shared" si="83"/>
        <v>1832</v>
      </c>
      <c r="E237" s="27">
        <f t="shared" si="84"/>
        <v>0.50876882389469502</v>
      </c>
      <c r="F237" s="27">
        <f t="shared" si="85"/>
        <v>2.1198700995612298E-2</v>
      </c>
    </row>
    <row r="238" spans="1:7">
      <c r="A238" s="1">
        <v>6</v>
      </c>
      <c r="B238" s="30">
        <f>ROUND(H28*基本公式!$B$173,0)</f>
        <v>7238</v>
      </c>
      <c r="C238" s="27">
        <f>其他表格!G33*基本公式!$B$4*基本公式!$B$131</f>
        <v>1.7745907280039199</v>
      </c>
      <c r="D238" s="30">
        <f t="shared" si="83"/>
        <v>2704</v>
      </c>
      <c r="E238" s="27">
        <f t="shared" si="84"/>
        <v>0.75103214738737301</v>
      </c>
      <c r="F238" s="27">
        <f t="shared" si="85"/>
        <v>3.12930061411405E-2</v>
      </c>
    </row>
    <row r="239" spans="1:7">
      <c r="A239" s="1">
        <v>7</v>
      </c>
      <c r="B239" s="30">
        <f>ROUND(H29*基本公式!$B$173,0)</f>
        <v>14258</v>
      </c>
      <c r="C239" s="27">
        <f>其他表格!G34*基本公式!$B$4*基本公式!$B$131</f>
        <v>3.0688411085782001</v>
      </c>
      <c r="D239" s="30">
        <f t="shared" si="83"/>
        <v>4659</v>
      </c>
      <c r="E239" s="27">
        <f t="shared" si="84"/>
        <v>1.29425038057429</v>
      </c>
      <c r="F239" s="27">
        <f t="shared" si="85"/>
        <v>5.3927099190595303E-2</v>
      </c>
    </row>
    <row r="240" spans="1:7">
      <c r="A240" s="1">
        <v>8</v>
      </c>
      <c r="B240" s="30">
        <f>ROUND(H30*基本公式!$B$173,0)</f>
        <v>25635</v>
      </c>
      <c r="C240" s="27">
        <f>其他表格!G35*基本公式!$B$4*基本公式!$B$131</f>
        <v>6.0393669413667199</v>
      </c>
      <c r="D240" s="30">
        <f t="shared" si="83"/>
        <v>10694</v>
      </c>
      <c r="E240" s="27">
        <f t="shared" si="84"/>
        <v>2.9705258327885198</v>
      </c>
      <c r="F240" s="27">
        <f t="shared" si="85"/>
        <v>0.123771909699522</v>
      </c>
    </row>
    <row r="241" spans="1:6">
      <c r="A241" s="1">
        <v>9</v>
      </c>
      <c r="B241" s="30">
        <f>ROUND(H31*基本公式!$B$173,0)</f>
        <v>36983</v>
      </c>
      <c r="C241" s="27">
        <f>其他表格!G36*基本公式!$B$4*基本公式!$B$131</f>
        <v>10.3489763989148</v>
      </c>
      <c r="D241" s="30">
        <f t="shared" si="83"/>
        <v>15515</v>
      </c>
      <c r="E241" s="27">
        <f t="shared" si="84"/>
        <v>4.3096094575480999</v>
      </c>
      <c r="F241" s="27">
        <f t="shared" si="85"/>
        <v>0.17956706073117101</v>
      </c>
    </row>
    <row r="242" spans="1:6">
      <c r="A242" s="1">
        <v>10</v>
      </c>
      <c r="B242" s="30">
        <f>ROUND(H32*基本公式!$B$173,0)</f>
        <v>56243</v>
      </c>
      <c r="C242" s="27">
        <f>其他表格!G37*基本公式!$B$4*基本公式!$B$131</f>
        <v>17.1186075771523</v>
      </c>
      <c r="D242" s="30">
        <f t="shared" si="83"/>
        <v>24371</v>
      </c>
      <c r="E242" s="27">
        <f t="shared" si="84"/>
        <v>6.7696311782375096</v>
      </c>
      <c r="F242" s="27">
        <f t="shared" si="85"/>
        <v>0.28206796575989601</v>
      </c>
    </row>
    <row r="243" spans="1:6">
      <c r="A243" s="1">
        <v>11</v>
      </c>
      <c r="B243" s="30">
        <f>ROUND(H33*基本公式!$B$173,0)</f>
        <v>81848</v>
      </c>
      <c r="C243" s="27">
        <f>其他表格!G38*基本公式!$B$4*基本公式!$B$131</f>
        <v>29.486596783611699</v>
      </c>
      <c r="D243" s="30">
        <f t="shared" si="83"/>
        <v>44525</v>
      </c>
      <c r="E243" s="27">
        <f t="shared" si="84"/>
        <v>12.367989206459299</v>
      </c>
      <c r="F243" s="27">
        <f t="shared" si="85"/>
        <v>0.51533288360247298</v>
      </c>
    </row>
    <row r="244" spans="1:6">
      <c r="A244" s="1">
        <v>12</v>
      </c>
      <c r="B244" s="30">
        <f>ROUND(H34*基本公式!$B$173,0)</f>
        <v>147038</v>
      </c>
      <c r="C244" s="27">
        <f>其他表格!G39*基本公式!$B$4*基本公式!$B$131</f>
        <v>46.557784395176299</v>
      </c>
      <c r="D244" s="30">
        <f t="shared" si="83"/>
        <v>61456</v>
      </c>
      <c r="E244" s="27">
        <f t="shared" si="84"/>
        <v>17.071187611564699</v>
      </c>
      <c r="F244" s="27">
        <f t="shared" si="85"/>
        <v>0.71129948381519403</v>
      </c>
    </row>
    <row r="245" spans="1:6">
      <c r="A245" s="1">
        <v>13</v>
      </c>
      <c r="B245" s="30">
        <f>ROUND(H35*基本公式!$B$173,0)</f>
        <v>201188</v>
      </c>
      <c r="C245" s="27">
        <f>其他表格!G40*基本公式!$B$4*基本公式!$B$131</f>
        <v>72.604732000275007</v>
      </c>
      <c r="D245" s="30">
        <f t="shared" si="83"/>
        <v>93769</v>
      </c>
      <c r="E245" s="27">
        <f t="shared" si="84"/>
        <v>26.046947605098701</v>
      </c>
      <c r="F245" s="27">
        <f t="shared" si="85"/>
        <v>1.08528948354578</v>
      </c>
    </row>
    <row r="246" spans="1:6">
      <c r="A246" s="1">
        <v>14</v>
      </c>
      <c r="B246" s="30">
        <f>ROUND(H36*基本公式!$B$173,0)</f>
        <v>248483</v>
      </c>
      <c r="C246" s="27">
        <f>其他表格!G41*基本公式!$B$4*基本公式!$B$131</f>
        <v>106.9964471583</v>
      </c>
      <c r="D246" s="30">
        <f t="shared" si="83"/>
        <v>123810</v>
      </c>
      <c r="E246" s="27">
        <f t="shared" si="84"/>
        <v>34.391715158025001</v>
      </c>
      <c r="F246" s="27">
        <f t="shared" si="85"/>
        <v>1.43298813158437</v>
      </c>
    </row>
    <row r="247" spans="1:6">
      <c r="A247" s="1">
        <v>15</v>
      </c>
      <c r="B247" s="30">
        <f>ROUND(H37*基本公式!$B$173,0)</f>
        <v>301680</v>
      </c>
      <c r="C247" s="27">
        <f>其他表格!G42*基本公式!$B$4*基本公式!$B$131</f>
        <v>150.84085595625001</v>
      </c>
      <c r="D247" s="30">
        <f t="shared" si="83"/>
        <v>157840</v>
      </c>
      <c r="E247" s="27">
        <f t="shared" si="84"/>
        <v>43.844408797950003</v>
      </c>
      <c r="F247" s="27">
        <f t="shared" si="85"/>
        <v>1.8268503665812501</v>
      </c>
    </row>
    <row r="248" spans="1:6">
      <c r="A248" s="1">
        <v>16</v>
      </c>
      <c r="B248" s="30">
        <f>ROUND(H38*基本公式!$B$173,0)</f>
        <v>353558</v>
      </c>
      <c r="C248" s="27">
        <f>其他表格!G43*基本公式!$B$4*基本公式!$B$131</f>
        <v>205.35527056500001</v>
      </c>
      <c r="D248" s="30">
        <f t="shared" si="83"/>
        <v>196252</v>
      </c>
      <c r="E248" s="27">
        <f t="shared" si="84"/>
        <v>54.514414608750002</v>
      </c>
      <c r="F248" s="27">
        <f t="shared" si="85"/>
        <v>2.2714339420312499</v>
      </c>
    </row>
    <row r="249" spans="1:6">
      <c r="A249" s="1">
        <v>17</v>
      </c>
      <c r="B249" s="30">
        <f>ROUND(H39*基本公式!$B$173,0)</f>
        <v>409238</v>
      </c>
      <c r="C249" s="27">
        <f>其他表格!G44*基本公式!$B$4*基本公式!$B$131</f>
        <v>271.8756702</v>
      </c>
      <c r="D249" s="30">
        <f t="shared" si="83"/>
        <v>239473</v>
      </c>
      <c r="E249" s="27">
        <f t="shared" si="84"/>
        <v>66.520399635000004</v>
      </c>
      <c r="F249" s="27">
        <f t="shared" si="85"/>
        <v>2.771683318125</v>
      </c>
    </row>
    <row r="250" spans="1:6">
      <c r="A250" s="1">
        <v>18</v>
      </c>
      <c r="B250" s="30">
        <f>ROUND(H40*基本公式!$B$173,0)</f>
        <v>470190</v>
      </c>
      <c r="C250" s="27">
        <f>其他表格!G45*基本公式!$B$4*基本公式!$B$131</f>
        <v>351.86669999999998</v>
      </c>
      <c r="D250" s="30">
        <f t="shared" si="83"/>
        <v>287968</v>
      </c>
      <c r="E250" s="27">
        <f t="shared" si="84"/>
        <v>79.991029799999893</v>
      </c>
      <c r="F250" s="27">
        <f t="shared" si="85"/>
        <v>3.3329595749999998</v>
      </c>
    </row>
    <row r="251" spans="1:6">
      <c r="A251" s="1">
        <v>19</v>
      </c>
      <c r="B251" s="30">
        <f>ROUND(H41*基本公式!$B$173,0)</f>
        <v>534548</v>
      </c>
      <c r="C251" s="27">
        <f>其他表格!G46*基本公式!$B$4*基本公式!$B$131</f>
        <v>446.93243999999999</v>
      </c>
      <c r="D251" s="30">
        <f t="shared" si="83"/>
        <v>342237</v>
      </c>
      <c r="E251" s="27">
        <f t="shared" si="84"/>
        <v>95.065740000000005</v>
      </c>
      <c r="F251" s="27">
        <f t="shared" si="85"/>
        <v>3.9610725000000002</v>
      </c>
    </row>
    <row r="252" spans="1:6">
      <c r="A252" s="1">
        <v>20</v>
      </c>
      <c r="B252" s="30">
        <f>ROUND(H42*基本公式!$B$173,0)</f>
        <v>628875</v>
      </c>
      <c r="C252" s="27">
        <f>其他表格!G47*基本公式!$B$4*基本公式!$B$131</f>
        <v>558.82799999999997</v>
      </c>
      <c r="D252" s="30">
        <f t="shared" si="83"/>
        <v>402824</v>
      </c>
      <c r="E252" s="27">
        <f t="shared" si="84"/>
        <v>111.89556</v>
      </c>
      <c r="F252" s="27">
        <f t="shared" si="85"/>
        <v>4.6623150000000004</v>
      </c>
    </row>
    <row r="253" spans="1:6" s="7" customFormat="1" ht="27">
      <c r="A253" s="7" t="s">
        <v>93</v>
      </c>
      <c r="B253" s="28" t="s">
        <v>230</v>
      </c>
      <c r="C253" s="29" t="s">
        <v>231</v>
      </c>
      <c r="D253" s="28" t="s">
        <v>232</v>
      </c>
      <c r="E253" s="29" t="s">
        <v>233</v>
      </c>
      <c r="F253" s="29" t="s">
        <v>234</v>
      </c>
    </row>
    <row r="254" spans="1:6">
      <c r="A254" s="1">
        <v>1</v>
      </c>
      <c r="B254" s="30">
        <f>ROUND(H23*基本公式!$B$174,0)</f>
        <v>408</v>
      </c>
      <c r="C254" s="27">
        <f>其他表格!G28*基本公式!$B$4*基本公式!$B$132</f>
        <v>6.8512693450585704E-3</v>
      </c>
      <c r="D254" s="30">
        <f>ROUND(E254*3600,0)</f>
        <v>25</v>
      </c>
      <c r="E254" s="27">
        <f>C254</f>
        <v>6.8512693450585704E-3</v>
      </c>
      <c r="F254" s="27">
        <f>E254/24</f>
        <v>2.8546955604410703E-4</v>
      </c>
    </row>
    <row r="255" spans="1:6">
      <c r="A255" s="1">
        <v>2</v>
      </c>
      <c r="B255" s="30">
        <f>ROUND(H24*基本公式!$B$174,0)</f>
        <v>791</v>
      </c>
      <c r="C255" s="27">
        <f>其他表格!G29*基本公式!$B$4*基本公式!$B$132</f>
        <v>6.0225634964635101E-2</v>
      </c>
      <c r="D255" s="30">
        <f t="shared" ref="D255" si="86">ROUND(E255*3600,0)</f>
        <v>192</v>
      </c>
      <c r="E255" s="27">
        <f t="shared" ref="E255" si="87">C255-C254</f>
        <v>5.3374365619576501E-2</v>
      </c>
      <c r="F255" s="27">
        <f t="shared" ref="F255" si="88">E255/24</f>
        <v>2.22393190081569E-3</v>
      </c>
    </row>
    <row r="256" spans="1:6">
      <c r="A256" s="1">
        <v>3</v>
      </c>
      <c r="B256" s="30">
        <f>ROUND(H25*基本公式!$B$174,0)</f>
        <v>1173</v>
      </c>
      <c r="C256" s="27">
        <f>其他表格!G30*基本公式!$B$4*基本公式!$B$132</f>
        <v>0.25358162090372699</v>
      </c>
      <c r="D256" s="30">
        <f t="shared" ref="D256:D273" si="89">ROUND(E256*3600,0)</f>
        <v>696</v>
      </c>
      <c r="E256" s="27">
        <f t="shared" ref="E256:E273" si="90">C256-C255</f>
        <v>0.19335598593909201</v>
      </c>
      <c r="F256" s="27">
        <f t="shared" ref="F256:F273" si="91">E256/24</f>
        <v>8.0564994141288197E-3</v>
      </c>
    </row>
    <row r="257" spans="1:6">
      <c r="A257" s="1">
        <v>4</v>
      </c>
      <c r="B257" s="30">
        <f>ROUND(H26*基本公式!$B$174,0)</f>
        <v>1938</v>
      </c>
      <c r="C257" s="27">
        <f>其他表格!G31*基本公式!$B$4*基本公式!$B$132</f>
        <v>0.60058804950882605</v>
      </c>
      <c r="D257" s="30">
        <f t="shared" si="89"/>
        <v>1249</v>
      </c>
      <c r="E257" s="27">
        <f t="shared" si="90"/>
        <v>0.3470064286051</v>
      </c>
      <c r="F257" s="27">
        <f t="shared" si="91"/>
        <v>1.44586011918792E-2</v>
      </c>
    </row>
    <row r="258" spans="1:6">
      <c r="A258" s="1">
        <v>5</v>
      </c>
      <c r="B258" s="30">
        <f>ROUND(H27*基本公式!$B$174,0)</f>
        <v>3222</v>
      </c>
      <c r="C258" s="27">
        <f>其他表格!G32*基本公式!$B$4*基本公式!$B$132</f>
        <v>1.1941516773859699</v>
      </c>
      <c r="D258" s="30">
        <f t="shared" si="89"/>
        <v>2137</v>
      </c>
      <c r="E258" s="27">
        <f t="shared" si="90"/>
        <v>0.59356362787714401</v>
      </c>
      <c r="F258" s="27">
        <f t="shared" si="91"/>
        <v>2.4731817828214299E-2</v>
      </c>
    </row>
    <row r="259" spans="1:6">
      <c r="A259" s="1">
        <v>6</v>
      </c>
      <c r="B259" s="30">
        <f>ROUND(H28*基本公式!$B$174,0)</f>
        <v>8203</v>
      </c>
      <c r="C259" s="27">
        <f>其他表格!G33*基本公式!$B$4*基本公式!$B$132</f>
        <v>2.0703558493379099</v>
      </c>
      <c r="D259" s="30">
        <f t="shared" si="89"/>
        <v>3154</v>
      </c>
      <c r="E259" s="27">
        <f t="shared" si="90"/>
        <v>0.87620417195193501</v>
      </c>
      <c r="F259" s="27">
        <f t="shared" si="91"/>
        <v>3.6508507164663903E-2</v>
      </c>
    </row>
    <row r="260" spans="1:6">
      <c r="A260" s="1">
        <v>7</v>
      </c>
      <c r="B260" s="30">
        <f>ROUND(H29*基本公式!$B$174,0)</f>
        <v>16159</v>
      </c>
      <c r="C260" s="27">
        <f>其他表格!G34*基本公式!$B$4*基本公式!$B$132</f>
        <v>3.58031462667457</v>
      </c>
      <c r="D260" s="30">
        <f t="shared" si="89"/>
        <v>5436</v>
      </c>
      <c r="E260" s="27">
        <f t="shared" si="90"/>
        <v>1.5099587773366701</v>
      </c>
      <c r="F260" s="27">
        <f t="shared" si="91"/>
        <v>6.2914949055694502E-2</v>
      </c>
    </row>
    <row r="261" spans="1:6">
      <c r="A261" s="1">
        <v>8</v>
      </c>
      <c r="B261" s="30">
        <f>ROUND(H30*基本公式!$B$174,0)</f>
        <v>29053</v>
      </c>
      <c r="C261" s="27">
        <f>其他表格!G35*基本公式!$B$4*基本公式!$B$132</f>
        <v>7.0459280982611698</v>
      </c>
      <c r="D261" s="30">
        <f t="shared" si="89"/>
        <v>12476</v>
      </c>
      <c r="E261" s="27">
        <f t="shared" si="90"/>
        <v>3.4656134715865998</v>
      </c>
      <c r="F261" s="27">
        <f t="shared" si="91"/>
        <v>0.14440056131610801</v>
      </c>
    </row>
    <row r="262" spans="1:6">
      <c r="A262" s="1">
        <v>9</v>
      </c>
      <c r="B262" s="30">
        <f>ROUND(H31*基本公式!$B$174,0)</f>
        <v>41914</v>
      </c>
      <c r="C262" s="27">
        <f>其他表格!G36*基本公式!$B$4*基本公式!$B$132</f>
        <v>12.073805798734</v>
      </c>
      <c r="D262" s="30">
        <f t="shared" si="89"/>
        <v>18100</v>
      </c>
      <c r="E262" s="27">
        <f t="shared" si="90"/>
        <v>5.0278777004727901</v>
      </c>
      <c r="F262" s="27">
        <f t="shared" si="91"/>
        <v>0.20949490418636599</v>
      </c>
    </row>
    <row r="263" spans="1:6">
      <c r="A263" s="1">
        <v>10</v>
      </c>
      <c r="B263" s="30">
        <f>ROUND(H32*基本公式!$B$174,0)</f>
        <v>63742</v>
      </c>
      <c r="C263" s="27">
        <f>其他表格!G37*基本公式!$B$4*基本公式!$B$132</f>
        <v>19.9717088400111</v>
      </c>
      <c r="D263" s="30">
        <f t="shared" si="89"/>
        <v>28432</v>
      </c>
      <c r="E263" s="27">
        <f t="shared" si="90"/>
        <v>7.8979030412771003</v>
      </c>
      <c r="F263" s="27">
        <f t="shared" si="91"/>
        <v>0.32907929338654601</v>
      </c>
    </row>
    <row r="264" spans="1:6">
      <c r="A264" s="1">
        <v>11</v>
      </c>
      <c r="B264" s="30">
        <f>ROUND(H33*基本公式!$B$174,0)</f>
        <v>92761</v>
      </c>
      <c r="C264" s="27">
        <f>其他表格!G38*基本公式!$B$4*基本公式!$B$132</f>
        <v>34.401029580880298</v>
      </c>
      <c r="D264" s="30">
        <f t="shared" si="89"/>
        <v>51946</v>
      </c>
      <c r="E264" s="27">
        <f t="shared" si="90"/>
        <v>14.429320740869199</v>
      </c>
      <c r="F264" s="27">
        <f t="shared" si="91"/>
        <v>0.60122169753621801</v>
      </c>
    </row>
    <row r="265" spans="1:6">
      <c r="A265" s="1">
        <v>12</v>
      </c>
      <c r="B265" s="30">
        <f>ROUND(H34*基本公式!$B$174,0)</f>
        <v>166643</v>
      </c>
      <c r="C265" s="27">
        <f>其他表格!G39*基本公式!$B$4*基本公式!$B$132</f>
        <v>54.317415127705701</v>
      </c>
      <c r="D265" s="30">
        <f t="shared" si="89"/>
        <v>71699</v>
      </c>
      <c r="E265" s="27">
        <f t="shared" si="90"/>
        <v>19.916385546825399</v>
      </c>
      <c r="F265" s="27">
        <f t="shared" si="91"/>
        <v>0.82984939778439304</v>
      </c>
    </row>
    <row r="266" spans="1:6">
      <c r="A266" s="1">
        <v>13</v>
      </c>
      <c r="B266" s="30">
        <f>ROUND(H35*基本公式!$B$174,0)</f>
        <v>228013</v>
      </c>
      <c r="C266" s="27">
        <f>其他表格!G40*基本公式!$B$4*基本公式!$B$132</f>
        <v>84.705520666987496</v>
      </c>
      <c r="D266" s="30">
        <f t="shared" si="89"/>
        <v>109397</v>
      </c>
      <c r="E266" s="27">
        <f t="shared" si="90"/>
        <v>30.388105539281799</v>
      </c>
      <c r="F266" s="27">
        <f t="shared" si="91"/>
        <v>1.2661710641367401</v>
      </c>
    </row>
    <row r="267" spans="1:6">
      <c r="A267" s="1">
        <v>14</v>
      </c>
      <c r="B267" s="30">
        <f>ROUND(H36*基本公式!$B$174,0)</f>
        <v>281614</v>
      </c>
      <c r="C267" s="27">
        <f>其他表格!G41*基本公式!$B$4*基本公式!$B$132</f>
        <v>124.82918835135</v>
      </c>
      <c r="D267" s="30">
        <f t="shared" si="89"/>
        <v>144445</v>
      </c>
      <c r="E267" s="27">
        <f t="shared" si="90"/>
        <v>40.123667684362502</v>
      </c>
      <c r="F267" s="27">
        <f t="shared" si="91"/>
        <v>1.67181948684844</v>
      </c>
    </row>
    <row r="268" spans="1:6">
      <c r="A268" s="1">
        <v>15</v>
      </c>
      <c r="B268" s="30">
        <f>ROUND(H37*基本公式!$B$174,0)</f>
        <v>341904</v>
      </c>
      <c r="C268" s="27">
        <f>其他表格!G42*基本公式!$B$4*基本公式!$B$132</f>
        <v>175.980998615625</v>
      </c>
      <c r="D268" s="30">
        <f t="shared" si="89"/>
        <v>184147</v>
      </c>
      <c r="E268" s="27">
        <f t="shared" si="90"/>
        <v>51.151810264274999</v>
      </c>
      <c r="F268" s="27">
        <f t="shared" si="91"/>
        <v>2.1313254276781199</v>
      </c>
    </row>
    <row r="269" spans="1:6">
      <c r="A269" s="1">
        <v>16</v>
      </c>
      <c r="B269" s="30">
        <f>ROUND(H38*基本公式!$B$174,0)</f>
        <v>400699</v>
      </c>
      <c r="C269" s="27">
        <f>其他表格!G43*基本公式!$B$4*基本公式!$B$132</f>
        <v>239.5811489925</v>
      </c>
      <c r="D269" s="30">
        <f t="shared" si="89"/>
        <v>228961</v>
      </c>
      <c r="E269" s="27">
        <f t="shared" si="90"/>
        <v>63.600150376875</v>
      </c>
      <c r="F269" s="27">
        <f t="shared" si="91"/>
        <v>2.65000626570313</v>
      </c>
    </row>
    <row r="270" spans="1:6">
      <c r="A270" s="1">
        <v>17</v>
      </c>
      <c r="B270" s="30">
        <f>ROUND(H39*基本公式!$B$174,0)</f>
        <v>463803</v>
      </c>
      <c r="C270" s="27">
        <f>其他表格!G44*基本公式!$B$4*基本公式!$B$132</f>
        <v>317.18828189999999</v>
      </c>
      <c r="D270" s="30">
        <f t="shared" si="89"/>
        <v>279386</v>
      </c>
      <c r="E270" s="27">
        <f t="shared" si="90"/>
        <v>77.607132907500002</v>
      </c>
      <c r="F270" s="27">
        <f t="shared" si="91"/>
        <v>3.2336305378125001</v>
      </c>
    </row>
    <row r="271" spans="1:6">
      <c r="A271" s="1">
        <v>18</v>
      </c>
      <c r="B271" s="30">
        <f>ROUND(H40*基本公式!$B$174,0)</f>
        <v>532882</v>
      </c>
      <c r="C271" s="27">
        <f>其他表格!G45*基本公式!$B$4*基本公式!$B$132</f>
        <v>410.51114999999999</v>
      </c>
      <c r="D271" s="30">
        <f t="shared" si="89"/>
        <v>335962</v>
      </c>
      <c r="E271" s="27">
        <f t="shared" si="90"/>
        <v>93.322868099999894</v>
      </c>
      <c r="F271" s="27">
        <f t="shared" si="91"/>
        <v>3.8884528375</v>
      </c>
    </row>
    <row r="272" spans="1:6">
      <c r="A272" s="1">
        <v>19</v>
      </c>
      <c r="B272" s="30">
        <f>ROUND(H41*基本公式!$B$174,0)</f>
        <v>605821</v>
      </c>
      <c r="C272" s="27">
        <f>其他表格!G46*基本公式!$B$4*基本公式!$B$132</f>
        <v>521.42118000000005</v>
      </c>
      <c r="D272" s="30">
        <f t="shared" si="89"/>
        <v>399276</v>
      </c>
      <c r="E272" s="27">
        <f t="shared" si="90"/>
        <v>110.91003000000001</v>
      </c>
      <c r="F272" s="27">
        <f t="shared" si="91"/>
        <v>4.6212512500000003</v>
      </c>
    </row>
    <row r="273" spans="1:6">
      <c r="A273" s="1">
        <v>20</v>
      </c>
      <c r="B273" s="30">
        <f>ROUND(H42*基本公式!$B$174,0)</f>
        <v>712725</v>
      </c>
      <c r="C273" s="27">
        <f>其他表格!G47*基本公式!$B$4*基本公式!$B$132</f>
        <v>651.96600000000001</v>
      </c>
      <c r="D273" s="30">
        <f t="shared" si="89"/>
        <v>469961</v>
      </c>
      <c r="E273" s="27">
        <f t="shared" si="90"/>
        <v>130.54481999999999</v>
      </c>
      <c r="F273" s="27">
        <f t="shared" si="91"/>
        <v>5.4393675000000004</v>
      </c>
    </row>
    <row r="274" spans="1:6" s="7" customFormat="1" ht="27">
      <c r="A274" s="7" t="s">
        <v>94</v>
      </c>
      <c r="B274" s="28" t="s">
        <v>230</v>
      </c>
      <c r="C274" s="29" t="s">
        <v>231</v>
      </c>
      <c r="D274" s="28" t="s">
        <v>232</v>
      </c>
      <c r="E274" s="29" t="s">
        <v>233</v>
      </c>
      <c r="F274" s="29" t="s">
        <v>234</v>
      </c>
    </row>
    <row r="275" spans="1:6">
      <c r="A275" s="1">
        <v>1</v>
      </c>
      <c r="B275" s="30">
        <f>ROUND(H23*基本公式!$B$175,0)</f>
        <v>480</v>
      </c>
      <c r="C275" s="27">
        <f>其他表格!G28*基本公式!$B$4*基本公式!$B$133</f>
        <v>7.8300221086383594E-3</v>
      </c>
      <c r="D275" s="30">
        <f>ROUND(E275*3600,0)</f>
        <v>28</v>
      </c>
      <c r="E275" s="27">
        <f>C275</f>
        <v>7.8300221086383594E-3</v>
      </c>
      <c r="F275" s="27">
        <f>E275/24</f>
        <v>3.2625092119326499E-4</v>
      </c>
    </row>
    <row r="276" spans="1:6">
      <c r="A276" s="1">
        <v>2</v>
      </c>
      <c r="B276" s="30">
        <f>ROUND(H24*基本公式!$B$175,0)</f>
        <v>930</v>
      </c>
      <c r="C276" s="27">
        <f>其他表格!G29*基本公式!$B$4*基本公式!$B$133</f>
        <v>6.8829297102440096E-2</v>
      </c>
      <c r="D276" s="30">
        <f t="shared" ref="D276" si="92">ROUND(E276*3600,0)</f>
        <v>220</v>
      </c>
      <c r="E276" s="27">
        <f t="shared" ref="E276" si="93">C276-C275</f>
        <v>6.09992749938017E-2</v>
      </c>
      <c r="F276" s="27">
        <f t="shared" ref="F276" si="94">E276/24</f>
        <v>2.54163645807507E-3</v>
      </c>
    </row>
    <row r="277" spans="1:6">
      <c r="A277" s="1">
        <v>3</v>
      </c>
      <c r="B277" s="30">
        <f>ROUND(H25*基本公式!$B$175,0)</f>
        <v>1380</v>
      </c>
      <c r="C277" s="27">
        <f>其他表格!G30*基本公式!$B$4*基本公式!$B$133</f>
        <v>0.289807566747116</v>
      </c>
      <c r="D277" s="30">
        <f t="shared" ref="D277:D294" si="95">ROUND(E277*3600,0)</f>
        <v>796</v>
      </c>
      <c r="E277" s="27">
        <f t="shared" ref="E277:E294" si="96">C277-C276</f>
        <v>0.22097826964467601</v>
      </c>
      <c r="F277" s="27">
        <f t="shared" ref="F277:F294" si="97">E277/24</f>
        <v>9.2074279018615098E-3</v>
      </c>
    </row>
    <row r="278" spans="1:6">
      <c r="A278" s="1">
        <v>4</v>
      </c>
      <c r="B278" s="30">
        <f>ROUND(H26*基本公式!$B$175,0)</f>
        <v>2280</v>
      </c>
      <c r="C278" s="27">
        <f>其他表格!G31*基本公式!$B$4*基本公式!$B$133</f>
        <v>0.68638634229580198</v>
      </c>
      <c r="D278" s="30">
        <f t="shared" si="95"/>
        <v>1428</v>
      </c>
      <c r="E278" s="27">
        <f t="shared" si="96"/>
        <v>0.39657877554868498</v>
      </c>
      <c r="F278" s="27">
        <f t="shared" si="97"/>
        <v>1.6524115647861898E-2</v>
      </c>
    </row>
    <row r="279" spans="1:6">
      <c r="A279" s="1">
        <v>5</v>
      </c>
      <c r="B279" s="30">
        <f>ROUND(H27*基本公式!$B$175,0)</f>
        <v>3790</v>
      </c>
      <c r="C279" s="27">
        <f>其他表格!G32*基本公式!$B$4*基本公式!$B$133</f>
        <v>1.3647447741554</v>
      </c>
      <c r="D279" s="30">
        <f t="shared" si="95"/>
        <v>2442</v>
      </c>
      <c r="E279" s="27">
        <f t="shared" si="96"/>
        <v>0.67835843185959399</v>
      </c>
      <c r="F279" s="27">
        <f t="shared" si="97"/>
        <v>2.82649346608164E-2</v>
      </c>
    </row>
    <row r="280" spans="1:6">
      <c r="A280" s="1">
        <v>6</v>
      </c>
      <c r="B280" s="30">
        <f>ROUND(H28*基本公式!$B$175,0)</f>
        <v>9650</v>
      </c>
      <c r="C280" s="27">
        <f>其他表格!G33*基本公式!$B$4*基本公式!$B$133</f>
        <v>2.36612097067189</v>
      </c>
      <c r="D280" s="30">
        <f t="shared" si="95"/>
        <v>3605</v>
      </c>
      <c r="E280" s="27">
        <f t="shared" si="96"/>
        <v>1.0013761965165</v>
      </c>
      <c r="F280" s="27">
        <f t="shared" si="97"/>
        <v>4.1724008188187403E-2</v>
      </c>
    </row>
    <row r="281" spans="1:6">
      <c r="A281" s="1">
        <v>7</v>
      </c>
      <c r="B281" s="30">
        <f>ROUND(H29*基本公式!$B$175,0)</f>
        <v>19010</v>
      </c>
      <c r="C281" s="27">
        <f>其他表格!G34*基本公式!$B$4*基本公式!$B$133</f>
        <v>4.0917881447709403</v>
      </c>
      <c r="D281" s="30">
        <f t="shared" si="95"/>
        <v>6212</v>
      </c>
      <c r="E281" s="27">
        <f t="shared" si="96"/>
        <v>1.7256671740990499</v>
      </c>
      <c r="F281" s="27">
        <f t="shared" si="97"/>
        <v>7.1902798920793695E-2</v>
      </c>
    </row>
    <row r="282" spans="1:6">
      <c r="A282" s="1">
        <v>8</v>
      </c>
      <c r="B282" s="30">
        <f>ROUND(H30*基本公式!$B$175,0)</f>
        <v>34180</v>
      </c>
      <c r="C282" s="27">
        <f>其他表格!G35*基本公式!$B$4*基本公式!$B$133</f>
        <v>8.0524892551556295</v>
      </c>
      <c r="D282" s="30">
        <f t="shared" si="95"/>
        <v>14259</v>
      </c>
      <c r="E282" s="27">
        <f t="shared" si="96"/>
        <v>3.9607011103846901</v>
      </c>
      <c r="F282" s="27">
        <f t="shared" si="97"/>
        <v>0.16502921293269501</v>
      </c>
    </row>
    <row r="283" spans="1:6">
      <c r="A283" s="1">
        <v>9</v>
      </c>
      <c r="B283" s="30">
        <f>ROUND(H31*基本公式!$B$175,0)</f>
        <v>49310</v>
      </c>
      <c r="C283" s="27">
        <f>其他表格!G36*基本公式!$B$4*基本公式!$B$133</f>
        <v>13.7986351985531</v>
      </c>
      <c r="D283" s="30">
        <f t="shared" si="95"/>
        <v>20686</v>
      </c>
      <c r="E283" s="27">
        <f t="shared" si="96"/>
        <v>5.7461459433974698</v>
      </c>
      <c r="F283" s="27">
        <f t="shared" si="97"/>
        <v>0.23942274764156099</v>
      </c>
    </row>
    <row r="284" spans="1:6">
      <c r="A284" s="1">
        <v>10</v>
      </c>
      <c r="B284" s="30">
        <f>ROUND(H32*基本公式!$B$175,0)</f>
        <v>74990</v>
      </c>
      <c r="C284" s="27">
        <f>其他表格!G37*基本公式!$B$4*基本公式!$B$133</f>
        <v>22.824810102869801</v>
      </c>
      <c r="D284" s="30">
        <f t="shared" si="95"/>
        <v>32494</v>
      </c>
      <c r="E284" s="27">
        <f t="shared" si="96"/>
        <v>9.0261749043166901</v>
      </c>
      <c r="F284" s="27">
        <f t="shared" si="97"/>
        <v>0.37609062101319501</v>
      </c>
    </row>
    <row r="285" spans="1:6">
      <c r="A285" s="1">
        <v>11</v>
      </c>
      <c r="B285" s="30">
        <f>ROUND(H33*基本公式!$B$175,0)</f>
        <v>109130</v>
      </c>
      <c r="C285" s="27">
        <f>其他表格!G38*基本公式!$B$4*基本公式!$B$133</f>
        <v>39.315462378148901</v>
      </c>
      <c r="D285" s="30">
        <f t="shared" si="95"/>
        <v>59366</v>
      </c>
      <c r="E285" s="27">
        <f t="shared" si="96"/>
        <v>16.4906522752791</v>
      </c>
      <c r="F285" s="27">
        <f t="shared" si="97"/>
        <v>0.68711051146996405</v>
      </c>
    </row>
    <row r="286" spans="1:6">
      <c r="A286" s="1">
        <v>12</v>
      </c>
      <c r="B286" s="30">
        <f>ROUND(H34*基本公式!$B$175,0)</f>
        <v>196050</v>
      </c>
      <c r="C286" s="27">
        <f>其他表格!G39*基本公式!$B$4*基本公式!$B$133</f>
        <v>62.077045860235103</v>
      </c>
      <c r="D286" s="30">
        <f t="shared" si="95"/>
        <v>81942</v>
      </c>
      <c r="E286" s="27">
        <f t="shared" si="96"/>
        <v>22.761583482086198</v>
      </c>
      <c r="F286" s="27">
        <f t="shared" si="97"/>
        <v>0.94839931175359204</v>
      </c>
    </row>
    <row r="287" spans="1:6">
      <c r="A287" s="1">
        <v>13</v>
      </c>
      <c r="B287" s="30">
        <f>ROUND(H35*基本公式!$B$175,0)</f>
        <v>268250</v>
      </c>
      <c r="C287" s="27">
        <f>其他表格!G40*基本公式!$B$4*基本公式!$B$133</f>
        <v>96.8063093337</v>
      </c>
      <c r="D287" s="30">
        <f t="shared" si="95"/>
        <v>125025</v>
      </c>
      <c r="E287" s="27">
        <f t="shared" si="96"/>
        <v>34.729263473464897</v>
      </c>
      <c r="F287" s="27">
        <f t="shared" si="97"/>
        <v>1.4470526447276999</v>
      </c>
    </row>
    <row r="288" spans="1:6">
      <c r="A288" s="1">
        <v>14</v>
      </c>
      <c r="B288" s="30">
        <f>ROUND(H36*基本公式!$B$175,0)</f>
        <v>331310</v>
      </c>
      <c r="C288" s="27">
        <f>其他表格!G41*基本公式!$B$4*基本公式!$B$133</f>
        <v>142.66192954440001</v>
      </c>
      <c r="D288" s="30">
        <f t="shared" si="95"/>
        <v>165080</v>
      </c>
      <c r="E288" s="27">
        <f t="shared" si="96"/>
        <v>45.855620210700003</v>
      </c>
      <c r="F288" s="27">
        <f t="shared" si="97"/>
        <v>1.9106508421124999</v>
      </c>
    </row>
    <row r="289" spans="1:8">
      <c r="A289" s="1">
        <v>15</v>
      </c>
      <c r="B289" s="30">
        <f>ROUND(H37*基本公式!$B$175,0)</f>
        <v>402240</v>
      </c>
      <c r="C289" s="27">
        <f>其他表格!G42*基本公式!$B$4*基本公式!$B$133</f>
        <v>201.12114127500001</v>
      </c>
      <c r="D289" s="30">
        <f t="shared" si="95"/>
        <v>210453</v>
      </c>
      <c r="E289" s="27">
        <f t="shared" si="96"/>
        <v>58.459211730600003</v>
      </c>
      <c r="F289" s="27">
        <f t="shared" si="97"/>
        <v>2.435800488775</v>
      </c>
    </row>
    <row r="290" spans="1:8">
      <c r="A290" s="1">
        <v>16</v>
      </c>
      <c r="B290" s="30">
        <f>ROUND(H38*基本公式!$B$175,0)</f>
        <v>471410</v>
      </c>
      <c r="C290" s="27">
        <f>其他表格!G43*基本公式!$B$4*基本公式!$B$133</f>
        <v>273.80702742</v>
      </c>
      <c r="D290" s="30">
        <f t="shared" si="95"/>
        <v>261669</v>
      </c>
      <c r="E290" s="27">
        <f t="shared" si="96"/>
        <v>72.685886144999998</v>
      </c>
      <c r="F290" s="27">
        <f t="shared" si="97"/>
        <v>3.0285785893749999</v>
      </c>
    </row>
    <row r="291" spans="1:8">
      <c r="A291" s="1">
        <v>17</v>
      </c>
      <c r="B291" s="30">
        <f>ROUND(H39*基本公式!$B$175,0)</f>
        <v>545650</v>
      </c>
      <c r="C291" s="27">
        <f>其他表格!G44*基本公式!$B$4*基本公式!$B$133</f>
        <v>362.50089359999998</v>
      </c>
      <c r="D291" s="30">
        <f t="shared" si="95"/>
        <v>319298</v>
      </c>
      <c r="E291" s="27">
        <f t="shared" si="96"/>
        <v>88.693866180000001</v>
      </c>
      <c r="F291" s="27">
        <f t="shared" si="97"/>
        <v>3.6955777575000002</v>
      </c>
    </row>
    <row r="292" spans="1:8">
      <c r="A292" s="1">
        <v>18</v>
      </c>
      <c r="B292" s="30">
        <f>ROUND(H40*基本公式!$B$175,0)</f>
        <v>626920</v>
      </c>
      <c r="C292" s="27">
        <f>其他表格!G45*基本公式!$B$4*基本公式!$B$133</f>
        <v>469.15559999999999</v>
      </c>
      <c r="D292" s="30">
        <f t="shared" si="95"/>
        <v>383957</v>
      </c>
      <c r="E292" s="27">
        <f t="shared" si="96"/>
        <v>106.65470639999999</v>
      </c>
      <c r="F292" s="27">
        <f t="shared" si="97"/>
        <v>4.4439460999999998</v>
      </c>
    </row>
    <row r="293" spans="1:8">
      <c r="A293" s="1">
        <v>19</v>
      </c>
      <c r="B293" s="30">
        <f>ROUND(H41*基本公式!$B$175,0)</f>
        <v>712730</v>
      </c>
      <c r="C293" s="27">
        <f>其他表格!G46*基本公式!$B$4*基本公式!$B$133</f>
        <v>595.90992000000006</v>
      </c>
      <c r="D293" s="30">
        <f t="shared" si="95"/>
        <v>456316</v>
      </c>
      <c r="E293" s="27">
        <f t="shared" si="96"/>
        <v>126.75432000000001</v>
      </c>
      <c r="F293" s="27">
        <f t="shared" si="97"/>
        <v>5.2814300000000003</v>
      </c>
    </row>
    <row r="294" spans="1:8">
      <c r="A294" s="1">
        <v>20</v>
      </c>
      <c r="B294" s="30">
        <f>ROUND(H42*基本公式!$B$175,0)</f>
        <v>838500</v>
      </c>
      <c r="C294" s="27">
        <f>其他表格!G47*基本公式!$B$4*基本公式!$B$133</f>
        <v>745.10400000000004</v>
      </c>
      <c r="D294" s="30">
        <f t="shared" si="95"/>
        <v>537099</v>
      </c>
      <c r="E294" s="27">
        <f t="shared" si="96"/>
        <v>149.19408000000001</v>
      </c>
      <c r="F294" s="27">
        <f t="shared" si="97"/>
        <v>6.2164200000000003</v>
      </c>
    </row>
    <row r="295" spans="1:8" s="7" customFormat="1" ht="27">
      <c r="A295" s="7" t="s">
        <v>91</v>
      </c>
      <c r="B295" s="28" t="s">
        <v>230</v>
      </c>
      <c r="C295" s="29" t="s">
        <v>231</v>
      </c>
      <c r="D295" s="28" t="s">
        <v>232</v>
      </c>
      <c r="E295" s="29" t="s">
        <v>233</v>
      </c>
      <c r="F295" s="29" t="s">
        <v>234</v>
      </c>
      <c r="G295" s="7" t="s">
        <v>252</v>
      </c>
      <c r="H295" s="7" t="s">
        <v>253</v>
      </c>
    </row>
    <row r="296" spans="1:8">
      <c r="A296" s="1">
        <v>1</v>
      </c>
      <c r="B296" s="30">
        <f>ROUND(H23*基本公式!$B$172,0)</f>
        <v>96</v>
      </c>
      <c r="C296" s="27">
        <f>其他表格!G28*基本公式!$B$4*基本公式!$B$130</f>
        <v>1.3702538690117101E-2</v>
      </c>
      <c r="D296" s="30">
        <f>ROUND(E296*3600,0)</f>
        <v>49</v>
      </c>
      <c r="E296" s="27">
        <f>C296</f>
        <v>1.3702538690117101E-2</v>
      </c>
      <c r="F296" s="27">
        <f>E296/24</f>
        <v>5.7093911208821405E-4</v>
      </c>
      <c r="G296" s="13">
        <v>1</v>
      </c>
    </row>
    <row r="297" spans="1:8">
      <c r="A297" s="1">
        <v>2</v>
      </c>
      <c r="B297" s="30">
        <f>ROUND(H24*基本公式!$B$172,0)</f>
        <v>186</v>
      </c>
      <c r="C297" s="27">
        <f>其他表格!G29*基本公式!$B$4*基本公式!$B$130</f>
        <v>0.12045126992926999</v>
      </c>
      <c r="D297" s="30">
        <f t="shared" ref="D297" si="98">ROUND(E297*3600,0)</f>
        <v>384</v>
      </c>
      <c r="E297" s="27">
        <f t="shared" ref="E297" si="99">C297-C296</f>
        <v>0.106748731239153</v>
      </c>
      <c r="F297" s="27">
        <f t="shared" ref="F297" si="100">E297/24</f>
        <v>4.44786380163138E-3</v>
      </c>
      <c r="G297" s="13">
        <v>2</v>
      </c>
    </row>
    <row r="298" spans="1:8">
      <c r="A298" s="1">
        <v>3</v>
      </c>
      <c r="B298" s="30">
        <f>ROUND(H25*基本公式!$B$172,0)</f>
        <v>276</v>
      </c>
      <c r="C298" s="27">
        <f>其他表格!G30*基本公式!$B$4*基本公式!$B$130</f>
        <v>0.50716324180745398</v>
      </c>
      <c r="D298" s="30">
        <f t="shared" ref="D298:D315" si="101">ROUND(E298*3600,0)</f>
        <v>1392</v>
      </c>
      <c r="E298" s="27">
        <f t="shared" ref="E298:E315" si="102">C298-C297</f>
        <v>0.38671197187818301</v>
      </c>
      <c r="F298" s="27">
        <f t="shared" ref="F298:F315" si="103">E298/24</f>
        <v>1.6112998828257601E-2</v>
      </c>
      <c r="G298" s="13">
        <v>3</v>
      </c>
    </row>
    <row r="299" spans="1:8">
      <c r="A299" s="1">
        <v>4</v>
      </c>
      <c r="B299" s="30">
        <f>ROUND(H26*基本公式!$B$172,0)</f>
        <v>456</v>
      </c>
      <c r="C299" s="27">
        <f>其他表格!G31*基本公式!$B$4*基本公式!$B$130</f>
        <v>1.2011760990176501</v>
      </c>
      <c r="D299" s="30">
        <f t="shared" si="101"/>
        <v>2498</v>
      </c>
      <c r="E299" s="27">
        <f t="shared" si="102"/>
        <v>0.69401285721019901</v>
      </c>
      <c r="F299" s="27">
        <f t="shared" si="103"/>
        <v>2.8917202383758299E-2</v>
      </c>
      <c r="G299" s="13">
        <v>4</v>
      </c>
    </row>
    <row r="300" spans="1:8">
      <c r="A300" s="1">
        <v>5</v>
      </c>
      <c r="B300" s="30">
        <f>ROUND(H27*基本公式!$B$172,0)</f>
        <v>758</v>
      </c>
      <c r="C300" s="27">
        <f>其他表格!G32*基本公式!$B$4*基本公式!$B$130</f>
        <v>2.3883033547719399</v>
      </c>
      <c r="D300" s="30">
        <f t="shared" si="101"/>
        <v>4274</v>
      </c>
      <c r="E300" s="27">
        <f t="shared" si="102"/>
        <v>1.18712725575429</v>
      </c>
      <c r="F300" s="27">
        <f t="shared" si="103"/>
        <v>4.9463635656428702E-2</v>
      </c>
      <c r="G300" s="13">
        <v>5</v>
      </c>
    </row>
    <row r="301" spans="1:8">
      <c r="A301" s="1">
        <v>6</v>
      </c>
      <c r="B301" s="30">
        <f>ROUND(H28*基本公式!$B$172,0)</f>
        <v>1930</v>
      </c>
      <c r="C301" s="27">
        <f>其他表格!G33*基本公式!$B$4*基本公式!$B$130</f>
        <v>4.1407116986758101</v>
      </c>
      <c r="D301" s="30">
        <f t="shared" si="101"/>
        <v>6309</v>
      </c>
      <c r="E301" s="27">
        <f t="shared" si="102"/>
        <v>1.75240834390387</v>
      </c>
      <c r="F301" s="27">
        <f t="shared" si="103"/>
        <v>7.3017014329327903E-2</v>
      </c>
      <c r="G301" s="13">
        <v>6</v>
      </c>
    </row>
    <row r="302" spans="1:8">
      <c r="A302" s="1">
        <v>7</v>
      </c>
      <c r="B302" s="30">
        <f>ROUND(H29*基本公式!$B$172,0)</f>
        <v>3802</v>
      </c>
      <c r="C302" s="27">
        <f>其他表格!G34*基本公式!$B$4*基本公式!$B$130</f>
        <v>7.1606292533491498</v>
      </c>
      <c r="D302" s="30">
        <f t="shared" si="101"/>
        <v>10872</v>
      </c>
      <c r="E302" s="27">
        <f t="shared" si="102"/>
        <v>3.0199175546733401</v>
      </c>
      <c r="F302" s="27">
        <f t="shared" si="103"/>
        <v>0.125829898111389</v>
      </c>
      <c r="G302" s="13">
        <v>7</v>
      </c>
    </row>
    <row r="303" spans="1:8">
      <c r="A303" s="1">
        <v>8</v>
      </c>
      <c r="B303" s="30">
        <f>ROUND(H30*基本公式!$B$172,0)</f>
        <v>6836</v>
      </c>
      <c r="C303" s="27">
        <f>其他表格!G35*基本公式!$B$4*基本公式!$B$130</f>
        <v>14.091856196522301</v>
      </c>
      <c r="D303" s="30">
        <f t="shared" si="101"/>
        <v>24952</v>
      </c>
      <c r="E303" s="27">
        <f t="shared" si="102"/>
        <v>6.9312269431731997</v>
      </c>
      <c r="F303" s="27">
        <f t="shared" si="103"/>
        <v>0.28880112263221702</v>
      </c>
      <c r="G303" s="13">
        <v>8</v>
      </c>
    </row>
    <row r="304" spans="1:8">
      <c r="A304" s="1">
        <v>9</v>
      </c>
      <c r="B304" s="30">
        <f>ROUND(H31*基本公式!$B$172,0)</f>
        <v>9862</v>
      </c>
      <c r="C304" s="27">
        <f>其他表格!G36*基本公式!$B$4*基本公式!$B$130</f>
        <v>24.1476115974679</v>
      </c>
      <c r="D304" s="30">
        <f t="shared" si="101"/>
        <v>36201</v>
      </c>
      <c r="E304" s="27">
        <f t="shared" si="102"/>
        <v>10.0557554009456</v>
      </c>
      <c r="F304" s="27">
        <f t="shared" si="103"/>
        <v>0.41898980837273198</v>
      </c>
      <c r="G304" s="13">
        <v>9</v>
      </c>
    </row>
    <row r="305" spans="1:7">
      <c r="A305" s="1">
        <v>10</v>
      </c>
      <c r="B305" s="30">
        <f>ROUND(H32*基本公式!$B$172,0)</f>
        <v>14998</v>
      </c>
      <c r="C305" s="27">
        <f>其他表格!G37*基本公式!$B$4*基本公式!$B$130</f>
        <v>39.943417680022101</v>
      </c>
      <c r="D305" s="30">
        <f t="shared" si="101"/>
        <v>56865</v>
      </c>
      <c r="E305" s="27">
        <f t="shared" si="102"/>
        <v>15.795806082554201</v>
      </c>
      <c r="F305" s="27">
        <f t="shared" si="103"/>
        <v>0.65815858677309202</v>
      </c>
      <c r="G305" s="13">
        <v>10</v>
      </c>
    </row>
    <row r="306" spans="1:7">
      <c r="A306" s="1">
        <v>11</v>
      </c>
      <c r="B306" s="30">
        <f>ROUND(H33*基本公式!$B$172,0)</f>
        <v>21826</v>
      </c>
      <c r="C306" s="27">
        <f>其他表格!G38*基本公式!$B$4*基本公式!$B$130</f>
        <v>68.802059161760596</v>
      </c>
      <c r="D306" s="30">
        <f t="shared" si="101"/>
        <v>103891</v>
      </c>
      <c r="E306" s="27">
        <f t="shared" si="102"/>
        <v>28.858641481738498</v>
      </c>
      <c r="F306" s="27">
        <f t="shared" si="103"/>
        <v>1.20244339507244</v>
      </c>
      <c r="G306" s="13">
        <v>11</v>
      </c>
    </row>
    <row r="307" spans="1:7">
      <c r="A307" s="1">
        <v>12</v>
      </c>
      <c r="B307" s="30">
        <f>ROUND(H34*基本公式!$B$172,0)</f>
        <v>39210</v>
      </c>
      <c r="C307" s="27">
        <f>其他表格!G39*基本公式!$B$4*基本公式!$B$130</f>
        <v>108.634830255411</v>
      </c>
      <c r="D307" s="30">
        <f t="shared" si="101"/>
        <v>143398</v>
      </c>
      <c r="E307" s="27">
        <f t="shared" si="102"/>
        <v>39.832771093650898</v>
      </c>
      <c r="F307" s="27">
        <f t="shared" si="103"/>
        <v>1.6596987955687901</v>
      </c>
      <c r="G307" s="13">
        <v>12</v>
      </c>
    </row>
    <row r="308" spans="1:7">
      <c r="A308" s="1">
        <v>13</v>
      </c>
      <c r="B308" s="30">
        <f>ROUND(H35*基本公式!$B$172,0)</f>
        <v>53650</v>
      </c>
      <c r="C308" s="27">
        <f>其他表格!G40*基本公式!$B$4*基本公式!$B$130</f>
        <v>169.41104133397499</v>
      </c>
      <c r="D308" s="30">
        <f t="shared" si="101"/>
        <v>218794</v>
      </c>
      <c r="E308" s="27">
        <f t="shared" si="102"/>
        <v>60.776211078563499</v>
      </c>
      <c r="F308" s="27">
        <f t="shared" si="103"/>
        <v>2.5323421282734802</v>
      </c>
      <c r="G308" s="13">
        <v>13</v>
      </c>
    </row>
    <row r="309" spans="1:7">
      <c r="A309" s="1">
        <v>14</v>
      </c>
      <c r="B309" s="30">
        <f>ROUND(H36*基本公式!$B$172,0)</f>
        <v>66262</v>
      </c>
      <c r="C309" s="27">
        <f>其他表格!G41*基本公式!$B$4*基本公式!$B$130</f>
        <v>249.6583767027</v>
      </c>
      <c r="D309" s="30">
        <f t="shared" si="101"/>
        <v>288890</v>
      </c>
      <c r="E309" s="27">
        <f t="shared" si="102"/>
        <v>80.247335368725004</v>
      </c>
      <c r="F309" s="27">
        <f t="shared" si="103"/>
        <v>3.3436389736968701</v>
      </c>
      <c r="G309" s="13">
        <v>14</v>
      </c>
    </row>
    <row r="310" spans="1:7">
      <c r="A310" s="1">
        <v>15</v>
      </c>
      <c r="B310" s="30">
        <f>ROUND(H37*基本公式!$B$172,0)</f>
        <v>80448</v>
      </c>
      <c r="C310" s="27">
        <f>其他表格!G42*基本公式!$B$4*基本公式!$B$130</f>
        <v>351.96199723125</v>
      </c>
      <c r="D310" s="30">
        <f t="shared" si="101"/>
        <v>368293</v>
      </c>
      <c r="E310" s="27">
        <f t="shared" si="102"/>
        <v>102.30362052855</v>
      </c>
      <c r="F310" s="27">
        <f t="shared" si="103"/>
        <v>4.2626508553562497</v>
      </c>
      <c r="G310" s="13">
        <v>15</v>
      </c>
    </row>
    <row r="311" spans="1:7">
      <c r="A311" s="1">
        <v>16</v>
      </c>
      <c r="B311" s="30">
        <f>ROUND(H38*基本公式!$B$172,0)</f>
        <v>94282</v>
      </c>
      <c r="C311" s="27">
        <f>其他表格!G43*基本公式!$B$4*基本公式!$B$130</f>
        <v>479.16229798500001</v>
      </c>
      <c r="D311" s="30">
        <f t="shared" si="101"/>
        <v>457921</v>
      </c>
      <c r="E311" s="27">
        <f t="shared" si="102"/>
        <v>127.20030075375</v>
      </c>
      <c r="F311" s="27">
        <f t="shared" si="103"/>
        <v>5.3000125314062503</v>
      </c>
      <c r="G311" s="13">
        <v>16</v>
      </c>
    </row>
    <row r="312" spans="1:7">
      <c r="A312" s="1">
        <v>17</v>
      </c>
      <c r="B312" s="30">
        <f>ROUND(H39*基本公式!$B$172,0)</f>
        <v>109130</v>
      </c>
      <c r="C312" s="27">
        <f>其他表格!G44*基本公式!$B$4*基本公式!$B$130</f>
        <v>634.37656379999999</v>
      </c>
      <c r="D312" s="30">
        <f t="shared" si="101"/>
        <v>558771</v>
      </c>
      <c r="E312" s="27">
        <f t="shared" si="102"/>
        <v>155.214265815</v>
      </c>
      <c r="F312" s="27">
        <f t="shared" si="103"/>
        <v>6.4672610756250002</v>
      </c>
      <c r="G312" s="13">
        <v>17</v>
      </c>
    </row>
    <row r="313" spans="1:7">
      <c r="A313" s="1">
        <v>18</v>
      </c>
      <c r="B313" s="30">
        <f>ROUND(H40*基本公式!$B$172,0)</f>
        <v>125384</v>
      </c>
      <c r="C313" s="27">
        <f>其他表格!G45*基本公式!$B$4*基本公式!$B$130</f>
        <v>821.02229999999997</v>
      </c>
      <c r="D313" s="30">
        <f t="shared" si="101"/>
        <v>671925</v>
      </c>
      <c r="E313" s="27">
        <f t="shared" si="102"/>
        <v>186.64573619999999</v>
      </c>
      <c r="F313" s="27">
        <f t="shared" si="103"/>
        <v>7.7769056750000001</v>
      </c>
      <c r="G313" s="13">
        <v>18</v>
      </c>
    </row>
    <row r="314" spans="1:7">
      <c r="A314" s="1">
        <v>19</v>
      </c>
      <c r="B314" s="30">
        <f>ROUND(H41*基本公式!$B$172,0)</f>
        <v>142546</v>
      </c>
      <c r="C314" s="27">
        <f>其他表格!G46*基本公式!$B$4*基本公式!$B$130</f>
        <v>1042.8423600000001</v>
      </c>
      <c r="D314" s="30">
        <f t="shared" si="101"/>
        <v>798552</v>
      </c>
      <c r="E314" s="27">
        <f t="shared" si="102"/>
        <v>221.82006000000001</v>
      </c>
      <c r="F314" s="27">
        <f t="shared" si="103"/>
        <v>9.2425025000000005</v>
      </c>
      <c r="G314" s="13">
        <v>19</v>
      </c>
    </row>
    <row r="315" spans="1:7">
      <c r="A315" s="1">
        <v>20</v>
      </c>
      <c r="B315" s="30">
        <f>ROUND(H42*基本公式!$B$172,0)</f>
        <v>167700</v>
      </c>
      <c r="C315" s="27">
        <f>其他表格!G47*基本公式!$B$4*基本公式!$B$130</f>
        <v>1303.932</v>
      </c>
      <c r="D315" s="30">
        <f t="shared" si="101"/>
        <v>939923</v>
      </c>
      <c r="E315" s="27">
        <f t="shared" si="102"/>
        <v>261.08963999999997</v>
      </c>
      <c r="F315" s="27">
        <f t="shared" si="103"/>
        <v>10.878735000000001</v>
      </c>
      <c r="G315" s="13">
        <v>20</v>
      </c>
    </row>
  </sheetData>
  <phoneticPr fontId="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2"/>
  <sheetViews>
    <sheetView workbookViewId="0">
      <pane xSplit="1" ySplit="1" topLeftCell="B239" activePane="bottomRight" state="frozen"/>
      <selection pane="topRight"/>
      <selection pane="bottomLeft"/>
      <selection pane="bottomRight" activeCell="C261" sqref="C261"/>
    </sheetView>
  </sheetViews>
  <sheetFormatPr defaultColWidth="9" defaultRowHeight="13.5"/>
  <cols>
    <col min="1" max="1" width="12.75" customWidth="1"/>
    <col min="2" max="2" width="6.5" customWidth="1"/>
    <col min="3" max="3" width="10.5" customWidth="1"/>
    <col min="4" max="4" width="10.5" style="13" customWidth="1"/>
    <col min="5" max="5" width="12.25" customWidth="1"/>
    <col min="6" max="6" width="10.5" style="13" customWidth="1"/>
    <col min="7" max="7" width="11.375" style="14" customWidth="1"/>
    <col min="8" max="9" width="13.625" style="14" customWidth="1"/>
    <col min="10" max="10" width="10.5" style="15" customWidth="1"/>
    <col min="11" max="11" width="10.5" style="13" customWidth="1"/>
    <col min="12" max="12" width="12.75" style="14" customWidth="1"/>
    <col min="13" max="13" width="12" style="5" customWidth="1"/>
    <col min="14" max="14" width="12" style="13" customWidth="1"/>
    <col min="15" max="15" width="12.75" style="14" customWidth="1"/>
    <col min="16" max="16" width="12" style="5" customWidth="1"/>
    <col min="17" max="17" width="12" style="13" customWidth="1"/>
    <col min="18" max="18" width="12.75" style="14" customWidth="1"/>
    <col min="19" max="19" width="12" style="5" customWidth="1"/>
    <col min="20" max="20" width="12" style="16" customWidth="1"/>
    <col min="21" max="21" width="9.5" style="5" customWidth="1"/>
    <col min="22" max="23" width="9" style="5"/>
  </cols>
  <sheetData>
    <row r="1" spans="1:23" s="1" customFormat="1" ht="27">
      <c r="A1" s="17" t="s">
        <v>254</v>
      </c>
      <c r="B1" s="18"/>
      <c r="C1" s="18" t="s">
        <v>255</v>
      </c>
      <c r="D1" s="19" t="s">
        <v>256</v>
      </c>
      <c r="E1" s="18" t="s">
        <v>257</v>
      </c>
      <c r="F1" s="19" t="s">
        <v>258</v>
      </c>
      <c r="G1" s="20" t="s">
        <v>259</v>
      </c>
      <c r="H1" s="20" t="s">
        <v>260</v>
      </c>
      <c r="I1" s="20" t="s">
        <v>261</v>
      </c>
      <c r="J1" s="23" t="s">
        <v>262</v>
      </c>
      <c r="K1" s="19" t="s">
        <v>263</v>
      </c>
      <c r="L1" s="24" t="s">
        <v>264</v>
      </c>
      <c r="M1" s="25" t="s">
        <v>265</v>
      </c>
      <c r="N1" s="26" t="s">
        <v>266</v>
      </c>
      <c r="O1" s="24" t="s">
        <v>267</v>
      </c>
      <c r="P1" s="25" t="s">
        <v>268</v>
      </c>
      <c r="Q1" s="26" t="s">
        <v>269</v>
      </c>
      <c r="R1" s="24" t="s">
        <v>270</v>
      </c>
      <c r="S1" s="25" t="s">
        <v>271</v>
      </c>
      <c r="T1" s="4" t="s">
        <v>272</v>
      </c>
      <c r="U1" s="25" t="s">
        <v>273</v>
      </c>
      <c r="V1" s="25" t="s">
        <v>274</v>
      </c>
      <c r="W1" s="25" t="s">
        <v>275</v>
      </c>
    </row>
    <row r="2" spans="1:23">
      <c r="A2" t="s">
        <v>163</v>
      </c>
      <c r="B2">
        <v>1</v>
      </c>
      <c r="C2">
        <f>ROUND(C3-(C4-C3)/(产出与消耗!$K$6-产出与消耗!$K$5)*(产出与消耗!$K$5-产出与消耗!$K$4),0)</f>
        <v>119</v>
      </c>
      <c r="D2" s="13">
        <v>2</v>
      </c>
      <c r="E2">
        <f>ROUND(D2*C2/3600/(建筑!G86*基本公式!$B$153),2)</f>
        <v>0.03</v>
      </c>
      <c r="F2" s="13">
        <v>10</v>
      </c>
      <c r="G2" s="14">
        <f t="shared" ref="G2" si="0">F2*C2</f>
        <v>1190</v>
      </c>
      <c r="H2" s="14">
        <f>ROUND((G2+G23+G44+G65+G86+G107+G128+G149+G170+G191+G212+G233)/12,0)</f>
        <v>367</v>
      </c>
      <c r="I2" s="14">
        <f>H2*其他表格!Y2</f>
        <v>367</v>
      </c>
      <c r="J2" s="15">
        <f>ROUND(C3-(C4-C3)/(产出与消耗!K6-产出与消耗!K5)*(产出与消耗!K5-产出与消耗!K4),0)</f>
        <v>119</v>
      </c>
      <c r="K2" s="13">
        <v>8</v>
      </c>
      <c r="L2" s="14">
        <f t="shared" ref="L2" si="1">ROUND(K2*C2,0)</f>
        <v>952</v>
      </c>
      <c r="M2" s="5">
        <f>ROUND(L2/产出与消耗!T4,4)</f>
        <v>0.23630000000000001</v>
      </c>
      <c r="N2" s="13">
        <v>9</v>
      </c>
      <c r="O2" s="14">
        <f t="shared" ref="O2" si="2">ROUND(N2*C2,0)</f>
        <v>1071</v>
      </c>
      <c r="P2" s="5">
        <f>ROUND(O2/产出与消耗!T26,4)</f>
        <v>0.21299999999999999</v>
      </c>
      <c r="Q2" s="13">
        <v>3</v>
      </c>
      <c r="R2" s="14">
        <f t="shared" ref="R2" si="3">ROUND(Q2*C2,0)</f>
        <v>357</v>
      </c>
      <c r="S2" s="5">
        <f>ROUND(R2/产出与消耗!T48,4)</f>
        <v>8.8800000000000004E-2</v>
      </c>
      <c r="T2" s="9">
        <f>M2+P2+S2</f>
        <v>0.53810000000000002</v>
      </c>
      <c r="U2" s="5">
        <f>M2+M23+M44+M65+M86+M107+M128+M149+M170+M191+M212+M233</f>
        <v>0.82699999999999996</v>
      </c>
      <c r="V2" s="5">
        <f>P2+P23+P44+P65+P86+P107+P128+P149+P170+P191+P212+P233</f>
        <v>0.66259999999999997</v>
      </c>
      <c r="W2" s="5">
        <f>S2+S23+S44+S65+S86+S107+S128+S149+S170+S191+S212+S233</f>
        <v>0.56259999999999999</v>
      </c>
    </row>
    <row r="3" spans="1:23">
      <c r="B3">
        <v>2</v>
      </c>
      <c r="C3">
        <f>ROUND(C4-(C5-C4)/(产出与消耗!$K$7-产出与消耗!$K$6)*(产出与消耗!$K$6-产出与消耗!$K$5),0)</f>
        <v>231</v>
      </c>
      <c r="D3" s="13">
        <v>2</v>
      </c>
      <c r="E3">
        <f>ROUND(D3*C3/3600/(建筑!G87*基本公式!$B$153),2)</f>
        <v>0.06</v>
      </c>
      <c r="F3" s="13">
        <v>10</v>
      </c>
      <c r="G3" s="14">
        <f t="shared" ref="G3:G21" si="4">F3*C3</f>
        <v>2310</v>
      </c>
      <c r="H3" s="14">
        <f t="shared" ref="H3" si="5">ROUND((G3+G24+G45+G66+G87+G108+G129+G150+G171+G192+G213+G234)/12,0)</f>
        <v>712</v>
      </c>
      <c r="I3" s="14">
        <f>H3*其他表格!Y3</f>
        <v>712</v>
      </c>
      <c r="J3" s="15">
        <f>ROUND(C4-(C5-C4)/(产出与消耗!K7-产出与消耗!K6)*(产出与消耗!K6-产出与消耗!K5),0)</f>
        <v>231</v>
      </c>
      <c r="K3" s="13">
        <v>8</v>
      </c>
      <c r="L3" s="14">
        <f t="shared" ref="L3:L21" si="6">ROUND(K3*C3,0)</f>
        <v>1848</v>
      </c>
      <c r="M3" s="5">
        <f>ROUND(L3/产出与消耗!T5,4)</f>
        <v>0.25280000000000002</v>
      </c>
      <c r="N3" s="13">
        <v>9</v>
      </c>
      <c r="O3" s="14">
        <f t="shared" ref="O3:O21" si="7">ROUND(N3*C3,0)</f>
        <v>2079</v>
      </c>
      <c r="P3" s="5">
        <f>ROUND(O3/产出与消耗!T27,4)</f>
        <v>0.25019999999999998</v>
      </c>
      <c r="Q3" s="13">
        <v>3</v>
      </c>
      <c r="R3" s="14">
        <f t="shared" ref="R3:R21" si="8">ROUND(Q3*C3,0)</f>
        <v>693</v>
      </c>
      <c r="S3" s="5">
        <f>ROUND(R3/产出与消耗!T49,4)</f>
        <v>9.6199999999999994E-2</v>
      </c>
      <c r="T3" s="9">
        <f t="shared" ref="T3" si="9">M3+P3+S3</f>
        <v>0.59919999999999995</v>
      </c>
      <c r="U3" s="5">
        <f t="shared" ref="U3" si="10">M3+M24+M45+M66+M87+M108+M129+M150+M171+M192+M213+M234</f>
        <v>0.88480000000000003</v>
      </c>
      <c r="V3" s="5">
        <f t="shared" ref="V3" si="11">P3+P24+P45+P66+P87+P108+P129+P150+P171+P192+P213+P234</f>
        <v>0.77839999999999998</v>
      </c>
      <c r="W3" s="5">
        <f t="shared" ref="W3" si="12">S3+S24+S45+S66+S87+S108+S129+S150+S171+S192+S213+S234</f>
        <v>0.60899999999999999</v>
      </c>
    </row>
    <row r="4" spans="1:23">
      <c r="B4">
        <v>3</v>
      </c>
      <c r="C4">
        <f>ROUND(C5-(C6-C5)/(产出与消耗!$K$8-产出与消耗!$K$7)*(产出与消耗!$K$7-产出与消耗!$K$6),0)</f>
        <v>343</v>
      </c>
      <c r="D4" s="13">
        <v>2</v>
      </c>
      <c r="E4">
        <f>ROUND(D4*C4/3600/(建筑!G88*基本公式!$B$153),2)</f>
        <v>0.1</v>
      </c>
      <c r="F4" s="13">
        <v>10</v>
      </c>
      <c r="G4" s="14">
        <f t="shared" si="4"/>
        <v>3430</v>
      </c>
      <c r="H4" s="14">
        <f t="shared" ref="H4:H21" si="13">ROUND((G4+G25+G46+G67+G88+G109+G130+G151+G172+G193+G214+G235)/12,0)</f>
        <v>1058</v>
      </c>
      <c r="I4" s="14">
        <f>H4*其他表格!Y4</f>
        <v>2116</v>
      </c>
      <c r="J4" s="15">
        <f>ROUND(C5-(C6-C5)/(产出与消耗!K8-产出与消耗!K7)*(产出与消耗!K7-产出与消耗!K6),0)</f>
        <v>343</v>
      </c>
      <c r="K4" s="13">
        <v>8</v>
      </c>
      <c r="L4" s="14">
        <f t="shared" si="6"/>
        <v>2744</v>
      </c>
      <c r="M4" s="5">
        <f>ROUND(L4/产出与消耗!T6,4)</f>
        <v>0.22819999999999999</v>
      </c>
      <c r="N4" s="13">
        <v>9</v>
      </c>
      <c r="O4" s="14">
        <f t="shared" si="7"/>
        <v>3087</v>
      </c>
      <c r="P4" s="5">
        <f>ROUND(O4/产出与消耗!T28,4)</f>
        <v>0.23710000000000001</v>
      </c>
      <c r="Q4" s="13">
        <v>3</v>
      </c>
      <c r="R4" s="14">
        <f t="shared" si="8"/>
        <v>1029</v>
      </c>
      <c r="S4" s="5">
        <f>ROUND(R4/产出与消耗!T50,4)</f>
        <v>9.0700000000000003E-2</v>
      </c>
      <c r="T4" s="9">
        <f t="shared" ref="T4:T21" si="14">M4+P4+S4</f>
        <v>0.55600000000000005</v>
      </c>
      <c r="U4" s="5">
        <f t="shared" ref="U4:U21" si="15">M4+M25+M46+M67+M88+M109+M130+M151+M172+M193+M214+M235</f>
        <v>0.79879999999999995</v>
      </c>
      <c r="V4" s="5">
        <f t="shared" ref="V4:V21" si="16">P4+P25+P46+P67+P88+P109+P130+P151+P172+P193+P214+P235</f>
        <v>0.73750000000000004</v>
      </c>
      <c r="W4" s="5">
        <f t="shared" ref="W4:W21" si="17">S4+S25+S46+S67+S88+S109+S130+S151+S172+S193+S214+S235</f>
        <v>0.57440000000000002</v>
      </c>
    </row>
    <row r="5" spans="1:23">
      <c r="B5">
        <v>4</v>
      </c>
      <c r="C5">
        <f>ROUND(C6-(C7-C6)/(产出与消耗!$K$9-产出与消耗!$K$8)*(产出与消耗!$K$8-产出与消耗!$K$7),0)</f>
        <v>568</v>
      </c>
      <c r="D5" s="13">
        <v>2</v>
      </c>
      <c r="E5">
        <f>ROUND(D5*C5/3600/(建筑!G89*基本公式!$B$153),2)</f>
        <v>0.16</v>
      </c>
      <c r="F5" s="13">
        <v>10</v>
      </c>
      <c r="G5" s="14">
        <f t="shared" si="4"/>
        <v>5680</v>
      </c>
      <c r="H5" s="14">
        <f t="shared" si="13"/>
        <v>1751</v>
      </c>
      <c r="I5" s="14">
        <f>H5*其他表格!Y5</f>
        <v>5253</v>
      </c>
      <c r="J5" s="15">
        <f>ROUND(C6-(C7-C6)/(产出与消耗!K9-产出与消耗!K8)*(产出与消耗!K8-产出与消耗!K7),0)</f>
        <v>568</v>
      </c>
      <c r="K5" s="13">
        <v>8</v>
      </c>
      <c r="L5" s="14">
        <f t="shared" si="6"/>
        <v>4544</v>
      </c>
      <c r="M5" s="5">
        <f>ROUND(L5/产出与消耗!T7,4)</f>
        <v>0.2253</v>
      </c>
      <c r="N5" s="13">
        <v>9</v>
      </c>
      <c r="O5" s="14">
        <f t="shared" si="7"/>
        <v>5112</v>
      </c>
      <c r="P5" s="5">
        <f>ROUND(O5/产出与消耗!T29,4)</f>
        <v>0.24149999999999999</v>
      </c>
      <c r="Q5" s="13">
        <v>3</v>
      </c>
      <c r="R5" s="14">
        <f t="shared" si="8"/>
        <v>1704</v>
      </c>
      <c r="S5" s="5">
        <f>ROUND(R5/产出与消耗!T51,4)</f>
        <v>9.7699999999999995E-2</v>
      </c>
      <c r="T5" s="9">
        <f t="shared" si="14"/>
        <v>0.5645</v>
      </c>
      <c r="U5" s="5">
        <f t="shared" si="15"/>
        <v>0.78869999999999996</v>
      </c>
      <c r="V5" s="5">
        <f t="shared" si="16"/>
        <v>0.75139999999999996</v>
      </c>
      <c r="W5" s="5">
        <f t="shared" si="17"/>
        <v>0.61870000000000003</v>
      </c>
    </row>
    <row r="6" spans="1:23">
      <c r="B6">
        <v>5</v>
      </c>
      <c r="C6">
        <f>ROUND(C7-(C8-C7)/(产出与消耗!$K$10-产出与消耗!$K$9)*(产出与消耗!$K$9-产出与消耗!$K$8),0)</f>
        <v>905</v>
      </c>
      <c r="D6" s="13">
        <v>2</v>
      </c>
      <c r="E6">
        <f>ROUND(D6*C6/3600/(建筑!G90*基本公式!$B$153),2)</f>
        <v>0.25</v>
      </c>
      <c r="F6" s="13">
        <v>10</v>
      </c>
      <c r="G6" s="14">
        <f t="shared" si="4"/>
        <v>9050</v>
      </c>
      <c r="H6" s="14">
        <f t="shared" si="13"/>
        <v>2916</v>
      </c>
      <c r="I6" s="14">
        <f>H6*其他表格!Y6</f>
        <v>11664</v>
      </c>
      <c r="J6" s="15">
        <f>ROUND(C7-(C8-C7)/(产出与消耗!K10-产出与消耗!K9)*(产出与消耗!K9-产出与消耗!K8),0)</f>
        <v>905</v>
      </c>
      <c r="K6" s="13">
        <v>8</v>
      </c>
      <c r="L6" s="14">
        <f t="shared" si="6"/>
        <v>7240</v>
      </c>
      <c r="M6" s="5">
        <f>ROUND(L6/产出与消耗!T8,4)</f>
        <v>0.18840000000000001</v>
      </c>
      <c r="N6" s="13">
        <v>9</v>
      </c>
      <c r="O6" s="14">
        <f t="shared" si="7"/>
        <v>8145</v>
      </c>
      <c r="P6" s="5">
        <f>ROUND(O6/产出与消耗!T30,4)</f>
        <v>0.21190000000000001</v>
      </c>
      <c r="Q6" s="13">
        <v>3</v>
      </c>
      <c r="R6" s="14">
        <f t="shared" si="8"/>
        <v>2715</v>
      </c>
      <c r="S6" s="5">
        <f>ROUND(R6/产出与消耗!T52,4)</f>
        <v>9.1600000000000001E-2</v>
      </c>
      <c r="T6" s="9">
        <f t="shared" si="14"/>
        <v>0.4919</v>
      </c>
      <c r="U6" s="5">
        <f t="shared" si="15"/>
        <v>0.71830000000000005</v>
      </c>
      <c r="V6" s="5">
        <f t="shared" si="16"/>
        <v>0.71760000000000002</v>
      </c>
      <c r="W6" s="5">
        <f t="shared" si="17"/>
        <v>0.62960000000000005</v>
      </c>
    </row>
    <row r="7" spans="1:23">
      <c r="B7">
        <v>6</v>
      </c>
      <c r="C7">
        <f>ROUND(C8-(C9-C8)/(产出与消耗!$K$11-产出与消耗!$K$10)*(产出与消耗!$K$10-产出与消耗!$K$9),0)</f>
        <v>1467</v>
      </c>
      <c r="D7" s="13">
        <v>2</v>
      </c>
      <c r="E7">
        <f>ROUND(D7*C7/3600/(建筑!G91*基本公式!$B$153),2)</f>
        <v>0.41</v>
      </c>
      <c r="F7" s="13">
        <v>10</v>
      </c>
      <c r="G7" s="14">
        <f t="shared" si="4"/>
        <v>14670</v>
      </c>
      <c r="H7" s="14">
        <f t="shared" si="13"/>
        <v>7426</v>
      </c>
      <c r="I7" s="14">
        <f>H7*其他表格!Y7</f>
        <v>37130</v>
      </c>
      <c r="J7" s="15">
        <f>ROUND(C8-(C9-C8)/(产出与消耗!K11-产出与消耗!K10)*(产出与消耗!K10-产出与消耗!K9),0)</f>
        <v>1467</v>
      </c>
      <c r="K7" s="13">
        <v>8</v>
      </c>
      <c r="L7" s="14">
        <f t="shared" si="6"/>
        <v>11736</v>
      </c>
      <c r="M7" s="5">
        <f>ROUND(L7/产出与消耗!T9,4)</f>
        <v>0.1168</v>
      </c>
      <c r="N7" s="13">
        <v>9</v>
      </c>
      <c r="O7" s="14">
        <f t="shared" si="7"/>
        <v>13203</v>
      </c>
      <c r="P7" s="5">
        <f>ROUND(O7/产出与消耗!T31,4)</f>
        <v>0.13139999999999999</v>
      </c>
      <c r="Q7" s="13">
        <v>3</v>
      </c>
      <c r="R7" s="14">
        <f t="shared" si="8"/>
        <v>4401</v>
      </c>
      <c r="S7" s="5">
        <f>ROUND(R7/产出与消耗!T53,4)</f>
        <v>6.2600000000000003E-2</v>
      </c>
      <c r="T7" s="9">
        <f t="shared" si="14"/>
        <v>0.31080000000000002</v>
      </c>
      <c r="U7" s="5">
        <f t="shared" si="15"/>
        <v>0.92879999999999996</v>
      </c>
      <c r="V7" s="5">
        <f t="shared" si="16"/>
        <v>0.92249999999999999</v>
      </c>
      <c r="W7" s="5">
        <f t="shared" si="17"/>
        <v>0.87409999999999999</v>
      </c>
    </row>
    <row r="8" spans="1:23">
      <c r="B8">
        <v>7</v>
      </c>
      <c r="C8">
        <f>ROUND(C9-(C10-C9)/(产出与消耗!$K$12-产出与消耗!$K$11)*(产出与消耗!$K$11-产出与消耗!$K$10),0)</f>
        <v>2367</v>
      </c>
      <c r="D8" s="13">
        <v>2</v>
      </c>
      <c r="E8">
        <f>ROUND(D8*C8/3600/(建筑!G92*基本公式!$B$153),2)</f>
        <v>0.33</v>
      </c>
      <c r="F8" s="13">
        <v>10</v>
      </c>
      <c r="G8" s="14">
        <f t="shared" si="4"/>
        <v>23670</v>
      </c>
      <c r="H8" s="14">
        <f t="shared" si="13"/>
        <v>14625</v>
      </c>
      <c r="I8" s="14">
        <f>H8*其他表格!Y8</f>
        <v>87750</v>
      </c>
      <c r="J8" s="15">
        <f>ROUND(C9-(C10-C9)/(产出与消耗!K12-产出与消耗!K11)*(产出与消耗!K11-产出与消耗!K10),0)</f>
        <v>2367</v>
      </c>
      <c r="K8" s="13">
        <v>8</v>
      </c>
      <c r="L8" s="14">
        <f t="shared" si="6"/>
        <v>18936</v>
      </c>
      <c r="M8" s="5">
        <f>ROUND(L8/产出与消耗!T10,4)</f>
        <v>7.9600000000000004E-2</v>
      </c>
      <c r="N8" s="13">
        <v>9</v>
      </c>
      <c r="O8" s="14">
        <f t="shared" si="7"/>
        <v>21303</v>
      </c>
      <c r="P8" s="5">
        <f>ROUND(O8/产出与消耗!T32,4)</f>
        <v>8.9599999999999999E-2</v>
      </c>
      <c r="Q8" s="13">
        <v>3</v>
      </c>
      <c r="R8" s="14">
        <f t="shared" si="8"/>
        <v>7101</v>
      </c>
      <c r="S8" s="5">
        <f>ROUND(R8/产出与消耗!T54,4)</f>
        <v>4.3900000000000002E-2</v>
      </c>
      <c r="T8" s="9">
        <f t="shared" si="14"/>
        <v>0.21310000000000001</v>
      </c>
      <c r="U8" s="5">
        <f t="shared" si="15"/>
        <v>0.83299999999999996</v>
      </c>
      <c r="V8" s="5">
        <f t="shared" si="16"/>
        <v>0.8266</v>
      </c>
      <c r="W8" s="5">
        <f t="shared" si="17"/>
        <v>0.80149999999999999</v>
      </c>
    </row>
    <row r="9" spans="1:23">
      <c r="A9" s="16"/>
      <c r="B9">
        <v>8</v>
      </c>
      <c r="C9">
        <f>ROUND(C10-(C11-C10)/(产出与消耗!$K$13-产出与消耗!$K$12)*(产出与消耗!$K$12-产出与消耗!$K$11),0)</f>
        <v>3829</v>
      </c>
      <c r="D9" s="13">
        <v>2</v>
      </c>
      <c r="E9">
        <f>ROUND(D9*C9/3600/(建筑!G93*基本公式!$B$153),2)</f>
        <v>0.53</v>
      </c>
      <c r="F9" s="13">
        <v>10</v>
      </c>
      <c r="G9" s="14">
        <f t="shared" si="4"/>
        <v>38290</v>
      </c>
      <c r="H9" s="14">
        <f t="shared" si="13"/>
        <v>26291</v>
      </c>
      <c r="I9" s="14">
        <f>H9*其他表格!Y9</f>
        <v>184037</v>
      </c>
      <c r="J9" s="15">
        <f>ROUND(C10-(C11-C10)/(产出与消耗!K13-产出与消耗!K12)*(产出与消耗!K12-产出与消耗!K11),0)</f>
        <v>3829</v>
      </c>
      <c r="K9" s="13">
        <v>8</v>
      </c>
      <c r="L9" s="14">
        <f t="shared" si="6"/>
        <v>30632</v>
      </c>
      <c r="M9" s="5">
        <f>ROUND(L9/产出与消耗!T11,4)</f>
        <v>4.3299999999999998E-2</v>
      </c>
      <c r="N9" s="13">
        <v>9</v>
      </c>
      <c r="O9" s="14">
        <f t="shared" si="7"/>
        <v>34461</v>
      </c>
      <c r="P9" s="5">
        <f>ROUND(O9/产出与消耗!T33,4)</f>
        <v>4.87E-2</v>
      </c>
      <c r="Q9" s="13">
        <v>3</v>
      </c>
      <c r="R9" s="14">
        <f t="shared" si="8"/>
        <v>11487</v>
      </c>
      <c r="S9" s="5">
        <f>ROUND(R9/产出与消耗!T55,4)</f>
        <v>2.4199999999999999E-2</v>
      </c>
      <c r="T9" s="9">
        <f t="shared" si="14"/>
        <v>0.1162</v>
      </c>
      <c r="U9" s="5">
        <f t="shared" si="15"/>
        <v>0.52029999999999998</v>
      </c>
      <c r="V9" s="5">
        <f t="shared" si="16"/>
        <v>0.51580000000000004</v>
      </c>
      <c r="W9" s="5">
        <f t="shared" si="17"/>
        <v>0.50629999999999997</v>
      </c>
    </row>
    <row r="10" spans="1:23">
      <c r="B10">
        <v>9</v>
      </c>
      <c r="C10">
        <f>ROUND(C11-(C12-C11)/(产出与消耗!$K$14-产出与消耗!$K$13)*(产出与消耗!$K$13-产出与消耗!$K$12),0)</f>
        <v>5291</v>
      </c>
      <c r="D10" s="13">
        <v>2</v>
      </c>
      <c r="E10">
        <f>ROUND(D10*C10/3600/(建筑!G94*基本公式!$B$153),2)</f>
        <v>0.73</v>
      </c>
      <c r="F10" s="13">
        <v>10</v>
      </c>
      <c r="G10" s="14">
        <f t="shared" si="4"/>
        <v>52910</v>
      </c>
      <c r="H10" s="14">
        <f t="shared" si="13"/>
        <v>37930</v>
      </c>
      <c r="I10" s="14">
        <f>H10*其他表格!Y10</f>
        <v>303440</v>
      </c>
      <c r="J10" s="15">
        <f>ROUND(C11-(C12-C11)/(产出与消耗!K14-产出与消耗!K13)*(产出与消耗!K13-产出与消耗!K12),0)</f>
        <v>5291</v>
      </c>
      <c r="K10" s="13">
        <v>8</v>
      </c>
      <c r="L10" s="14">
        <f t="shared" si="6"/>
        <v>42328</v>
      </c>
      <c r="M10" s="5">
        <f>ROUND(L10/产出与消耗!T12,4)</f>
        <v>2.5700000000000001E-2</v>
      </c>
      <c r="N10" s="13">
        <v>9</v>
      </c>
      <c r="O10" s="14">
        <f t="shared" si="7"/>
        <v>47619</v>
      </c>
      <c r="P10" s="5">
        <f>ROUND(O10/产出与消耗!T34,4)</f>
        <v>2.8899999999999999E-2</v>
      </c>
      <c r="Q10" s="13">
        <v>3</v>
      </c>
      <c r="R10" s="14">
        <f t="shared" si="8"/>
        <v>15873</v>
      </c>
      <c r="S10" s="5">
        <f>ROUND(R10/产出与消耗!T56,4)</f>
        <v>1.44E-2</v>
      </c>
      <c r="T10" s="9">
        <f t="shared" si="14"/>
        <v>6.9000000000000006E-2</v>
      </c>
      <c r="U10" s="5">
        <f t="shared" si="15"/>
        <v>0.3266</v>
      </c>
      <c r="V10" s="5">
        <f t="shared" si="16"/>
        <v>0.32369999999999999</v>
      </c>
      <c r="W10" s="5">
        <f t="shared" si="17"/>
        <v>0.31869999999999998</v>
      </c>
    </row>
    <row r="11" spans="1:23">
      <c r="A11" s="21" t="s">
        <v>209</v>
      </c>
      <c r="B11">
        <v>10</v>
      </c>
      <c r="C11">
        <f>ROUND(C12-(C13-C12)/(产出与消耗!$K$15-产出与消耗!$K$14)*(产出与消耗!$K$14-产出与消耗!$K$13),0)</f>
        <v>7653</v>
      </c>
      <c r="D11" s="13">
        <v>2</v>
      </c>
      <c r="E11">
        <f>ROUND(D11*C11/3600/(建筑!G95*基本公式!$B$153),2)</f>
        <v>1.06</v>
      </c>
      <c r="F11" s="13">
        <v>10</v>
      </c>
      <c r="G11" s="14">
        <f t="shared" si="4"/>
        <v>76530</v>
      </c>
      <c r="H11" s="14">
        <f t="shared" si="13"/>
        <v>57682</v>
      </c>
      <c r="I11" s="14">
        <f>H11*其他表格!Y11</f>
        <v>519138</v>
      </c>
      <c r="J11" s="15">
        <f>ROUND(C12-(C13-C12)/(产出与消耗!K15-产出与消耗!K14)*(产出与消耗!K14-产出与消耗!K13),0)</f>
        <v>7653</v>
      </c>
      <c r="K11" s="13">
        <v>8</v>
      </c>
      <c r="L11" s="14">
        <f t="shared" si="6"/>
        <v>61224</v>
      </c>
      <c r="M11" s="5">
        <f>ROUND(L11/产出与消耗!T13,4)</f>
        <v>1.5699999999999999E-2</v>
      </c>
      <c r="N11" s="13">
        <v>9</v>
      </c>
      <c r="O11" s="14">
        <f t="shared" si="7"/>
        <v>68877</v>
      </c>
      <c r="P11" s="5">
        <f>ROUND(O11/产出与消耗!T35,4)</f>
        <v>1.7600000000000001E-2</v>
      </c>
      <c r="Q11" s="13">
        <v>3</v>
      </c>
      <c r="R11" s="14">
        <f t="shared" si="8"/>
        <v>22959</v>
      </c>
      <c r="S11" s="5">
        <f>ROUND(R11/产出与消耗!T57,4)</f>
        <v>8.8000000000000005E-3</v>
      </c>
      <c r="T11" s="9">
        <f t="shared" si="14"/>
        <v>4.2099999999999999E-2</v>
      </c>
      <c r="U11" s="5">
        <f t="shared" si="15"/>
        <v>0.26829999999999998</v>
      </c>
      <c r="V11" s="5">
        <f t="shared" si="16"/>
        <v>0.26690000000000003</v>
      </c>
      <c r="W11" s="5">
        <f t="shared" si="17"/>
        <v>0.26369999999999999</v>
      </c>
    </row>
    <row r="12" spans="1:23">
      <c r="B12">
        <v>11</v>
      </c>
      <c r="C12">
        <f>ROUND(C13-(C14-C13)/(产出与消耗!$K$16-产出与消耗!$K$15)*(产出与消耗!$K$15-产出与消耗!$K$14),0)</f>
        <v>9115</v>
      </c>
      <c r="D12" s="13">
        <v>2</v>
      </c>
      <c r="E12">
        <f>ROUND(D12*C12/3600/(建筑!G96*基本公式!$B$153),2)</f>
        <v>1.27</v>
      </c>
      <c r="F12" s="13">
        <v>10</v>
      </c>
      <c r="G12" s="14">
        <f t="shared" si="4"/>
        <v>91150</v>
      </c>
      <c r="H12" s="14">
        <f t="shared" si="13"/>
        <v>83946</v>
      </c>
      <c r="I12" s="14">
        <f>H12*其他表格!Y12</f>
        <v>839460</v>
      </c>
      <c r="J12" s="15">
        <f>ROUND(C13-(C14-C13)/(产出与消耗!K16-产出与消耗!K15)*(产出与消耗!K15-产出与消耗!K14),0)</f>
        <v>9115</v>
      </c>
      <c r="K12" s="13">
        <v>8</v>
      </c>
      <c r="L12" s="14">
        <f t="shared" si="6"/>
        <v>72920</v>
      </c>
      <c r="M12" s="5">
        <f>ROUND(L12/产出与消耗!T14,4)</f>
        <v>9.1999999999999998E-3</v>
      </c>
      <c r="N12" s="13">
        <v>9</v>
      </c>
      <c r="O12" s="14">
        <f t="shared" si="7"/>
        <v>82035</v>
      </c>
      <c r="P12" s="5">
        <f>ROUND(O12/产出与消耗!T36,4)</f>
        <v>1.03E-2</v>
      </c>
      <c r="Q12" s="13">
        <v>3</v>
      </c>
      <c r="R12" s="14">
        <f t="shared" si="8"/>
        <v>27345</v>
      </c>
      <c r="S12" s="5">
        <f>ROUND(R12/产出与消耗!T58,4)</f>
        <v>5.1999999999999998E-3</v>
      </c>
      <c r="T12" s="9">
        <f t="shared" si="14"/>
        <v>2.47E-2</v>
      </c>
      <c r="U12" s="5">
        <f t="shared" si="15"/>
        <v>0.59430000000000005</v>
      </c>
      <c r="V12" s="5">
        <f t="shared" si="16"/>
        <v>0.59599999999999997</v>
      </c>
      <c r="W12" s="5">
        <f t="shared" si="17"/>
        <v>0.59309999999999996</v>
      </c>
    </row>
    <row r="13" spans="1:23">
      <c r="B13">
        <v>12</v>
      </c>
      <c r="C13">
        <f>ROUND(C14-(C15-C14)/(产出与消耗!$K$17-产出与消耗!$K$16)*(产出与消耗!$K$16-产出与消耗!$K$15),0)</f>
        <v>12939</v>
      </c>
      <c r="D13" s="13">
        <v>2</v>
      </c>
      <c r="E13">
        <f>ROUND(D13*C13/3600/(建筑!G97*基本公式!$B$153),2)</f>
        <v>1.2</v>
      </c>
      <c r="F13" s="13">
        <v>10</v>
      </c>
      <c r="G13" s="14">
        <f t="shared" si="4"/>
        <v>129390</v>
      </c>
      <c r="H13" s="14">
        <f t="shared" si="13"/>
        <v>150808</v>
      </c>
      <c r="I13" s="14">
        <f>H13*其他表格!Y13</f>
        <v>1658888</v>
      </c>
      <c r="J13" s="15">
        <f>ROUND(C14-(C15-C14)/(产出与消耗!K17-产出与消耗!K16)*(产出与消耗!K16-产出与消耗!K15),0)</f>
        <v>12939</v>
      </c>
      <c r="K13" s="13">
        <v>8</v>
      </c>
      <c r="L13" s="14">
        <f t="shared" si="6"/>
        <v>103512</v>
      </c>
      <c r="M13" s="5">
        <f>ROUND(L13/产出与消耗!T15,4)</f>
        <v>5.7999999999999996E-3</v>
      </c>
      <c r="N13" s="13">
        <v>9</v>
      </c>
      <c r="O13" s="14">
        <f t="shared" si="7"/>
        <v>116451</v>
      </c>
      <c r="P13" s="5">
        <f>ROUND(O13/产出与消耗!T37,4)</f>
        <v>6.6E-3</v>
      </c>
      <c r="Q13" s="13">
        <v>3</v>
      </c>
      <c r="R13" s="14">
        <f t="shared" si="8"/>
        <v>38817</v>
      </c>
      <c r="S13" s="5">
        <f>ROUND(R13/产出与消耗!T59,4)</f>
        <v>3.3E-3</v>
      </c>
      <c r="T13" s="9">
        <f t="shared" si="14"/>
        <v>1.5699999999999999E-2</v>
      </c>
      <c r="U13" s="5">
        <f t="shared" si="15"/>
        <v>0.78449999999999998</v>
      </c>
      <c r="V13" s="5">
        <f t="shared" si="16"/>
        <v>0.78849999999999998</v>
      </c>
      <c r="W13" s="5">
        <f t="shared" si="17"/>
        <v>0.78520000000000001</v>
      </c>
    </row>
    <row r="14" spans="1:23">
      <c r="A14" s="16"/>
      <c r="B14">
        <v>13</v>
      </c>
      <c r="C14">
        <f>ROUND(C15-(C16-C15)/(产出与消耗!$K$18-产出与消耗!$K$17)*(产出与消耗!$K$17-产出与消耗!$K$16),0)</f>
        <v>16201</v>
      </c>
      <c r="D14" s="13">
        <v>2</v>
      </c>
      <c r="E14">
        <f>ROUND(D14*C14/3600/(建筑!G98*基本公式!$B$153),2)</f>
        <v>1.5</v>
      </c>
      <c r="F14" s="13">
        <v>10</v>
      </c>
      <c r="G14" s="14">
        <f t="shared" si="4"/>
        <v>162010</v>
      </c>
      <c r="H14" s="14">
        <f t="shared" si="13"/>
        <v>206345</v>
      </c>
      <c r="I14" s="14">
        <f>H14*其他表格!Y14</f>
        <v>2476140</v>
      </c>
      <c r="J14" s="15">
        <f>ROUND(C15-(C16-C15)/(产出与消耗!K18-产出与消耗!K17)*(产出与消耗!K17-产出与消耗!K16),0)</f>
        <v>16201</v>
      </c>
      <c r="K14" s="13">
        <v>8</v>
      </c>
      <c r="L14" s="14">
        <f t="shared" si="6"/>
        <v>129608</v>
      </c>
      <c r="M14" s="5">
        <f>ROUND(L14/产出与消耗!T16,4)</f>
        <v>3.8E-3</v>
      </c>
      <c r="N14" s="13">
        <v>9</v>
      </c>
      <c r="O14" s="14">
        <f t="shared" si="7"/>
        <v>145809</v>
      </c>
      <c r="P14" s="5">
        <f>ROUND(O14/产出与消耗!T38,4)</f>
        <v>4.1999999999999997E-3</v>
      </c>
      <c r="Q14" s="13">
        <v>3</v>
      </c>
      <c r="R14" s="14">
        <f t="shared" si="8"/>
        <v>48603</v>
      </c>
      <c r="S14" s="5">
        <f>ROUND(R14/产出与消耗!T60,4)</f>
        <v>2.0999999999999999E-3</v>
      </c>
      <c r="T14" s="9">
        <f t="shared" si="14"/>
        <v>1.01E-2</v>
      </c>
      <c r="U14" s="5">
        <f t="shared" si="15"/>
        <v>0.62250000000000005</v>
      </c>
      <c r="V14" s="5">
        <f t="shared" si="16"/>
        <v>0.62560000000000004</v>
      </c>
      <c r="W14" s="5">
        <f t="shared" si="17"/>
        <v>0.62329999999999997</v>
      </c>
    </row>
    <row r="15" spans="1:23">
      <c r="A15" s="21" t="s">
        <v>210</v>
      </c>
      <c r="B15">
        <v>14</v>
      </c>
      <c r="C15">
        <f>ROUND(C16-(C17-C16)/(产出与消耗!$K$19-产出与消耗!$K$18)*(产出与消耗!$K$18-产出与消耗!$K$17),0)</f>
        <v>19126</v>
      </c>
      <c r="D15" s="13">
        <v>2</v>
      </c>
      <c r="E15">
        <f>ROUND(D15*C15/3600/(建筑!G99*基本公式!$B$153),2)</f>
        <v>1.77</v>
      </c>
      <c r="F15" s="13">
        <v>10</v>
      </c>
      <c r="G15" s="14">
        <f t="shared" si="4"/>
        <v>191260</v>
      </c>
      <c r="H15" s="14">
        <f t="shared" si="13"/>
        <v>254855</v>
      </c>
      <c r="I15" s="14">
        <f>H15*其他表格!Y15</f>
        <v>3313115</v>
      </c>
      <c r="J15" s="15">
        <f>ROUND(C16-(C17-C16)/(产出与消耗!K19-产出与消耗!K18)*(产出与消耗!K18-产出与消耗!K17),0)</f>
        <v>19126</v>
      </c>
      <c r="K15" s="13">
        <v>8</v>
      </c>
      <c r="L15" s="14">
        <f t="shared" si="6"/>
        <v>153008</v>
      </c>
      <c r="M15" s="5">
        <f>ROUND(L15/产出与消耗!T17,4)</f>
        <v>2.5999999999999999E-3</v>
      </c>
      <c r="N15" s="13">
        <v>9</v>
      </c>
      <c r="O15" s="14">
        <f t="shared" si="7"/>
        <v>172134</v>
      </c>
      <c r="P15" s="5">
        <f>ROUND(O15/产出与消耗!T39,4)</f>
        <v>2.8999999999999998E-3</v>
      </c>
      <c r="Q15" s="13">
        <v>3</v>
      </c>
      <c r="R15" s="14">
        <f t="shared" si="8"/>
        <v>57378</v>
      </c>
      <c r="S15" s="5">
        <f>ROUND(R15/产出与消耗!T61,4)</f>
        <v>1.5E-3</v>
      </c>
      <c r="T15" s="9">
        <f t="shared" si="14"/>
        <v>7.0000000000000001E-3</v>
      </c>
      <c r="U15" s="5">
        <f t="shared" si="15"/>
        <v>0.46939999999999998</v>
      </c>
      <c r="V15" s="5">
        <f t="shared" si="16"/>
        <v>0.47189999999999999</v>
      </c>
      <c r="W15" s="5">
        <f t="shared" si="17"/>
        <v>0.47</v>
      </c>
    </row>
    <row r="16" spans="1:23">
      <c r="B16">
        <v>15</v>
      </c>
      <c r="C16">
        <f>ROUND(C17-(C18-C17)/(产出与消耗!$K$20-产出与消耗!$K$19)*(产出与消耗!$K$19-产出与消耗!$K$18),0)</f>
        <v>22501</v>
      </c>
      <c r="D16" s="13">
        <v>2</v>
      </c>
      <c r="E16">
        <f>ROUND(D16*C16/3600/(建筑!G100*基本公式!$B$153),2)</f>
        <v>2.08</v>
      </c>
      <c r="F16" s="13">
        <v>10</v>
      </c>
      <c r="G16" s="14">
        <f t="shared" si="4"/>
        <v>225010</v>
      </c>
      <c r="H16" s="14">
        <f t="shared" si="13"/>
        <v>309413</v>
      </c>
      <c r="I16" s="14">
        <f>H16*其他表格!Y16</f>
        <v>4331782</v>
      </c>
      <c r="J16" s="15">
        <f>ROUND(C17-(C18-C17)/(产出与消耗!K20-产出与消耗!K19)*(产出与消耗!K19-产出与消耗!K18),0)</f>
        <v>22501</v>
      </c>
      <c r="K16" s="13">
        <v>8</v>
      </c>
      <c r="L16" s="14">
        <f t="shared" si="6"/>
        <v>180008</v>
      </c>
      <c r="M16" s="5">
        <f>ROUND(L16/产出与消耗!T18,4)</f>
        <v>1.9E-3</v>
      </c>
      <c r="N16" s="13">
        <v>9</v>
      </c>
      <c r="O16" s="14">
        <f t="shared" si="7"/>
        <v>202509</v>
      </c>
      <c r="P16" s="5">
        <f>ROUND(O16/产出与消耗!T40,4)</f>
        <v>2.0999999999999999E-3</v>
      </c>
      <c r="Q16" s="13">
        <v>3</v>
      </c>
      <c r="R16" s="14">
        <f t="shared" si="8"/>
        <v>67503</v>
      </c>
      <c r="S16" s="5">
        <f>ROUND(R16/产出与消耗!T62,4)</f>
        <v>1E-3</v>
      </c>
      <c r="T16" s="9">
        <f t="shared" si="14"/>
        <v>5.0000000000000001E-3</v>
      </c>
      <c r="U16" s="5">
        <f t="shared" si="15"/>
        <v>0.35880000000000001</v>
      </c>
      <c r="V16" s="5">
        <f t="shared" si="16"/>
        <v>0.3609</v>
      </c>
      <c r="W16" s="5">
        <f t="shared" si="17"/>
        <v>0.3594</v>
      </c>
    </row>
    <row r="17" spans="1:23">
      <c r="B17">
        <v>16</v>
      </c>
      <c r="C17">
        <f>ROUND(C18-(C19-C18)/(产出与消耗!$K$21-产出与消耗!$K$20)*(产出与消耗!$K$20-产出与消耗!$K$19),0)</f>
        <v>25876</v>
      </c>
      <c r="D17" s="13">
        <v>2</v>
      </c>
      <c r="E17">
        <f>ROUND(D17*C17/3600/(建筑!G101*基本公式!$B$153),2)</f>
        <v>1.8</v>
      </c>
      <c r="F17" s="13">
        <v>10</v>
      </c>
      <c r="G17" s="14">
        <f t="shared" si="4"/>
        <v>258760</v>
      </c>
      <c r="H17" s="14">
        <f t="shared" si="13"/>
        <v>362622</v>
      </c>
      <c r="I17" s="14">
        <f>H17*其他表格!Y17</f>
        <v>5439330</v>
      </c>
      <c r="J17" s="15">
        <f>ROUND(C18-(C19-C18)/(产出与消耗!K21-产出与消耗!K20)*(产出与消耗!K20-产出与消耗!K19),0)</f>
        <v>25876</v>
      </c>
      <c r="K17" s="13">
        <v>8</v>
      </c>
      <c r="L17" s="14">
        <f t="shared" si="6"/>
        <v>207008</v>
      </c>
      <c r="M17" s="5">
        <f>ROUND(L17/产出与消耗!T19,4)</f>
        <v>1.4E-3</v>
      </c>
      <c r="N17" s="13">
        <v>9</v>
      </c>
      <c r="O17" s="14">
        <f t="shared" si="7"/>
        <v>232884</v>
      </c>
      <c r="P17" s="5">
        <f>ROUND(O17/产出与消耗!T41,4)</f>
        <v>1.5E-3</v>
      </c>
      <c r="Q17" s="13">
        <v>3</v>
      </c>
      <c r="R17" s="14">
        <f t="shared" si="8"/>
        <v>77628</v>
      </c>
      <c r="S17" s="5">
        <f>ROUND(R17/产出与消耗!T63,4)</f>
        <v>8.0000000000000004E-4</v>
      </c>
      <c r="T17" s="9">
        <f t="shared" si="14"/>
        <v>3.7000000000000002E-3</v>
      </c>
      <c r="U17" s="5">
        <f t="shared" si="15"/>
        <v>0.27710000000000001</v>
      </c>
      <c r="V17" s="5">
        <f t="shared" si="16"/>
        <v>0.27829999999999999</v>
      </c>
      <c r="W17" s="5">
        <f t="shared" si="17"/>
        <v>0.27750000000000002</v>
      </c>
    </row>
    <row r="18" spans="1:23">
      <c r="B18">
        <v>17</v>
      </c>
      <c r="C18">
        <f>ROUND(C19-(C20-C19)/(产出与消耗!$K$22-产出与消耗!$K$21)*(产出与消耗!$K$21-产出与消耗!$K$20),0)</f>
        <v>29588</v>
      </c>
      <c r="D18" s="13">
        <v>2</v>
      </c>
      <c r="E18">
        <f>ROUND(D18*C18/3600/(建筑!G102*基本公式!$B$153),2)</f>
        <v>2.0499999999999998</v>
      </c>
      <c r="F18" s="13">
        <v>10</v>
      </c>
      <c r="G18" s="14">
        <f t="shared" si="4"/>
        <v>295880</v>
      </c>
      <c r="H18" s="14">
        <f t="shared" si="13"/>
        <v>419731</v>
      </c>
      <c r="I18" s="14">
        <f>H18*其他表格!Y18</f>
        <v>6715696</v>
      </c>
      <c r="J18" s="15">
        <f>ROUND(C19-(C20-C19)/(产出与消耗!K22-产出与消耗!K21)*(产出与消耗!K21-产出与消耗!K20),0)</f>
        <v>29588</v>
      </c>
      <c r="K18" s="13">
        <v>8</v>
      </c>
      <c r="L18" s="14">
        <f t="shared" si="6"/>
        <v>236704</v>
      </c>
      <c r="M18" s="5">
        <f>ROUND(L18/产出与消耗!T20,4)</f>
        <v>1.1000000000000001E-3</v>
      </c>
      <c r="N18" s="13">
        <v>9</v>
      </c>
      <c r="O18" s="14">
        <f t="shared" si="7"/>
        <v>266292</v>
      </c>
      <c r="P18" s="5">
        <f>ROUND(O18/产出与消耗!T42,4)</f>
        <v>1.1999999999999999E-3</v>
      </c>
      <c r="Q18" s="13">
        <v>3</v>
      </c>
      <c r="R18" s="14">
        <f t="shared" si="8"/>
        <v>88764</v>
      </c>
      <c r="S18" s="5">
        <f>ROUND(R18/产出与消耗!T64,4)</f>
        <v>5.9999999999999995E-4</v>
      </c>
      <c r="T18" s="9">
        <f t="shared" si="14"/>
        <v>2.8999999999999998E-3</v>
      </c>
      <c r="U18" s="5">
        <f t="shared" si="15"/>
        <v>0.2172</v>
      </c>
      <c r="V18" s="5">
        <f t="shared" si="16"/>
        <v>0.2185</v>
      </c>
      <c r="W18" s="5">
        <f t="shared" si="17"/>
        <v>0.2177</v>
      </c>
    </row>
    <row r="19" spans="1:23">
      <c r="B19">
        <v>18</v>
      </c>
      <c r="C19">
        <f>ROUND(C20-(C21-C20)/(产出与消耗!$K$23-产出与消耗!$K$22)*(产出与消耗!$K$22-产出与消耗!$K$21),0)</f>
        <v>33750</v>
      </c>
      <c r="D19" s="13">
        <v>2</v>
      </c>
      <c r="E19">
        <f>ROUND(D19*C19/3600/(建筑!G103*基本公式!$B$153),2)</f>
        <v>2.34</v>
      </c>
      <c r="F19" s="13">
        <v>10</v>
      </c>
      <c r="G19" s="14">
        <f t="shared" si="4"/>
        <v>337500</v>
      </c>
      <c r="H19" s="14">
        <f t="shared" si="13"/>
        <v>482244</v>
      </c>
      <c r="I19" s="14">
        <f>H19*其他表格!Y19</f>
        <v>8198148</v>
      </c>
      <c r="J19" s="15">
        <f>ROUND(C20-(C21-C20)/(产出与消耗!K23-产出与消耗!K22)*(产出与消耗!K22-产出与消耗!K21),0)</f>
        <v>33750</v>
      </c>
      <c r="K19" s="13">
        <v>8</v>
      </c>
      <c r="L19" s="14">
        <f t="shared" si="6"/>
        <v>270000</v>
      </c>
      <c r="M19" s="5">
        <f>ROUND(L19/产出与消耗!T21,4)</f>
        <v>8.0000000000000004E-4</v>
      </c>
      <c r="N19" s="13">
        <v>9</v>
      </c>
      <c r="O19" s="14">
        <f t="shared" si="7"/>
        <v>303750</v>
      </c>
      <c r="P19" s="5">
        <f>ROUND(O19/产出与消耗!T43,4)</f>
        <v>8.9999999999999998E-4</v>
      </c>
      <c r="Q19" s="13">
        <v>3</v>
      </c>
      <c r="R19" s="14">
        <f t="shared" si="8"/>
        <v>101250</v>
      </c>
      <c r="S19" s="5">
        <f>ROUND(R19/产出与消耗!T65,4)</f>
        <v>5.0000000000000001E-4</v>
      </c>
      <c r="T19" s="9">
        <f t="shared" si="14"/>
        <v>2.2000000000000001E-3</v>
      </c>
      <c r="U19" s="5">
        <f t="shared" si="15"/>
        <v>0.1726</v>
      </c>
      <c r="V19" s="5">
        <f t="shared" si="16"/>
        <v>0.1736</v>
      </c>
      <c r="W19" s="5">
        <f t="shared" si="17"/>
        <v>0.17280000000000001</v>
      </c>
    </row>
    <row r="20" spans="1:23">
      <c r="A20" s="22" t="s">
        <v>211</v>
      </c>
      <c r="B20">
        <v>19</v>
      </c>
      <c r="C20">
        <f>ROUND(产出与消耗!$K$22*C21/产出与消耗!$K$23,0)</f>
        <v>38250</v>
      </c>
      <c r="D20" s="13">
        <v>2</v>
      </c>
      <c r="E20">
        <f>ROUND(D20*C20/3600/(建筑!G104*基本公式!$B$153),2)</f>
        <v>2.66</v>
      </c>
      <c r="F20" s="13">
        <v>10</v>
      </c>
      <c r="G20" s="14">
        <f t="shared" si="4"/>
        <v>382500</v>
      </c>
      <c r="H20" s="14">
        <f t="shared" si="13"/>
        <v>548250</v>
      </c>
      <c r="I20" s="14">
        <f>H20*其他表格!Y20</f>
        <v>9868500</v>
      </c>
      <c r="J20" s="15">
        <f>ROUND(产出与消耗!$K$22*C21/产出与消耗!$K$23,0)</f>
        <v>38250</v>
      </c>
      <c r="K20" s="13">
        <v>8</v>
      </c>
      <c r="L20" s="14">
        <f t="shared" si="6"/>
        <v>306000</v>
      </c>
      <c r="M20" s="5">
        <f>ROUND(L20/产出与消耗!T22,4)</f>
        <v>6.9999999999999999E-4</v>
      </c>
      <c r="N20" s="13">
        <v>9</v>
      </c>
      <c r="O20" s="14">
        <f t="shared" si="7"/>
        <v>344250</v>
      </c>
      <c r="P20" s="5">
        <f>ROUND(O20/产出与消耗!T44,4)</f>
        <v>6.9999999999999999E-4</v>
      </c>
      <c r="Q20" s="13">
        <v>3</v>
      </c>
      <c r="R20" s="14">
        <f t="shared" si="8"/>
        <v>114750</v>
      </c>
      <c r="S20" s="5">
        <f>ROUND(R20/产出与消耗!T66,4)</f>
        <v>4.0000000000000002E-4</v>
      </c>
      <c r="T20" s="9">
        <f t="shared" si="14"/>
        <v>1.8E-3</v>
      </c>
      <c r="U20" s="5">
        <f t="shared" si="15"/>
        <v>0.13900000000000001</v>
      </c>
      <c r="V20" s="5">
        <f t="shared" si="16"/>
        <v>0.1399</v>
      </c>
      <c r="W20" s="5">
        <f t="shared" si="17"/>
        <v>0.13919999999999999</v>
      </c>
    </row>
    <row r="21" spans="1:23">
      <c r="B21">
        <v>20</v>
      </c>
      <c r="C21">
        <v>45000</v>
      </c>
      <c r="D21" s="13">
        <v>2</v>
      </c>
      <c r="E21">
        <f>ROUND(D21*C21/3600/(建筑!G105*基本公式!$B$153),2)</f>
        <v>2.5</v>
      </c>
      <c r="F21" s="13">
        <v>10</v>
      </c>
      <c r="G21" s="14">
        <f t="shared" si="4"/>
        <v>450000</v>
      </c>
      <c r="H21" s="14">
        <f t="shared" si="13"/>
        <v>645000</v>
      </c>
      <c r="I21" s="14">
        <f>H21*其他表格!Y21</f>
        <v>12255000</v>
      </c>
      <c r="J21" s="15">
        <v>45000</v>
      </c>
      <c r="K21" s="13">
        <v>8</v>
      </c>
      <c r="L21" s="14">
        <f t="shared" si="6"/>
        <v>360000</v>
      </c>
      <c r="M21" s="5">
        <f>ROUND(L21/产出与消耗!T23,4)</f>
        <v>5.0000000000000001E-4</v>
      </c>
      <c r="N21" s="13">
        <v>9</v>
      </c>
      <c r="O21" s="14">
        <f t="shared" si="7"/>
        <v>405000</v>
      </c>
      <c r="P21" s="5">
        <f>ROUND(O21/产出与消耗!T45,4)</f>
        <v>5.9999999999999995E-4</v>
      </c>
      <c r="Q21" s="13">
        <v>3</v>
      </c>
      <c r="R21" s="14">
        <f t="shared" si="8"/>
        <v>135000</v>
      </c>
      <c r="S21" s="5">
        <f>ROUND(R21/产出与消耗!T67,4)</f>
        <v>2.9999999999999997E-4</v>
      </c>
      <c r="T21" s="9">
        <f t="shared" si="14"/>
        <v>1.4E-3</v>
      </c>
      <c r="U21" s="5">
        <f t="shared" si="15"/>
        <v>0.1133</v>
      </c>
      <c r="V21" s="5">
        <f t="shared" si="16"/>
        <v>0.1137</v>
      </c>
      <c r="W21" s="5">
        <f t="shared" si="17"/>
        <v>0.1133</v>
      </c>
    </row>
    <row r="23" spans="1:23">
      <c r="A23" t="s">
        <v>170</v>
      </c>
      <c r="B23">
        <v>1</v>
      </c>
      <c r="C23">
        <f>ROUND(C24-(C25-C24)/(产出与消耗!$K$6-产出与消耗!$K$5)*(产出与消耗!$K$5-产出与消耗!$K$4),0)</f>
        <v>119</v>
      </c>
      <c r="D23" s="13">
        <v>2</v>
      </c>
      <c r="E23">
        <f>ROUND(D23*C23/3600/(建筑!G86*基本公式!$B$153),2)</f>
        <v>0.03</v>
      </c>
      <c r="F23" s="13">
        <v>10</v>
      </c>
      <c r="G23" s="14">
        <f t="shared" ref="G23" si="18">F23*C23</f>
        <v>1190</v>
      </c>
      <c r="K23" s="13">
        <v>6</v>
      </c>
      <c r="L23" s="14">
        <f t="shared" ref="L23" si="19">ROUND(K23*C23,0)</f>
        <v>714</v>
      </c>
      <c r="M23" s="5">
        <f>ROUND(L23/产出与消耗!T4,4)</f>
        <v>0.1772</v>
      </c>
      <c r="N23" s="13">
        <v>3</v>
      </c>
      <c r="O23" s="14">
        <f t="shared" ref="O23" si="20">ROUND(N23*C23,0)</f>
        <v>357</v>
      </c>
      <c r="P23" s="5">
        <f>ROUND(O23/产出与消耗!T26,4)</f>
        <v>7.0999999999999994E-2</v>
      </c>
      <c r="Q23" s="13">
        <v>8</v>
      </c>
      <c r="R23" s="14">
        <f t="shared" ref="R23" si="21">ROUND(Q23*C23,0)</f>
        <v>952</v>
      </c>
      <c r="S23" s="5">
        <f>ROUND(R23/产出与消耗!T48,4)</f>
        <v>0.2369</v>
      </c>
      <c r="T23" s="9">
        <f>M23+P23+S23</f>
        <v>0.48509999999999998</v>
      </c>
    </row>
    <row r="24" spans="1:23">
      <c r="B24">
        <v>2</v>
      </c>
      <c r="C24">
        <f>ROUND(C25-(C26-C25)/(产出与消耗!$K$7-产出与消耗!$K$6)*(产出与消耗!$K$6-产出与消耗!$K$5),0)</f>
        <v>231</v>
      </c>
      <c r="D24" s="13">
        <v>2</v>
      </c>
      <c r="E24">
        <f>ROUND(D24*C24/3600/(建筑!G87*基本公式!$B$153),2)</f>
        <v>0.06</v>
      </c>
      <c r="F24" s="13">
        <v>10</v>
      </c>
      <c r="G24" s="14">
        <f t="shared" ref="G24:G42" si="22">F24*C24</f>
        <v>2310</v>
      </c>
      <c r="K24" s="13">
        <v>6</v>
      </c>
      <c r="L24" s="14">
        <f t="shared" ref="L24:L42" si="23">ROUND(K24*C24,0)</f>
        <v>1386</v>
      </c>
      <c r="M24" s="5">
        <f>ROUND(L24/产出与消耗!T5,4)</f>
        <v>0.18959999999999999</v>
      </c>
      <c r="N24" s="13">
        <v>3</v>
      </c>
      <c r="O24" s="14">
        <f t="shared" ref="O24:O42" si="24">ROUND(N24*C24,0)</f>
        <v>693</v>
      </c>
      <c r="P24" s="5">
        <f>ROUND(O24/产出与消耗!T27,4)</f>
        <v>8.3400000000000002E-2</v>
      </c>
      <c r="Q24" s="13">
        <v>8</v>
      </c>
      <c r="R24" s="14">
        <f t="shared" ref="R24:R42" si="25">ROUND(Q24*C24,0)</f>
        <v>1848</v>
      </c>
      <c r="S24" s="5">
        <f>ROUND(R24/产出与消耗!T49,4)</f>
        <v>0.25640000000000002</v>
      </c>
      <c r="T24" s="9">
        <f t="shared" ref="T24" si="26">M24+P24+S24</f>
        <v>0.52939999999999998</v>
      </c>
    </row>
    <row r="25" spans="1:23">
      <c r="B25">
        <v>3</v>
      </c>
      <c r="C25">
        <f>ROUND(C26-(C27-C26)/(产出与消耗!$K$8-产出与消耗!$K$7)*(产出与消耗!$K$7-产出与消耗!$K$6),0)</f>
        <v>343</v>
      </c>
      <c r="D25" s="13">
        <v>2</v>
      </c>
      <c r="E25">
        <f>ROUND(D25*C25/3600/(建筑!G88*基本公式!$B$153),2)</f>
        <v>0.1</v>
      </c>
      <c r="F25" s="13">
        <v>10</v>
      </c>
      <c r="G25" s="14">
        <f t="shared" si="22"/>
        <v>3430</v>
      </c>
      <c r="K25" s="13">
        <v>6</v>
      </c>
      <c r="L25" s="14">
        <f t="shared" si="23"/>
        <v>2058</v>
      </c>
      <c r="M25" s="5">
        <f>ROUND(L25/产出与消耗!T6,4)</f>
        <v>0.17119999999999999</v>
      </c>
      <c r="N25" s="13">
        <v>3</v>
      </c>
      <c r="O25" s="14">
        <f t="shared" si="24"/>
        <v>1029</v>
      </c>
      <c r="P25" s="5">
        <f>ROUND(O25/产出与消耗!T28,4)</f>
        <v>7.9000000000000001E-2</v>
      </c>
      <c r="Q25" s="13">
        <v>8</v>
      </c>
      <c r="R25" s="14">
        <f t="shared" si="25"/>
        <v>2744</v>
      </c>
      <c r="S25" s="5">
        <f>ROUND(R25/产出与消耗!T50,4)</f>
        <v>0.24179999999999999</v>
      </c>
      <c r="T25" s="9">
        <f t="shared" ref="T25:T42" si="27">M25+P25+S25</f>
        <v>0.49199999999999999</v>
      </c>
    </row>
    <row r="26" spans="1:23">
      <c r="B26">
        <v>4</v>
      </c>
      <c r="C26">
        <f>ROUND(C27-(C28-C27)/(产出与消耗!$K$9-产出与消耗!$K$8)*(产出与消耗!$K$8-产出与消耗!$K$7),0)</f>
        <v>568</v>
      </c>
      <c r="D26" s="13">
        <v>2</v>
      </c>
      <c r="E26">
        <f>ROUND(D26*C26/3600/(建筑!G89*基本公式!$B$153),2)</f>
        <v>0.16</v>
      </c>
      <c r="F26" s="13">
        <v>10</v>
      </c>
      <c r="G26" s="14">
        <f t="shared" si="22"/>
        <v>5680</v>
      </c>
      <c r="K26" s="13">
        <v>6</v>
      </c>
      <c r="L26" s="14">
        <f t="shared" si="23"/>
        <v>3408</v>
      </c>
      <c r="M26" s="5">
        <f>ROUND(L26/产出与消耗!T7,4)</f>
        <v>0.16900000000000001</v>
      </c>
      <c r="N26" s="13">
        <v>3</v>
      </c>
      <c r="O26" s="14">
        <f t="shared" si="24"/>
        <v>1704</v>
      </c>
      <c r="P26" s="5">
        <f>ROUND(O26/产出与消耗!T29,4)</f>
        <v>8.0500000000000002E-2</v>
      </c>
      <c r="Q26" s="13">
        <v>8</v>
      </c>
      <c r="R26" s="14">
        <f t="shared" si="25"/>
        <v>4544</v>
      </c>
      <c r="S26" s="5">
        <f>ROUND(R26/产出与消耗!T51,4)</f>
        <v>0.26050000000000001</v>
      </c>
      <c r="T26" s="9">
        <f t="shared" si="27"/>
        <v>0.51</v>
      </c>
    </row>
    <row r="27" spans="1:23">
      <c r="B27">
        <v>5</v>
      </c>
      <c r="C27">
        <f>ROUND(C28-(C29-C28)/(产出与消耗!$K$10-产出与消耗!$K$9)*(产出与消耗!$K$9-产出与消耗!$K$8),0)</f>
        <v>905</v>
      </c>
      <c r="D27" s="13">
        <v>2</v>
      </c>
      <c r="E27">
        <f>ROUND(D27*C27/3600/(建筑!G90*基本公式!$B$153),2)</f>
        <v>0.25</v>
      </c>
      <c r="F27" s="13">
        <v>10</v>
      </c>
      <c r="G27" s="14">
        <f t="shared" si="22"/>
        <v>9050</v>
      </c>
      <c r="K27" s="13">
        <v>6</v>
      </c>
      <c r="L27" s="14">
        <f t="shared" si="23"/>
        <v>5430</v>
      </c>
      <c r="M27" s="5">
        <f>ROUND(L27/产出与消耗!T8,4)</f>
        <v>0.14130000000000001</v>
      </c>
      <c r="N27" s="13">
        <v>3</v>
      </c>
      <c r="O27" s="14">
        <f t="shared" si="24"/>
        <v>2715</v>
      </c>
      <c r="P27" s="5">
        <f>ROUND(O27/产出与消耗!T30,4)</f>
        <v>7.0599999999999996E-2</v>
      </c>
      <c r="Q27" s="13">
        <v>8</v>
      </c>
      <c r="R27" s="14">
        <f t="shared" si="25"/>
        <v>7240</v>
      </c>
      <c r="S27" s="5">
        <f>ROUND(R27/产出与消耗!T52,4)</f>
        <v>0.24440000000000001</v>
      </c>
      <c r="T27" s="9">
        <f t="shared" si="27"/>
        <v>0.45629999999999998</v>
      </c>
    </row>
    <row r="28" spans="1:23">
      <c r="B28">
        <v>6</v>
      </c>
      <c r="C28">
        <f>ROUND(C29-(C30-C29)/(产出与消耗!$K$11-产出与消耗!$K$10)*(产出与消耗!$K$10-产出与消耗!$K$9),0)</f>
        <v>1467</v>
      </c>
      <c r="D28" s="13">
        <v>2</v>
      </c>
      <c r="E28">
        <f>ROUND(D28*C28/3600/(建筑!G91*基本公式!$B$153),2)</f>
        <v>0.41</v>
      </c>
      <c r="F28" s="13">
        <v>10</v>
      </c>
      <c r="G28" s="14">
        <f t="shared" si="22"/>
        <v>14670</v>
      </c>
      <c r="K28" s="13">
        <v>6</v>
      </c>
      <c r="L28" s="14">
        <f t="shared" si="23"/>
        <v>8802</v>
      </c>
      <c r="M28" s="5">
        <f>ROUND(L28/产出与消耗!T9,4)</f>
        <v>8.7599999999999997E-2</v>
      </c>
      <c r="N28" s="13">
        <v>3</v>
      </c>
      <c r="O28" s="14">
        <f t="shared" si="24"/>
        <v>4401</v>
      </c>
      <c r="P28" s="5">
        <f>ROUND(O28/产出与消耗!T31,4)</f>
        <v>4.3799999999999999E-2</v>
      </c>
      <c r="Q28" s="13">
        <v>8</v>
      </c>
      <c r="R28" s="14">
        <f t="shared" si="25"/>
        <v>11736</v>
      </c>
      <c r="S28" s="5">
        <f>ROUND(R28/产出与消耗!T53,4)</f>
        <v>0.16689999999999999</v>
      </c>
      <c r="T28" s="9">
        <f t="shared" si="27"/>
        <v>0.29830000000000001</v>
      </c>
    </row>
    <row r="29" spans="1:23">
      <c r="B29">
        <v>7</v>
      </c>
      <c r="C29">
        <f>ROUND(C30-(C31-C30)/(产出与消耗!$K$12-产出与消耗!$K$11)*(产出与消耗!$K$11-产出与消耗!$K$10),0)</f>
        <v>2367</v>
      </c>
      <c r="D29" s="13">
        <v>2</v>
      </c>
      <c r="E29">
        <f>ROUND(D29*C29/3600/(建筑!G92*基本公式!$B$153),2)</f>
        <v>0.33</v>
      </c>
      <c r="F29" s="13">
        <v>10</v>
      </c>
      <c r="G29" s="14">
        <f t="shared" si="22"/>
        <v>23670</v>
      </c>
      <c r="K29" s="13">
        <v>6</v>
      </c>
      <c r="L29" s="14">
        <f t="shared" si="23"/>
        <v>14202</v>
      </c>
      <c r="M29" s="5">
        <f>ROUND(L29/产出与消耗!T10,4)</f>
        <v>5.9700000000000003E-2</v>
      </c>
      <c r="N29" s="13">
        <v>3</v>
      </c>
      <c r="O29" s="14">
        <f t="shared" si="24"/>
        <v>7101</v>
      </c>
      <c r="P29" s="5">
        <f>ROUND(O29/产出与消耗!T32,4)</f>
        <v>2.9899999999999999E-2</v>
      </c>
      <c r="Q29" s="13">
        <v>8</v>
      </c>
      <c r="R29" s="14">
        <f t="shared" si="25"/>
        <v>18936</v>
      </c>
      <c r="S29" s="5">
        <f>ROUND(R29/产出与消耗!T54,4)</f>
        <v>0.11700000000000001</v>
      </c>
      <c r="T29" s="9">
        <f t="shared" si="27"/>
        <v>0.20660000000000001</v>
      </c>
    </row>
    <row r="30" spans="1:23">
      <c r="A30" s="16"/>
      <c r="B30">
        <v>8</v>
      </c>
      <c r="C30">
        <f>ROUND(C31-(C32-C31)/(产出与消耗!$K$13-产出与消耗!$K$12)*(产出与消耗!$K$12-产出与消耗!$K$11),0)</f>
        <v>3829</v>
      </c>
      <c r="D30" s="13">
        <v>2</v>
      </c>
      <c r="E30">
        <f>ROUND(D30*C30/3600/(建筑!G93*基本公式!$B$153),2)</f>
        <v>0.53</v>
      </c>
      <c r="F30" s="13">
        <v>10</v>
      </c>
      <c r="G30" s="14">
        <f t="shared" si="22"/>
        <v>38290</v>
      </c>
      <c r="K30" s="13">
        <v>6</v>
      </c>
      <c r="L30" s="14">
        <f t="shared" si="23"/>
        <v>22974</v>
      </c>
      <c r="M30" s="5">
        <f>ROUND(L30/产出与消耗!T11,4)</f>
        <v>3.2500000000000001E-2</v>
      </c>
      <c r="N30" s="13">
        <v>3</v>
      </c>
      <c r="O30" s="14">
        <f t="shared" si="24"/>
        <v>11487</v>
      </c>
      <c r="P30" s="5">
        <f>ROUND(O30/产出与消耗!T33,4)</f>
        <v>1.6199999999999999E-2</v>
      </c>
      <c r="Q30" s="13">
        <v>8</v>
      </c>
      <c r="R30" s="14">
        <f t="shared" si="25"/>
        <v>30632</v>
      </c>
      <c r="S30" s="5">
        <f>ROUND(R30/产出与消耗!T55,4)</f>
        <v>6.4500000000000002E-2</v>
      </c>
      <c r="T30" s="9">
        <f t="shared" si="27"/>
        <v>0.1132</v>
      </c>
    </row>
    <row r="31" spans="1:23">
      <c r="B31">
        <v>9</v>
      </c>
      <c r="C31">
        <f>ROUND(C32-(C33-C32)/(产出与消耗!$K$14-产出与消耗!$K$13)*(产出与消耗!$K$13-产出与消耗!$K$12),0)</f>
        <v>5291</v>
      </c>
      <c r="D31" s="13">
        <v>2</v>
      </c>
      <c r="E31">
        <f>ROUND(D31*C31/3600/(建筑!G94*基本公式!$B$153),2)</f>
        <v>0.73</v>
      </c>
      <c r="F31" s="13">
        <v>10</v>
      </c>
      <c r="G31" s="14">
        <f t="shared" si="22"/>
        <v>52910</v>
      </c>
      <c r="K31" s="13">
        <v>6</v>
      </c>
      <c r="L31" s="14">
        <f t="shared" si="23"/>
        <v>31746</v>
      </c>
      <c r="M31" s="5">
        <f>ROUND(L31/产出与消耗!T12,4)</f>
        <v>1.9300000000000001E-2</v>
      </c>
      <c r="N31" s="13">
        <v>3</v>
      </c>
      <c r="O31" s="14">
        <f t="shared" si="24"/>
        <v>15873</v>
      </c>
      <c r="P31" s="5">
        <f>ROUND(O31/产出与消耗!T34,4)</f>
        <v>9.5999999999999992E-3</v>
      </c>
      <c r="Q31" s="13">
        <v>8</v>
      </c>
      <c r="R31" s="14">
        <f t="shared" si="25"/>
        <v>42328</v>
      </c>
      <c r="S31" s="5">
        <f>ROUND(R31/产出与消耗!T56,4)</f>
        <v>3.85E-2</v>
      </c>
      <c r="T31" s="9">
        <f t="shared" si="27"/>
        <v>6.7400000000000002E-2</v>
      </c>
    </row>
    <row r="32" spans="1:23">
      <c r="A32" s="21" t="s">
        <v>209</v>
      </c>
      <c r="B32">
        <v>10</v>
      </c>
      <c r="C32">
        <f>ROUND(C33-(C34-C33)/(产出与消耗!$K$15-产出与消耗!$K$14)*(产出与消耗!$K$14-产出与消耗!$K$13),0)</f>
        <v>7653</v>
      </c>
      <c r="D32" s="13">
        <v>2</v>
      </c>
      <c r="E32">
        <f>ROUND(D32*C32/3600/(建筑!G95*基本公式!$B$153),2)</f>
        <v>1.06</v>
      </c>
      <c r="F32" s="13">
        <v>10</v>
      </c>
      <c r="G32" s="14">
        <f t="shared" si="22"/>
        <v>76530</v>
      </c>
      <c r="K32" s="13">
        <v>6</v>
      </c>
      <c r="L32" s="14">
        <f t="shared" si="23"/>
        <v>45918</v>
      </c>
      <c r="M32" s="5">
        <f>ROUND(L32/产出与消耗!T13,4)</f>
        <v>1.18E-2</v>
      </c>
      <c r="N32" s="13">
        <v>3</v>
      </c>
      <c r="O32" s="14">
        <f t="shared" si="24"/>
        <v>22959</v>
      </c>
      <c r="P32" s="5">
        <f>ROUND(O32/产出与消耗!T35,4)</f>
        <v>5.8999999999999999E-3</v>
      </c>
      <c r="Q32" s="13">
        <v>8</v>
      </c>
      <c r="R32" s="14">
        <f t="shared" si="25"/>
        <v>61224</v>
      </c>
      <c r="S32" s="5">
        <f>ROUND(R32/产出与消耗!T57,4)</f>
        <v>2.35E-2</v>
      </c>
      <c r="T32" s="9">
        <f t="shared" si="27"/>
        <v>4.1200000000000001E-2</v>
      </c>
    </row>
    <row r="33" spans="1:20">
      <c r="B33">
        <v>11</v>
      </c>
      <c r="C33">
        <f>ROUND(C34-(C35-C34)/(产出与消耗!$K$16-产出与消耗!$K$15)*(产出与消耗!$K$15-产出与消耗!$K$14),0)</f>
        <v>9115</v>
      </c>
      <c r="D33" s="13">
        <v>2</v>
      </c>
      <c r="E33">
        <f>ROUND(D33*C33/3600/(建筑!G96*基本公式!$B$153),2)</f>
        <v>1.27</v>
      </c>
      <c r="F33" s="13">
        <v>10</v>
      </c>
      <c r="G33" s="14">
        <f t="shared" si="22"/>
        <v>91150</v>
      </c>
      <c r="K33" s="13">
        <v>6</v>
      </c>
      <c r="L33" s="14">
        <f t="shared" si="23"/>
        <v>54690</v>
      </c>
      <c r="M33" s="5">
        <f>ROUND(L33/产出与消耗!T14,4)</f>
        <v>6.8999999999999999E-3</v>
      </c>
      <c r="N33" s="13">
        <v>3</v>
      </c>
      <c r="O33" s="14">
        <f t="shared" si="24"/>
        <v>27345</v>
      </c>
      <c r="P33" s="5">
        <f>ROUND(O33/产出与消耗!T36,4)</f>
        <v>3.3999999999999998E-3</v>
      </c>
      <c r="Q33" s="13">
        <v>8</v>
      </c>
      <c r="R33" s="14">
        <f t="shared" si="25"/>
        <v>72920</v>
      </c>
      <c r="S33" s="5">
        <f>ROUND(R33/产出与消耗!T58,4)</f>
        <v>1.38E-2</v>
      </c>
      <c r="T33" s="9">
        <f t="shared" si="27"/>
        <v>2.41E-2</v>
      </c>
    </row>
    <row r="34" spans="1:20">
      <c r="B34">
        <v>12</v>
      </c>
      <c r="C34">
        <f>ROUND(C35-(C36-C35)/(产出与消耗!$K$17-产出与消耗!$K$16)*(产出与消耗!$K$16-产出与消耗!$K$15),0)</f>
        <v>12939</v>
      </c>
      <c r="D34" s="13">
        <v>2</v>
      </c>
      <c r="E34">
        <f>ROUND(D34*C34/3600/(建筑!G97*基本公式!$B$153),2)</f>
        <v>1.2</v>
      </c>
      <c r="F34" s="13">
        <v>10</v>
      </c>
      <c r="G34" s="14">
        <f t="shared" si="22"/>
        <v>129390</v>
      </c>
      <c r="K34" s="13">
        <v>6</v>
      </c>
      <c r="L34" s="14">
        <f t="shared" si="23"/>
        <v>77634</v>
      </c>
      <c r="M34" s="5">
        <f>ROUND(L34/产出与消耗!T15,4)</f>
        <v>4.4000000000000003E-3</v>
      </c>
      <c r="N34" s="13">
        <v>3</v>
      </c>
      <c r="O34" s="14">
        <f t="shared" si="24"/>
        <v>38817</v>
      </c>
      <c r="P34" s="5">
        <f>ROUND(O34/产出与消耗!T37,4)</f>
        <v>2.2000000000000001E-3</v>
      </c>
      <c r="Q34" s="13">
        <v>8</v>
      </c>
      <c r="R34" s="14">
        <f t="shared" si="25"/>
        <v>103512</v>
      </c>
      <c r="S34" s="5">
        <f>ROUND(R34/产出与消耗!T59,4)</f>
        <v>8.8000000000000005E-3</v>
      </c>
      <c r="T34" s="9">
        <f t="shared" si="27"/>
        <v>1.54E-2</v>
      </c>
    </row>
    <row r="35" spans="1:20">
      <c r="A35" s="16"/>
      <c r="B35">
        <v>13</v>
      </c>
      <c r="C35">
        <f>ROUND(C36-(C37-C36)/(产出与消耗!$K$18-产出与消耗!$K$17)*(产出与消耗!$K$17-产出与消耗!$K$16),0)</f>
        <v>16201</v>
      </c>
      <c r="D35" s="13">
        <v>2</v>
      </c>
      <c r="E35">
        <f>ROUND(D35*C35/3600/(建筑!G98*基本公式!$B$153),2)</f>
        <v>1.5</v>
      </c>
      <c r="F35" s="13">
        <v>10</v>
      </c>
      <c r="G35" s="14">
        <f t="shared" si="22"/>
        <v>162010</v>
      </c>
      <c r="K35" s="13">
        <v>6</v>
      </c>
      <c r="L35" s="14">
        <f t="shared" si="23"/>
        <v>97206</v>
      </c>
      <c r="M35" s="5">
        <f>ROUND(L35/产出与消耗!T16,4)</f>
        <v>2.8E-3</v>
      </c>
      <c r="N35" s="13">
        <v>3</v>
      </c>
      <c r="O35" s="14">
        <f t="shared" si="24"/>
        <v>48603</v>
      </c>
      <c r="P35" s="5">
        <f>ROUND(O35/产出与消耗!T38,4)</f>
        <v>1.4E-3</v>
      </c>
      <c r="Q35" s="13">
        <v>8</v>
      </c>
      <c r="R35" s="14">
        <f t="shared" si="25"/>
        <v>129608</v>
      </c>
      <c r="S35" s="5">
        <f>ROUND(R35/产出与消耗!T60,4)</f>
        <v>5.7000000000000002E-3</v>
      </c>
      <c r="T35" s="9">
        <f t="shared" si="27"/>
        <v>9.9000000000000008E-3</v>
      </c>
    </row>
    <row r="36" spans="1:20">
      <c r="A36" s="21" t="s">
        <v>210</v>
      </c>
      <c r="B36">
        <v>14</v>
      </c>
      <c r="C36">
        <f>ROUND(C37-(C38-C37)/(产出与消耗!$K$19-产出与消耗!$K$18)*(产出与消耗!$K$18-产出与消耗!$K$17),0)</f>
        <v>19126</v>
      </c>
      <c r="D36" s="13">
        <v>2</v>
      </c>
      <c r="E36">
        <f>ROUND(D36*C36/3600/(建筑!G99*基本公式!$B$153),2)</f>
        <v>1.77</v>
      </c>
      <c r="F36" s="13">
        <v>10</v>
      </c>
      <c r="G36" s="14">
        <f t="shared" si="22"/>
        <v>191260</v>
      </c>
      <c r="K36" s="13">
        <v>6</v>
      </c>
      <c r="L36" s="14">
        <f t="shared" si="23"/>
        <v>114756</v>
      </c>
      <c r="M36" s="5">
        <f>ROUND(L36/产出与消耗!T17,4)</f>
        <v>1.9E-3</v>
      </c>
      <c r="N36" s="13">
        <v>3</v>
      </c>
      <c r="O36" s="14">
        <f t="shared" si="24"/>
        <v>57378</v>
      </c>
      <c r="P36" s="5">
        <f>ROUND(O36/产出与消耗!T39,4)</f>
        <v>1E-3</v>
      </c>
      <c r="Q36" s="13">
        <v>8</v>
      </c>
      <c r="R36" s="14">
        <f t="shared" si="25"/>
        <v>153008</v>
      </c>
      <c r="S36" s="5">
        <f>ROUND(R36/产出与消耗!T61,4)</f>
        <v>3.8999999999999998E-3</v>
      </c>
      <c r="T36" s="9">
        <f t="shared" si="27"/>
        <v>6.7999999999999996E-3</v>
      </c>
    </row>
    <row r="37" spans="1:20">
      <c r="B37">
        <v>15</v>
      </c>
      <c r="C37">
        <f>ROUND(C38-(C39-C38)/(产出与消耗!$K$20-产出与消耗!$K$19)*(产出与消耗!$K$19-产出与消耗!$K$18),0)</f>
        <v>22501</v>
      </c>
      <c r="D37" s="13">
        <v>2</v>
      </c>
      <c r="E37">
        <f>ROUND(D37*C37/3600/(建筑!G100*基本公式!$B$153),2)</f>
        <v>2.08</v>
      </c>
      <c r="F37" s="13">
        <v>10</v>
      </c>
      <c r="G37" s="14">
        <f t="shared" si="22"/>
        <v>225010</v>
      </c>
      <c r="K37" s="13">
        <v>6</v>
      </c>
      <c r="L37" s="14">
        <f t="shared" si="23"/>
        <v>135006</v>
      </c>
      <c r="M37" s="5">
        <f>ROUND(L37/产出与消耗!T18,4)</f>
        <v>1.4E-3</v>
      </c>
      <c r="N37" s="13">
        <v>3</v>
      </c>
      <c r="O37" s="14">
        <f t="shared" si="24"/>
        <v>67503</v>
      </c>
      <c r="P37" s="5">
        <f>ROUND(O37/产出与消耗!T40,4)</f>
        <v>6.9999999999999999E-4</v>
      </c>
      <c r="Q37" s="13">
        <v>8</v>
      </c>
      <c r="R37" s="14">
        <f t="shared" si="25"/>
        <v>180008</v>
      </c>
      <c r="S37" s="5">
        <f>ROUND(R37/产出与消耗!T62,4)</f>
        <v>2.8E-3</v>
      </c>
      <c r="T37" s="9">
        <f t="shared" si="27"/>
        <v>4.8999999999999998E-3</v>
      </c>
    </row>
    <row r="38" spans="1:20">
      <c r="B38">
        <v>16</v>
      </c>
      <c r="C38">
        <f>ROUND(C39-(C40-C39)/(产出与消耗!$K$21-产出与消耗!$K$20)*(产出与消耗!$K$20-产出与消耗!$K$19),0)</f>
        <v>25876</v>
      </c>
      <c r="D38" s="13">
        <v>2</v>
      </c>
      <c r="E38">
        <f>ROUND(D38*C38/3600/(建筑!G101*基本公式!$B$153),2)</f>
        <v>1.8</v>
      </c>
      <c r="F38" s="13">
        <v>10</v>
      </c>
      <c r="G38" s="14">
        <f t="shared" si="22"/>
        <v>258760</v>
      </c>
      <c r="K38" s="13">
        <v>6</v>
      </c>
      <c r="L38" s="14">
        <f t="shared" si="23"/>
        <v>155256</v>
      </c>
      <c r="M38" s="5">
        <f>ROUND(L38/产出与消耗!T19,4)</f>
        <v>1E-3</v>
      </c>
      <c r="N38" s="13">
        <v>3</v>
      </c>
      <c r="O38" s="14">
        <f t="shared" si="24"/>
        <v>77628</v>
      </c>
      <c r="P38" s="5">
        <f>ROUND(O38/产出与消耗!T41,4)</f>
        <v>5.0000000000000001E-4</v>
      </c>
      <c r="Q38" s="13">
        <v>8</v>
      </c>
      <c r="R38" s="14">
        <f t="shared" si="25"/>
        <v>207008</v>
      </c>
      <c r="S38" s="5">
        <f>ROUND(R38/产出与消耗!T63,4)</f>
        <v>2.0999999999999999E-3</v>
      </c>
      <c r="T38" s="9">
        <f t="shared" si="27"/>
        <v>3.5999999999999999E-3</v>
      </c>
    </row>
    <row r="39" spans="1:20">
      <c r="B39">
        <v>17</v>
      </c>
      <c r="C39">
        <f>ROUND(C40-(C41-C40)/(产出与消耗!$K$22-产出与消耗!$K$21)*(产出与消耗!$K$21-产出与消耗!$K$20),0)</f>
        <v>29588</v>
      </c>
      <c r="D39" s="13">
        <v>2</v>
      </c>
      <c r="E39">
        <f>ROUND(D39*C39/3600/(建筑!G102*基本公式!$B$153),2)</f>
        <v>2.0499999999999998</v>
      </c>
      <c r="F39" s="13">
        <v>10</v>
      </c>
      <c r="G39" s="14">
        <f t="shared" si="22"/>
        <v>295880</v>
      </c>
      <c r="K39" s="13">
        <v>6</v>
      </c>
      <c r="L39" s="14">
        <f t="shared" si="23"/>
        <v>177528</v>
      </c>
      <c r="M39" s="5">
        <f>ROUND(L39/产出与消耗!T20,4)</f>
        <v>8.0000000000000004E-4</v>
      </c>
      <c r="N39" s="13">
        <v>3</v>
      </c>
      <c r="O39" s="14">
        <f t="shared" si="24"/>
        <v>88764</v>
      </c>
      <c r="P39" s="5">
        <f>ROUND(O39/产出与消耗!T42,4)</f>
        <v>4.0000000000000002E-4</v>
      </c>
      <c r="Q39" s="13">
        <v>8</v>
      </c>
      <c r="R39" s="14">
        <f t="shared" si="25"/>
        <v>236704</v>
      </c>
      <c r="S39" s="5">
        <f>ROUND(R39/产出与消耗!T64,4)</f>
        <v>1.6000000000000001E-3</v>
      </c>
      <c r="T39" s="9">
        <f t="shared" si="27"/>
        <v>2.8E-3</v>
      </c>
    </row>
    <row r="40" spans="1:20">
      <c r="B40">
        <v>18</v>
      </c>
      <c r="C40">
        <f>ROUND(C41-(C42-C41)/(产出与消耗!$K$23-产出与消耗!$K$22)*(产出与消耗!$K$22-产出与消耗!$K$21),0)</f>
        <v>33750</v>
      </c>
      <c r="D40" s="13">
        <v>2</v>
      </c>
      <c r="E40">
        <f>ROUND(D40*C40/3600/(建筑!G103*基本公式!$B$153),2)</f>
        <v>2.34</v>
      </c>
      <c r="F40" s="13">
        <v>10</v>
      </c>
      <c r="G40" s="14">
        <f t="shared" si="22"/>
        <v>337500</v>
      </c>
      <c r="K40" s="13">
        <v>6</v>
      </c>
      <c r="L40" s="14">
        <f t="shared" si="23"/>
        <v>202500</v>
      </c>
      <c r="M40" s="5">
        <f>ROUND(L40/产出与消耗!T21,4)</f>
        <v>5.9999999999999995E-4</v>
      </c>
      <c r="N40" s="13">
        <v>3</v>
      </c>
      <c r="O40" s="14">
        <f t="shared" si="24"/>
        <v>101250</v>
      </c>
      <c r="P40" s="5">
        <f>ROUND(O40/产出与消耗!T43,4)</f>
        <v>2.9999999999999997E-4</v>
      </c>
      <c r="Q40" s="13">
        <v>8</v>
      </c>
      <c r="R40" s="14">
        <f t="shared" si="25"/>
        <v>270000</v>
      </c>
      <c r="S40" s="5">
        <f>ROUND(R40/产出与消耗!T65,4)</f>
        <v>1.1999999999999999E-3</v>
      </c>
      <c r="T40" s="9">
        <f t="shared" si="27"/>
        <v>2.0999999999999999E-3</v>
      </c>
    </row>
    <row r="41" spans="1:20">
      <c r="A41" s="22" t="s">
        <v>211</v>
      </c>
      <c r="B41">
        <v>19</v>
      </c>
      <c r="C41">
        <f>ROUND(产出与消耗!$K$22*C42/产出与消耗!$K$23,0)</f>
        <v>38250</v>
      </c>
      <c r="D41" s="13">
        <v>2</v>
      </c>
      <c r="E41">
        <f>ROUND(D41*C41/3600/(建筑!G104*基本公式!$B$153),2)</f>
        <v>2.66</v>
      </c>
      <c r="F41" s="13">
        <v>10</v>
      </c>
      <c r="G41" s="14">
        <f t="shared" si="22"/>
        <v>382500</v>
      </c>
      <c r="K41" s="13">
        <v>6</v>
      </c>
      <c r="L41" s="14">
        <f t="shared" si="23"/>
        <v>229500</v>
      </c>
      <c r="M41" s="5">
        <f>ROUND(L41/产出与消耗!T22,4)</f>
        <v>5.0000000000000001E-4</v>
      </c>
      <c r="N41" s="13">
        <v>3</v>
      </c>
      <c r="O41" s="14">
        <f t="shared" si="24"/>
        <v>114750</v>
      </c>
      <c r="P41" s="5">
        <f>ROUND(O41/产出与消耗!T44,4)</f>
        <v>2.0000000000000001E-4</v>
      </c>
      <c r="Q41" s="13">
        <v>8</v>
      </c>
      <c r="R41" s="14">
        <f t="shared" si="25"/>
        <v>306000</v>
      </c>
      <c r="S41" s="5">
        <f>ROUND(R41/产出与消耗!T66,4)</f>
        <v>1E-3</v>
      </c>
      <c r="T41" s="9">
        <f t="shared" si="27"/>
        <v>1.6999999999999999E-3</v>
      </c>
    </row>
    <row r="42" spans="1:20">
      <c r="B42">
        <v>20</v>
      </c>
      <c r="C42">
        <v>45000</v>
      </c>
      <c r="D42" s="13">
        <v>2</v>
      </c>
      <c r="E42">
        <f>ROUND(D42*C42/3600/(建筑!G105*基本公式!$B$153),2)</f>
        <v>2.5</v>
      </c>
      <c r="F42" s="13">
        <v>10</v>
      </c>
      <c r="G42" s="14">
        <f t="shared" si="22"/>
        <v>450000</v>
      </c>
      <c r="K42" s="13">
        <v>6</v>
      </c>
      <c r="L42" s="14">
        <f t="shared" si="23"/>
        <v>270000</v>
      </c>
      <c r="M42" s="5">
        <f>ROUND(L42/产出与消耗!T23,4)</f>
        <v>4.0000000000000002E-4</v>
      </c>
      <c r="N42" s="13">
        <v>3</v>
      </c>
      <c r="O42" s="14">
        <f t="shared" si="24"/>
        <v>135000</v>
      </c>
      <c r="P42" s="5">
        <f>ROUND(O42/产出与消耗!T45,4)</f>
        <v>2.0000000000000001E-4</v>
      </c>
      <c r="Q42" s="13">
        <v>8</v>
      </c>
      <c r="R42" s="14">
        <f t="shared" si="25"/>
        <v>360000</v>
      </c>
      <c r="S42" s="5">
        <f>ROUND(R42/产出与消耗!T67,4)</f>
        <v>8.0000000000000004E-4</v>
      </c>
      <c r="T42" s="9">
        <f t="shared" si="27"/>
        <v>1.4E-3</v>
      </c>
    </row>
    <row r="44" spans="1:20">
      <c r="A44" t="s">
        <v>176</v>
      </c>
      <c r="B44">
        <v>1</v>
      </c>
      <c r="C44">
        <f>ROUND(C45-(C46-C45)/(产出与消耗!$K$6-产出与消耗!$K$5)*(产出与消耗!$K$5-产出与消耗!$K$4),0)</f>
        <v>119</v>
      </c>
      <c r="D44" s="13">
        <v>1.4</v>
      </c>
      <c r="E44">
        <f>ROUND(D44*C44/3600/(建筑!G86*基本公式!$B$153),2)</f>
        <v>0.02</v>
      </c>
      <c r="F44" s="13">
        <v>12</v>
      </c>
      <c r="G44" s="14">
        <f t="shared" ref="G44" si="28">F44*C44</f>
        <v>1428</v>
      </c>
      <c r="K44" s="13">
        <v>10</v>
      </c>
      <c r="L44" s="14">
        <f t="shared" ref="L44" si="29">ROUND(K44*C44,0)</f>
        <v>1190</v>
      </c>
      <c r="M44" s="5">
        <f>ROUND(L44/产出与消耗!T4,4)</f>
        <v>0.2954</v>
      </c>
      <c r="N44" s="13">
        <v>8</v>
      </c>
      <c r="O44" s="14">
        <f t="shared" ref="O44" si="30">ROUND(N44*C44,0)</f>
        <v>952</v>
      </c>
      <c r="P44" s="5">
        <f>ROUND(O44/产出与消耗!T26,4)</f>
        <v>0.1893</v>
      </c>
      <c r="Q44" s="13">
        <v>2</v>
      </c>
      <c r="R44" s="14">
        <f t="shared" ref="R44" si="31">ROUND(Q44*C44,0)</f>
        <v>238</v>
      </c>
      <c r="S44" s="5">
        <f>ROUND(R44/产出与消耗!T48,4)</f>
        <v>5.9200000000000003E-2</v>
      </c>
      <c r="T44" s="9">
        <f>M44+P44+S44</f>
        <v>0.54390000000000005</v>
      </c>
    </row>
    <row r="45" spans="1:20">
      <c r="B45">
        <v>2</v>
      </c>
      <c r="C45">
        <f>ROUND(C46-(C47-C46)/(产出与消耗!$K$7-产出与消耗!$K$6)*(产出与消耗!$K$6-产出与消耗!$K$5),0)</f>
        <v>231</v>
      </c>
      <c r="D45" s="13">
        <v>1.4</v>
      </c>
      <c r="E45">
        <f>ROUND(D45*C45/3600/(建筑!G87*基本公式!$B$153),2)</f>
        <v>0.04</v>
      </c>
      <c r="F45" s="13">
        <v>12</v>
      </c>
      <c r="G45" s="14">
        <f t="shared" ref="G45:G63" si="32">F45*C45</f>
        <v>2772</v>
      </c>
      <c r="K45" s="13">
        <v>10</v>
      </c>
      <c r="L45" s="14">
        <f t="shared" ref="L45:L63" si="33">ROUND(K45*C45,0)</f>
        <v>2310</v>
      </c>
      <c r="M45" s="5">
        <f>ROUND(L45/产出与消耗!T5,4)</f>
        <v>0.316</v>
      </c>
      <c r="N45" s="13">
        <v>8</v>
      </c>
      <c r="O45" s="14">
        <f t="shared" ref="O45:O63" si="34">ROUND(N45*C45,0)</f>
        <v>1848</v>
      </c>
      <c r="P45" s="5">
        <f>ROUND(O45/产出与消耗!T27,4)</f>
        <v>0.22239999999999999</v>
      </c>
      <c r="Q45" s="13">
        <v>2</v>
      </c>
      <c r="R45" s="14">
        <f t="shared" ref="R45:R63" si="35">ROUND(Q45*C45,0)</f>
        <v>462</v>
      </c>
      <c r="S45" s="5">
        <f>ROUND(R45/产出与消耗!T49,4)</f>
        <v>6.4100000000000004E-2</v>
      </c>
      <c r="T45" s="9">
        <f t="shared" ref="T45" si="36">M45+P45+S45</f>
        <v>0.60250000000000004</v>
      </c>
    </row>
    <row r="46" spans="1:20">
      <c r="B46">
        <v>3</v>
      </c>
      <c r="C46">
        <f>ROUND(C47-(C48-C47)/(产出与消耗!$K$8-产出与消耗!$K$7)*(产出与消耗!$K$7-产出与消耗!$K$6),0)</f>
        <v>343</v>
      </c>
      <c r="D46" s="13">
        <v>1.4</v>
      </c>
      <c r="E46">
        <f>ROUND(D46*C46/3600/(建筑!G88*基本公式!$B$153),2)</f>
        <v>7.0000000000000007E-2</v>
      </c>
      <c r="F46" s="13">
        <v>12</v>
      </c>
      <c r="G46" s="14">
        <f t="shared" si="32"/>
        <v>4116</v>
      </c>
      <c r="K46" s="13">
        <v>10</v>
      </c>
      <c r="L46" s="14">
        <f t="shared" si="33"/>
        <v>3430</v>
      </c>
      <c r="M46" s="5">
        <f>ROUND(L46/产出与消耗!T6,4)</f>
        <v>0.2853</v>
      </c>
      <c r="N46" s="13">
        <v>8</v>
      </c>
      <c r="O46" s="14">
        <f t="shared" si="34"/>
        <v>2744</v>
      </c>
      <c r="P46" s="5">
        <f>ROUND(O46/产出与消耗!T28,4)</f>
        <v>0.2107</v>
      </c>
      <c r="Q46" s="13">
        <v>2</v>
      </c>
      <c r="R46" s="14">
        <f t="shared" si="35"/>
        <v>686</v>
      </c>
      <c r="S46" s="5">
        <f>ROUND(R46/产出与消耗!T50,4)</f>
        <v>6.0499999999999998E-2</v>
      </c>
      <c r="T46" s="9">
        <f t="shared" ref="T46:T63" si="37">M46+P46+S46</f>
        <v>0.55649999999999999</v>
      </c>
    </row>
    <row r="47" spans="1:20">
      <c r="B47">
        <v>4</v>
      </c>
      <c r="C47">
        <f>ROUND(C48-(C49-C48)/(产出与消耗!$K$9-产出与消耗!$K$8)*(产出与消耗!$K$8-产出与消耗!$K$7),0)</f>
        <v>568</v>
      </c>
      <c r="D47" s="13">
        <v>1.4</v>
      </c>
      <c r="E47">
        <f>ROUND(D47*C47/3600/(建筑!G89*基本公式!$B$153),2)</f>
        <v>0.11</v>
      </c>
      <c r="F47" s="13">
        <v>12</v>
      </c>
      <c r="G47" s="14">
        <f t="shared" si="32"/>
        <v>6816</v>
      </c>
      <c r="K47" s="13">
        <v>10</v>
      </c>
      <c r="L47" s="14">
        <f t="shared" si="33"/>
        <v>5680</v>
      </c>
      <c r="M47" s="5">
        <f>ROUND(L47/产出与消耗!T7,4)</f>
        <v>0.28170000000000001</v>
      </c>
      <c r="N47" s="13">
        <v>8</v>
      </c>
      <c r="O47" s="14">
        <f t="shared" si="34"/>
        <v>4544</v>
      </c>
      <c r="P47" s="5">
        <f>ROUND(O47/产出与消耗!T29,4)</f>
        <v>0.2147</v>
      </c>
      <c r="Q47" s="13">
        <v>2</v>
      </c>
      <c r="R47" s="14">
        <f t="shared" si="35"/>
        <v>1136</v>
      </c>
      <c r="S47" s="5">
        <f>ROUND(R47/产出与消耗!T51,4)</f>
        <v>6.5100000000000005E-2</v>
      </c>
      <c r="T47" s="9">
        <f t="shared" si="37"/>
        <v>0.5615</v>
      </c>
    </row>
    <row r="48" spans="1:20">
      <c r="B48">
        <v>5</v>
      </c>
      <c r="C48">
        <f>ROUND(C49-(C50-C49)/(产出与消耗!$K$10-产出与消耗!$K$9)*(产出与消耗!$K$9-产出与消耗!$K$8),0)</f>
        <v>905</v>
      </c>
      <c r="D48" s="13">
        <v>1.4</v>
      </c>
      <c r="E48">
        <f>ROUND(D48*C48/3600/(建筑!G90*基本公式!$B$153),2)</f>
        <v>0.18</v>
      </c>
      <c r="F48" s="13">
        <v>12</v>
      </c>
      <c r="G48" s="14">
        <f t="shared" si="32"/>
        <v>10860</v>
      </c>
      <c r="K48" s="13">
        <v>10</v>
      </c>
      <c r="L48" s="14">
        <f t="shared" si="33"/>
        <v>9050</v>
      </c>
      <c r="M48" s="5">
        <f>ROUND(L48/产出与消耗!T8,4)</f>
        <v>0.2354</v>
      </c>
      <c r="N48" s="13">
        <v>8</v>
      </c>
      <c r="O48" s="14">
        <f t="shared" si="34"/>
        <v>7240</v>
      </c>
      <c r="P48" s="5">
        <f>ROUND(O48/产出与消耗!T30,4)</f>
        <v>0.18840000000000001</v>
      </c>
      <c r="Q48" s="13">
        <v>2</v>
      </c>
      <c r="R48" s="14">
        <f t="shared" si="35"/>
        <v>1810</v>
      </c>
      <c r="S48" s="5">
        <f>ROUND(R48/产出与消耗!T52,4)</f>
        <v>6.1100000000000002E-2</v>
      </c>
      <c r="T48" s="9">
        <f t="shared" si="37"/>
        <v>0.4849</v>
      </c>
    </row>
    <row r="49" spans="1:20">
      <c r="B49">
        <v>6</v>
      </c>
      <c r="C49">
        <f>ROUND(C50-(C51-C50)/(产出与消耗!$K$11-产出与消耗!$K$10)*(产出与消耗!$K$10-产出与消耗!$K$9),0)</f>
        <v>1467</v>
      </c>
      <c r="D49" s="13">
        <v>1.4</v>
      </c>
      <c r="E49">
        <f>ROUND(D49*C49/3600/(建筑!G91*基本公式!$B$153),2)</f>
        <v>0.28999999999999998</v>
      </c>
      <c r="F49" s="13">
        <v>12</v>
      </c>
      <c r="G49" s="14">
        <f t="shared" si="32"/>
        <v>17604</v>
      </c>
      <c r="K49" s="13">
        <v>10</v>
      </c>
      <c r="L49" s="14">
        <f t="shared" si="33"/>
        <v>14670</v>
      </c>
      <c r="M49" s="5">
        <f>ROUND(L49/产出与消耗!T9,4)</f>
        <v>0.14599999999999999</v>
      </c>
      <c r="N49" s="13">
        <v>8</v>
      </c>
      <c r="O49" s="14">
        <f t="shared" si="34"/>
        <v>11736</v>
      </c>
      <c r="P49" s="5">
        <f>ROUND(O49/产出与消耗!T31,4)</f>
        <v>0.1168</v>
      </c>
      <c r="Q49" s="13">
        <v>2</v>
      </c>
      <c r="R49" s="14">
        <f t="shared" si="35"/>
        <v>2934</v>
      </c>
      <c r="S49" s="5">
        <f>ROUND(R49/产出与消耗!T53,4)</f>
        <v>4.1700000000000001E-2</v>
      </c>
      <c r="T49" s="9">
        <f t="shared" si="37"/>
        <v>0.30449999999999999</v>
      </c>
    </row>
    <row r="50" spans="1:20">
      <c r="B50">
        <v>7</v>
      </c>
      <c r="C50">
        <f>ROUND(C51-(C52-C51)/(产出与消耗!$K$12-产出与消耗!$K$11)*(产出与消耗!$K$11-产出与消耗!$K$10),0)</f>
        <v>2367</v>
      </c>
      <c r="D50" s="13">
        <v>1.4</v>
      </c>
      <c r="E50">
        <f>ROUND(D50*C50/3600/(建筑!G92*基本公式!$B$153),2)</f>
        <v>0.23</v>
      </c>
      <c r="F50" s="13">
        <v>12</v>
      </c>
      <c r="G50" s="14">
        <f t="shared" si="32"/>
        <v>28404</v>
      </c>
      <c r="K50" s="13">
        <v>10</v>
      </c>
      <c r="L50" s="14">
        <f t="shared" si="33"/>
        <v>23670</v>
      </c>
      <c r="M50" s="5">
        <f>ROUND(L50/产出与消耗!T10,4)</f>
        <v>9.9500000000000005E-2</v>
      </c>
      <c r="N50" s="13">
        <v>8</v>
      </c>
      <c r="O50" s="14">
        <f t="shared" si="34"/>
        <v>18936</v>
      </c>
      <c r="P50" s="5">
        <f>ROUND(O50/产出与消耗!T32,4)</f>
        <v>7.9600000000000004E-2</v>
      </c>
      <c r="Q50" s="13">
        <v>2</v>
      </c>
      <c r="R50" s="14">
        <f t="shared" si="35"/>
        <v>4734</v>
      </c>
      <c r="S50" s="5">
        <f>ROUND(R50/产出与消耗!T54,4)</f>
        <v>2.92E-2</v>
      </c>
      <c r="T50" s="9">
        <f t="shared" si="37"/>
        <v>0.20830000000000001</v>
      </c>
    </row>
    <row r="51" spans="1:20">
      <c r="A51" s="16"/>
      <c r="B51">
        <v>8</v>
      </c>
      <c r="C51">
        <f>ROUND(C52-(C53-C52)/(产出与消耗!$K$13-产出与消耗!$K$12)*(产出与消耗!$K$12-产出与消耗!$K$11),0)</f>
        <v>3829</v>
      </c>
      <c r="D51" s="13">
        <v>1.4</v>
      </c>
      <c r="E51">
        <f>ROUND(D51*C51/3600/(建筑!G93*基本公式!$B$153),2)</f>
        <v>0.37</v>
      </c>
      <c r="F51" s="13">
        <v>12</v>
      </c>
      <c r="G51" s="14">
        <f t="shared" si="32"/>
        <v>45948</v>
      </c>
      <c r="K51" s="13">
        <v>10</v>
      </c>
      <c r="L51" s="14">
        <f t="shared" si="33"/>
        <v>38290</v>
      </c>
      <c r="M51" s="5">
        <f>ROUND(L51/产出与消耗!T11,4)</f>
        <v>5.4100000000000002E-2</v>
      </c>
      <c r="N51" s="13">
        <v>8</v>
      </c>
      <c r="O51" s="14">
        <f t="shared" si="34"/>
        <v>30632</v>
      </c>
      <c r="P51" s="5">
        <f>ROUND(O51/产出与消耗!T33,4)</f>
        <v>4.3299999999999998E-2</v>
      </c>
      <c r="Q51" s="13">
        <v>2</v>
      </c>
      <c r="R51" s="14">
        <f t="shared" si="35"/>
        <v>7658</v>
      </c>
      <c r="S51" s="5">
        <f>ROUND(R51/产出与消耗!T55,4)</f>
        <v>1.61E-2</v>
      </c>
      <c r="T51" s="9">
        <f t="shared" si="37"/>
        <v>0.1135</v>
      </c>
    </row>
    <row r="52" spans="1:20">
      <c r="B52">
        <v>9</v>
      </c>
      <c r="C52">
        <f>ROUND(C53-(C54-C53)/(产出与消耗!$K$14-产出与消耗!$K$13)*(产出与消耗!$K$13-产出与消耗!$K$12),0)</f>
        <v>5291</v>
      </c>
      <c r="D52" s="13">
        <v>1.4</v>
      </c>
      <c r="E52">
        <f>ROUND(D52*C52/3600/(建筑!G94*基本公式!$B$153),2)</f>
        <v>0.51</v>
      </c>
      <c r="F52" s="13">
        <v>12</v>
      </c>
      <c r="G52" s="14">
        <f t="shared" si="32"/>
        <v>63492</v>
      </c>
      <c r="K52" s="13">
        <v>10</v>
      </c>
      <c r="L52" s="14">
        <f t="shared" si="33"/>
        <v>52910</v>
      </c>
      <c r="M52" s="5">
        <f>ROUND(L52/产出与消耗!T12,4)</f>
        <v>3.2199999999999999E-2</v>
      </c>
      <c r="N52" s="13">
        <v>8</v>
      </c>
      <c r="O52" s="14">
        <f t="shared" si="34"/>
        <v>42328</v>
      </c>
      <c r="P52" s="5">
        <f>ROUND(O52/产出与消耗!T34,4)</f>
        <v>2.5700000000000001E-2</v>
      </c>
      <c r="Q52" s="13">
        <v>2</v>
      </c>
      <c r="R52" s="14">
        <f t="shared" si="35"/>
        <v>10582</v>
      </c>
      <c r="S52" s="5">
        <f>ROUND(R52/产出与消耗!T56,4)</f>
        <v>9.5999999999999992E-3</v>
      </c>
      <c r="T52" s="9">
        <f t="shared" si="37"/>
        <v>6.7500000000000004E-2</v>
      </c>
    </row>
    <row r="53" spans="1:20">
      <c r="A53" s="21" t="s">
        <v>209</v>
      </c>
      <c r="B53">
        <v>10</v>
      </c>
      <c r="C53">
        <f>ROUND(C54-(C55-C54)/(产出与消耗!$K$15-产出与消耗!$K$14)*(产出与消耗!$K$14-产出与消耗!$K$13),0)</f>
        <v>7653</v>
      </c>
      <c r="D53" s="13">
        <v>1.4</v>
      </c>
      <c r="E53">
        <f>ROUND(D53*C53/3600/(建筑!G95*基本公式!$B$153),2)</f>
        <v>0.74</v>
      </c>
      <c r="F53" s="13">
        <v>12</v>
      </c>
      <c r="G53" s="14">
        <f t="shared" si="32"/>
        <v>91836</v>
      </c>
      <c r="K53" s="13">
        <v>10</v>
      </c>
      <c r="L53" s="14">
        <f t="shared" si="33"/>
        <v>76530</v>
      </c>
      <c r="M53" s="5">
        <f>ROUND(L53/产出与消耗!T13,4)</f>
        <v>1.9599999999999999E-2</v>
      </c>
      <c r="N53" s="13">
        <v>8</v>
      </c>
      <c r="O53" s="14">
        <f t="shared" si="34"/>
        <v>61224</v>
      </c>
      <c r="P53" s="5">
        <f>ROUND(O53/产出与消耗!T35,4)</f>
        <v>1.5699999999999999E-2</v>
      </c>
      <c r="Q53" s="13">
        <v>2</v>
      </c>
      <c r="R53" s="14">
        <f t="shared" si="35"/>
        <v>15306</v>
      </c>
      <c r="S53" s="5">
        <f>ROUND(R53/产出与消耗!T57,4)</f>
        <v>5.8999999999999999E-3</v>
      </c>
      <c r="T53" s="9">
        <f t="shared" si="37"/>
        <v>4.1200000000000001E-2</v>
      </c>
    </row>
    <row r="54" spans="1:20">
      <c r="B54">
        <v>11</v>
      </c>
      <c r="C54">
        <f>ROUND(C55-(C56-C55)/(产出与消耗!$K$16-产出与消耗!$K$15)*(产出与消耗!$K$15-产出与消耗!$K$14),0)</f>
        <v>9115</v>
      </c>
      <c r="D54" s="13">
        <v>1.4</v>
      </c>
      <c r="E54">
        <f>ROUND(D54*C54/3600/(建筑!G96*基本公式!$B$153),2)</f>
        <v>0.89</v>
      </c>
      <c r="F54" s="13">
        <v>12</v>
      </c>
      <c r="G54" s="14">
        <f t="shared" si="32"/>
        <v>109380</v>
      </c>
      <c r="K54" s="13">
        <v>10</v>
      </c>
      <c r="L54" s="14">
        <f t="shared" si="33"/>
        <v>91150</v>
      </c>
      <c r="M54" s="5">
        <f>ROUND(L54/产出与消耗!T14,4)</f>
        <v>1.15E-2</v>
      </c>
      <c r="N54" s="13">
        <v>8</v>
      </c>
      <c r="O54" s="14">
        <f t="shared" si="34"/>
        <v>72920</v>
      </c>
      <c r="P54" s="5">
        <f>ROUND(O54/产出与消耗!T36,4)</f>
        <v>9.1999999999999998E-3</v>
      </c>
      <c r="Q54" s="13">
        <v>2</v>
      </c>
      <c r="R54" s="14">
        <f t="shared" si="35"/>
        <v>18230</v>
      </c>
      <c r="S54" s="5">
        <f>ROUND(R54/产出与消耗!T58,4)</f>
        <v>3.3999999999999998E-3</v>
      </c>
      <c r="T54" s="9">
        <f t="shared" si="37"/>
        <v>2.41E-2</v>
      </c>
    </row>
    <row r="55" spans="1:20">
      <c r="B55">
        <v>12</v>
      </c>
      <c r="C55">
        <f>ROUND(C56-(C57-C56)/(产出与消耗!$K$17-产出与消耗!$K$16)*(产出与消耗!$K$16-产出与消耗!$K$15),0)</f>
        <v>12939</v>
      </c>
      <c r="D55" s="13">
        <v>1.4</v>
      </c>
      <c r="E55">
        <f>ROUND(D55*C55/3600/(建筑!G97*基本公式!$B$153),2)</f>
        <v>0.84</v>
      </c>
      <c r="F55" s="13">
        <v>12</v>
      </c>
      <c r="G55" s="14">
        <f t="shared" si="32"/>
        <v>155268</v>
      </c>
      <c r="K55" s="13">
        <v>10</v>
      </c>
      <c r="L55" s="14">
        <f t="shared" si="33"/>
        <v>129390</v>
      </c>
      <c r="M55" s="5">
        <f>ROUND(L55/产出与消耗!T15,4)</f>
        <v>7.3000000000000001E-3</v>
      </c>
      <c r="N55" s="13">
        <v>8</v>
      </c>
      <c r="O55" s="14">
        <f t="shared" si="34"/>
        <v>103512</v>
      </c>
      <c r="P55" s="5">
        <f>ROUND(O55/产出与消耗!T37,4)</f>
        <v>5.7999999999999996E-3</v>
      </c>
      <c r="Q55" s="13">
        <v>2</v>
      </c>
      <c r="R55" s="14">
        <f t="shared" si="35"/>
        <v>25878</v>
      </c>
      <c r="S55" s="5">
        <f>ROUND(R55/产出与消耗!T59,4)</f>
        <v>2.2000000000000001E-3</v>
      </c>
      <c r="T55" s="9">
        <f t="shared" si="37"/>
        <v>1.5299999999999999E-2</v>
      </c>
    </row>
    <row r="56" spans="1:20">
      <c r="A56" s="16"/>
      <c r="B56">
        <v>13</v>
      </c>
      <c r="C56">
        <f>ROUND(C57-(C58-C57)/(产出与消耗!$K$18-产出与消耗!$K$17)*(产出与消耗!$K$17-产出与消耗!$K$16),0)</f>
        <v>16201</v>
      </c>
      <c r="D56" s="13">
        <v>1.4</v>
      </c>
      <c r="E56">
        <f>ROUND(D56*C56/3600/(建筑!G98*基本公式!$B$153),2)</f>
        <v>1.05</v>
      </c>
      <c r="F56" s="13">
        <v>12</v>
      </c>
      <c r="G56" s="14">
        <f t="shared" si="32"/>
        <v>194412</v>
      </c>
      <c r="K56" s="13">
        <v>10</v>
      </c>
      <c r="L56" s="14">
        <f t="shared" si="33"/>
        <v>162010</v>
      </c>
      <c r="M56" s="5">
        <f>ROUND(L56/产出与消耗!T16,4)</f>
        <v>4.7000000000000002E-3</v>
      </c>
      <c r="N56" s="13">
        <v>8</v>
      </c>
      <c r="O56" s="14">
        <f t="shared" si="34"/>
        <v>129608</v>
      </c>
      <c r="P56" s="5">
        <f>ROUND(O56/产出与消耗!T38,4)</f>
        <v>3.8E-3</v>
      </c>
      <c r="Q56" s="13">
        <v>2</v>
      </c>
      <c r="R56" s="14">
        <f t="shared" si="35"/>
        <v>32402</v>
      </c>
      <c r="S56" s="5">
        <f>ROUND(R56/产出与消耗!T60,4)</f>
        <v>1.4E-3</v>
      </c>
      <c r="T56" s="9">
        <f t="shared" si="37"/>
        <v>9.9000000000000008E-3</v>
      </c>
    </row>
    <row r="57" spans="1:20">
      <c r="A57" s="21" t="s">
        <v>210</v>
      </c>
      <c r="B57">
        <v>14</v>
      </c>
      <c r="C57">
        <f>ROUND(C58-(C59-C58)/(产出与消耗!$K$19-产出与消耗!$K$18)*(产出与消耗!$K$18-产出与消耗!$K$17),0)</f>
        <v>19126</v>
      </c>
      <c r="D57" s="13">
        <v>1.4</v>
      </c>
      <c r="E57">
        <f>ROUND(D57*C57/3600/(建筑!G99*基本公式!$B$153),2)</f>
        <v>1.24</v>
      </c>
      <c r="F57" s="13">
        <v>12</v>
      </c>
      <c r="G57" s="14">
        <f t="shared" si="32"/>
        <v>229512</v>
      </c>
      <c r="K57" s="13">
        <v>10</v>
      </c>
      <c r="L57" s="14">
        <f t="shared" si="33"/>
        <v>191260</v>
      </c>
      <c r="M57" s="5">
        <f>ROUND(L57/产出与消耗!T17,4)</f>
        <v>3.2000000000000002E-3</v>
      </c>
      <c r="N57" s="13">
        <v>8</v>
      </c>
      <c r="O57" s="14">
        <f t="shared" si="34"/>
        <v>153008</v>
      </c>
      <c r="P57" s="5">
        <f>ROUND(O57/产出与消耗!T39,4)</f>
        <v>2.5999999999999999E-3</v>
      </c>
      <c r="Q57" s="13">
        <v>2</v>
      </c>
      <c r="R57" s="14">
        <f t="shared" si="35"/>
        <v>38252</v>
      </c>
      <c r="S57" s="5">
        <f>ROUND(R57/产出与消耗!T61,4)</f>
        <v>1E-3</v>
      </c>
      <c r="T57" s="9">
        <f t="shared" si="37"/>
        <v>6.7999999999999996E-3</v>
      </c>
    </row>
    <row r="58" spans="1:20">
      <c r="B58">
        <v>15</v>
      </c>
      <c r="C58">
        <f>ROUND(C59-(C60-C59)/(产出与消耗!$K$20-产出与消耗!$K$19)*(产出与消耗!$K$19-产出与消耗!$K$18),0)</f>
        <v>22501</v>
      </c>
      <c r="D58" s="13">
        <v>1.4</v>
      </c>
      <c r="E58">
        <f>ROUND(D58*C58/3600/(建筑!G100*基本公式!$B$153),2)</f>
        <v>1.46</v>
      </c>
      <c r="F58" s="13">
        <v>12</v>
      </c>
      <c r="G58" s="14">
        <f t="shared" si="32"/>
        <v>270012</v>
      </c>
      <c r="K58" s="13">
        <v>10</v>
      </c>
      <c r="L58" s="14">
        <f t="shared" si="33"/>
        <v>225010</v>
      </c>
      <c r="M58" s="5">
        <f>ROUND(L58/产出与消耗!T18,4)</f>
        <v>2.3E-3</v>
      </c>
      <c r="N58" s="13">
        <v>8</v>
      </c>
      <c r="O58" s="14">
        <f t="shared" si="34"/>
        <v>180008</v>
      </c>
      <c r="P58" s="5">
        <f>ROUND(O58/产出与消耗!T40,4)</f>
        <v>1.9E-3</v>
      </c>
      <c r="Q58" s="13">
        <v>2</v>
      </c>
      <c r="R58" s="14">
        <f t="shared" si="35"/>
        <v>45002</v>
      </c>
      <c r="S58" s="5">
        <f>ROUND(R58/产出与消耗!T62,4)</f>
        <v>6.9999999999999999E-4</v>
      </c>
      <c r="T58" s="9">
        <f t="shared" si="37"/>
        <v>4.8999999999999998E-3</v>
      </c>
    </row>
    <row r="59" spans="1:20">
      <c r="B59">
        <v>16</v>
      </c>
      <c r="C59">
        <f>ROUND(C60-(C61-C60)/(产出与消耗!$K$21-产出与消耗!$K$20)*(产出与消耗!$K$20-产出与消耗!$K$19),0)</f>
        <v>25876</v>
      </c>
      <c r="D59" s="13">
        <v>1.4</v>
      </c>
      <c r="E59">
        <f>ROUND(D59*C59/3600/(建筑!G101*基本公式!$B$153),2)</f>
        <v>1.26</v>
      </c>
      <c r="F59" s="13">
        <v>12</v>
      </c>
      <c r="G59" s="14">
        <f t="shared" si="32"/>
        <v>310512</v>
      </c>
      <c r="K59" s="13">
        <v>10</v>
      </c>
      <c r="L59" s="14">
        <f t="shared" si="33"/>
        <v>258760</v>
      </c>
      <c r="M59" s="5">
        <f>ROUND(L59/产出与消耗!T19,4)</f>
        <v>1.6999999999999999E-3</v>
      </c>
      <c r="N59" s="13">
        <v>8</v>
      </c>
      <c r="O59" s="14">
        <f t="shared" si="34"/>
        <v>207008</v>
      </c>
      <c r="P59" s="5">
        <f>ROUND(O59/产出与消耗!T41,4)</f>
        <v>1.4E-3</v>
      </c>
      <c r="Q59" s="13">
        <v>2</v>
      </c>
      <c r="R59" s="14">
        <f t="shared" si="35"/>
        <v>51752</v>
      </c>
      <c r="S59" s="5">
        <f>ROUND(R59/产出与消耗!T63,4)</f>
        <v>5.0000000000000001E-4</v>
      </c>
      <c r="T59" s="9">
        <f t="shared" si="37"/>
        <v>3.5999999999999999E-3</v>
      </c>
    </row>
    <row r="60" spans="1:20">
      <c r="B60">
        <v>17</v>
      </c>
      <c r="C60">
        <f>ROUND(C61-(C62-C61)/(产出与消耗!$K$22-产出与消耗!$K$21)*(产出与消耗!$K$21-产出与消耗!$K$20),0)</f>
        <v>29588</v>
      </c>
      <c r="D60" s="13">
        <v>1.4</v>
      </c>
      <c r="E60">
        <f>ROUND(D60*C60/3600/(建筑!G102*基本公式!$B$153),2)</f>
        <v>1.44</v>
      </c>
      <c r="F60" s="13">
        <v>12</v>
      </c>
      <c r="G60" s="14">
        <f t="shared" si="32"/>
        <v>355056</v>
      </c>
      <c r="K60" s="13">
        <v>10</v>
      </c>
      <c r="L60" s="14">
        <f t="shared" si="33"/>
        <v>295880</v>
      </c>
      <c r="M60" s="5">
        <f>ROUND(L60/产出与消耗!T20,4)</f>
        <v>1.2999999999999999E-3</v>
      </c>
      <c r="N60" s="13">
        <v>8</v>
      </c>
      <c r="O60" s="14">
        <f t="shared" si="34"/>
        <v>236704</v>
      </c>
      <c r="P60" s="5">
        <f>ROUND(O60/产出与消耗!T42,4)</f>
        <v>1.1000000000000001E-3</v>
      </c>
      <c r="Q60" s="13">
        <v>2</v>
      </c>
      <c r="R60" s="14">
        <f t="shared" si="35"/>
        <v>59176</v>
      </c>
      <c r="S60" s="5">
        <f>ROUND(R60/产出与消耗!T64,4)</f>
        <v>4.0000000000000002E-4</v>
      </c>
      <c r="T60" s="9">
        <f t="shared" si="37"/>
        <v>2.8E-3</v>
      </c>
    </row>
    <row r="61" spans="1:20">
      <c r="B61">
        <v>18</v>
      </c>
      <c r="C61">
        <f>ROUND(C62-(C63-C62)/(产出与消耗!$K$23-产出与消耗!$K$22)*(产出与消耗!$K$22-产出与消耗!$K$21),0)</f>
        <v>33750</v>
      </c>
      <c r="D61" s="13">
        <v>1.4</v>
      </c>
      <c r="E61">
        <f>ROUND(D61*C61/3600/(建筑!G103*基本公式!$B$153),2)</f>
        <v>1.64</v>
      </c>
      <c r="F61" s="13">
        <v>12</v>
      </c>
      <c r="G61" s="14">
        <f t="shared" si="32"/>
        <v>405000</v>
      </c>
      <c r="K61" s="13">
        <v>10</v>
      </c>
      <c r="L61" s="14">
        <f t="shared" si="33"/>
        <v>337500</v>
      </c>
      <c r="M61" s="5">
        <f>ROUND(L61/产出与消耗!T21,4)</f>
        <v>1E-3</v>
      </c>
      <c r="N61" s="13">
        <v>8</v>
      </c>
      <c r="O61" s="14">
        <f t="shared" si="34"/>
        <v>270000</v>
      </c>
      <c r="P61" s="5">
        <f>ROUND(O61/产出与消耗!T43,4)</f>
        <v>8.0000000000000004E-4</v>
      </c>
      <c r="Q61" s="13">
        <v>2</v>
      </c>
      <c r="R61" s="14">
        <f t="shared" si="35"/>
        <v>67500</v>
      </c>
      <c r="S61" s="5">
        <f>ROUND(R61/产出与消耗!T65,4)</f>
        <v>2.9999999999999997E-4</v>
      </c>
      <c r="T61" s="9">
        <f t="shared" si="37"/>
        <v>2.0999999999999999E-3</v>
      </c>
    </row>
    <row r="62" spans="1:20">
      <c r="A62" s="22" t="s">
        <v>211</v>
      </c>
      <c r="B62">
        <v>19</v>
      </c>
      <c r="C62">
        <f>ROUND(产出与消耗!$K$22*C63/产出与消耗!$K$23,0)</f>
        <v>38250</v>
      </c>
      <c r="D62" s="13">
        <v>1.4</v>
      </c>
      <c r="E62">
        <f>ROUND(D62*C62/3600/(建筑!G104*基本公式!$B$153),2)</f>
        <v>1.86</v>
      </c>
      <c r="F62" s="13">
        <v>12</v>
      </c>
      <c r="G62" s="14">
        <f t="shared" si="32"/>
        <v>459000</v>
      </c>
      <c r="K62" s="13">
        <v>10</v>
      </c>
      <c r="L62" s="14">
        <f t="shared" si="33"/>
        <v>382500</v>
      </c>
      <c r="M62" s="5">
        <f>ROUND(L62/产出与消耗!T22,4)</f>
        <v>8.0000000000000004E-4</v>
      </c>
      <c r="N62" s="13">
        <v>8</v>
      </c>
      <c r="O62" s="14">
        <f t="shared" si="34"/>
        <v>306000</v>
      </c>
      <c r="P62" s="5">
        <f>ROUND(O62/产出与消耗!T44,4)</f>
        <v>6.9999999999999999E-4</v>
      </c>
      <c r="Q62" s="13">
        <v>2</v>
      </c>
      <c r="R62" s="14">
        <f t="shared" si="35"/>
        <v>76500</v>
      </c>
      <c r="S62" s="5">
        <f>ROUND(R62/产出与消耗!T66,4)</f>
        <v>2.0000000000000001E-4</v>
      </c>
      <c r="T62" s="9">
        <f t="shared" si="37"/>
        <v>1.6999999999999999E-3</v>
      </c>
    </row>
    <row r="63" spans="1:20">
      <c r="B63">
        <v>20</v>
      </c>
      <c r="C63">
        <v>45000</v>
      </c>
      <c r="D63" s="13">
        <v>1.4</v>
      </c>
      <c r="E63">
        <f>ROUND(D63*C63/3600/(建筑!G105*基本公式!$B$153),2)</f>
        <v>1.75</v>
      </c>
      <c r="F63" s="13">
        <v>12</v>
      </c>
      <c r="G63" s="14">
        <f t="shared" si="32"/>
        <v>540000</v>
      </c>
      <c r="K63" s="13">
        <v>10</v>
      </c>
      <c r="L63" s="14">
        <f t="shared" si="33"/>
        <v>450000</v>
      </c>
      <c r="M63" s="5">
        <f>ROUND(L63/产出与消耗!T23,4)</f>
        <v>6.9999999999999999E-4</v>
      </c>
      <c r="N63" s="13">
        <v>8</v>
      </c>
      <c r="O63" s="14">
        <f t="shared" si="34"/>
        <v>360000</v>
      </c>
      <c r="P63" s="5">
        <f>ROUND(O63/产出与消耗!T45,4)</f>
        <v>5.0000000000000001E-4</v>
      </c>
      <c r="Q63" s="13">
        <v>2</v>
      </c>
      <c r="R63" s="14">
        <f t="shared" si="35"/>
        <v>90000</v>
      </c>
      <c r="S63" s="5">
        <f>ROUND(R63/产出与消耗!T67,4)</f>
        <v>2.0000000000000001E-4</v>
      </c>
      <c r="T63" s="9">
        <f t="shared" si="37"/>
        <v>1.4E-3</v>
      </c>
    </row>
    <row r="65" spans="1:20">
      <c r="A65" t="s">
        <v>182</v>
      </c>
      <c r="B65">
        <v>1</v>
      </c>
      <c r="C65">
        <f>ROUND(C66-(C67-C66)/(产出与消耗!$K$6-产出与消耗!$K$5)*(产出与消耗!$K$5-产出与消耗!$K$4),0)</f>
        <v>119</v>
      </c>
      <c r="D65" s="13">
        <v>3</v>
      </c>
      <c r="E65">
        <f>ROUND(D65*C65/3600/建筑!I128,2)</f>
        <v>0.1</v>
      </c>
      <c r="F65" s="13">
        <v>5</v>
      </c>
      <c r="G65" s="14">
        <f t="shared" ref="G65" si="38">F65*C65</f>
        <v>595</v>
      </c>
      <c r="K65" s="13">
        <v>4</v>
      </c>
      <c r="L65" s="14">
        <f t="shared" ref="L65" si="39">ROUND(K65*C65,0)</f>
        <v>476</v>
      </c>
      <c r="M65" s="5">
        <f>ROUND(L65/产出与消耗!T4,4)</f>
        <v>0.1181</v>
      </c>
      <c r="N65" s="13">
        <v>8</v>
      </c>
      <c r="O65" s="14">
        <f t="shared" ref="O65" si="40">ROUND(N65*C65,0)</f>
        <v>952</v>
      </c>
      <c r="P65" s="5">
        <f>ROUND(O65/产出与消耗!T26,4)</f>
        <v>0.1893</v>
      </c>
      <c r="Q65" s="13">
        <v>6</v>
      </c>
      <c r="R65" s="14">
        <f t="shared" ref="R65" si="41">ROUND(Q65*C65,0)</f>
        <v>714</v>
      </c>
      <c r="S65" s="5">
        <f>ROUND(R65/产出与消耗!T48,4)</f>
        <v>0.1777</v>
      </c>
      <c r="T65" s="9">
        <f>M65+P65+S65</f>
        <v>0.48509999999999998</v>
      </c>
    </row>
    <row r="66" spans="1:20">
      <c r="B66">
        <v>2</v>
      </c>
      <c r="C66">
        <f>ROUND(C67-(C68-C67)/(产出与消耗!$K$7-产出与消耗!$K$6)*(产出与消耗!$K$6-产出与消耗!$K$5),0)</f>
        <v>231</v>
      </c>
      <c r="D66" s="13">
        <v>3</v>
      </c>
      <c r="E66">
        <f>ROUND(D66*C66/3600/建筑!I129,2)</f>
        <v>0.19</v>
      </c>
      <c r="F66" s="13">
        <v>5</v>
      </c>
      <c r="G66" s="14">
        <f t="shared" ref="G66:G84" si="42">F66*C66</f>
        <v>1155</v>
      </c>
      <c r="K66" s="13">
        <v>4</v>
      </c>
      <c r="L66" s="14">
        <f t="shared" ref="L66:L84" si="43">ROUND(K66*C66,0)</f>
        <v>924</v>
      </c>
      <c r="M66" s="5">
        <f>ROUND(L66/产出与消耗!T5,4)</f>
        <v>0.12640000000000001</v>
      </c>
      <c r="N66" s="13">
        <v>8</v>
      </c>
      <c r="O66" s="14">
        <f t="shared" ref="O66:O84" si="44">ROUND(N66*C66,0)</f>
        <v>1848</v>
      </c>
      <c r="P66" s="5">
        <f>ROUND(O66/产出与消耗!T27,4)</f>
        <v>0.22239999999999999</v>
      </c>
      <c r="Q66" s="13">
        <v>6</v>
      </c>
      <c r="R66" s="14">
        <f t="shared" ref="R66:R84" si="45">ROUND(Q66*C66,0)</f>
        <v>1386</v>
      </c>
      <c r="S66" s="5">
        <f>ROUND(R66/产出与消耗!T49,4)</f>
        <v>0.1923</v>
      </c>
      <c r="T66" s="9">
        <f t="shared" ref="T66" si="46">M66+P66+S66</f>
        <v>0.54110000000000003</v>
      </c>
    </row>
    <row r="67" spans="1:20">
      <c r="B67">
        <v>3</v>
      </c>
      <c r="C67">
        <f>ROUND(C68-(C69-C68)/(产出与消耗!$K$8-产出与消耗!$K$7)*(产出与消耗!$K$7-产出与消耗!$K$6),0)</f>
        <v>343</v>
      </c>
      <c r="D67" s="13">
        <v>3</v>
      </c>
      <c r="E67">
        <f>ROUND(D67*C67/3600/建筑!I130,2)</f>
        <v>0.28999999999999998</v>
      </c>
      <c r="F67" s="13">
        <v>5</v>
      </c>
      <c r="G67" s="14">
        <f t="shared" si="42"/>
        <v>1715</v>
      </c>
      <c r="K67" s="13">
        <v>4</v>
      </c>
      <c r="L67" s="14">
        <f t="shared" si="43"/>
        <v>1372</v>
      </c>
      <c r="M67" s="5">
        <f>ROUND(L67/产出与消耗!T6,4)</f>
        <v>0.11409999999999999</v>
      </c>
      <c r="N67" s="13">
        <v>8</v>
      </c>
      <c r="O67" s="14">
        <f t="shared" si="44"/>
        <v>2744</v>
      </c>
      <c r="P67" s="5">
        <f>ROUND(O67/产出与消耗!T28,4)</f>
        <v>0.2107</v>
      </c>
      <c r="Q67" s="13">
        <v>6</v>
      </c>
      <c r="R67" s="14">
        <f t="shared" si="45"/>
        <v>2058</v>
      </c>
      <c r="S67" s="5">
        <f>ROUND(R67/产出与消耗!T50,4)</f>
        <v>0.18140000000000001</v>
      </c>
      <c r="T67" s="9">
        <f t="shared" ref="T67:T84" si="47">M67+P67+S67</f>
        <v>0.50619999999999998</v>
      </c>
    </row>
    <row r="68" spans="1:20">
      <c r="B68">
        <v>4</v>
      </c>
      <c r="C68">
        <f>ROUND(C69-(C70-C69)/(产出与消耗!$K$9-产出与消耗!$K$8)*(产出与消耗!$K$8-产出与消耗!$K$7),0)</f>
        <v>568</v>
      </c>
      <c r="D68" s="13">
        <v>3</v>
      </c>
      <c r="E68">
        <f>ROUND(D68*C68/3600/建筑!I131,2)</f>
        <v>0.47</v>
      </c>
      <c r="F68" s="13">
        <v>5</v>
      </c>
      <c r="G68" s="14">
        <f t="shared" si="42"/>
        <v>2840</v>
      </c>
      <c r="K68" s="13">
        <v>4</v>
      </c>
      <c r="L68" s="14">
        <f t="shared" si="43"/>
        <v>2272</v>
      </c>
      <c r="M68" s="5">
        <f>ROUND(L68/产出与消耗!T7,4)</f>
        <v>0.11269999999999999</v>
      </c>
      <c r="N68" s="13">
        <v>8</v>
      </c>
      <c r="O68" s="14">
        <f t="shared" si="44"/>
        <v>4544</v>
      </c>
      <c r="P68" s="5">
        <f>ROUND(O68/产出与消耗!T29,4)</f>
        <v>0.2147</v>
      </c>
      <c r="Q68" s="13">
        <v>6</v>
      </c>
      <c r="R68" s="14">
        <f t="shared" si="45"/>
        <v>3408</v>
      </c>
      <c r="S68" s="5">
        <f>ROUND(R68/产出与消耗!T51,4)</f>
        <v>0.19539999999999999</v>
      </c>
      <c r="T68" s="9">
        <f t="shared" si="47"/>
        <v>0.52280000000000004</v>
      </c>
    </row>
    <row r="69" spans="1:20">
      <c r="B69">
        <v>5</v>
      </c>
      <c r="C69">
        <f>ROUND(C70-(C71-C70)/(产出与消耗!$K$10-产出与消耗!$K$9)*(产出与消耗!$K$9-产出与消耗!$K$8),0)</f>
        <v>905</v>
      </c>
      <c r="D69" s="13">
        <v>3</v>
      </c>
      <c r="E69">
        <f>ROUND(D69*C69/3600/建筑!I132,2)</f>
        <v>0.75</v>
      </c>
      <c r="F69" s="13">
        <v>5</v>
      </c>
      <c r="G69" s="14">
        <f t="shared" si="42"/>
        <v>4525</v>
      </c>
      <c r="K69" s="13">
        <v>4</v>
      </c>
      <c r="L69" s="14">
        <f t="shared" si="43"/>
        <v>3620</v>
      </c>
      <c r="M69" s="5">
        <f>ROUND(L69/产出与消耗!T8,4)</f>
        <v>9.4200000000000006E-2</v>
      </c>
      <c r="N69" s="13">
        <v>8</v>
      </c>
      <c r="O69" s="14">
        <f t="shared" si="44"/>
        <v>7240</v>
      </c>
      <c r="P69" s="5">
        <f>ROUND(O69/产出与消耗!T30,4)</f>
        <v>0.18840000000000001</v>
      </c>
      <c r="Q69" s="13">
        <v>6</v>
      </c>
      <c r="R69" s="14">
        <f t="shared" si="45"/>
        <v>5430</v>
      </c>
      <c r="S69" s="5">
        <f>ROUND(R69/产出与消耗!T52,4)</f>
        <v>0.18329999999999999</v>
      </c>
      <c r="T69" s="9">
        <f t="shared" si="47"/>
        <v>0.46589999999999998</v>
      </c>
    </row>
    <row r="70" spans="1:20">
      <c r="B70">
        <v>6</v>
      </c>
      <c r="C70">
        <f>ROUND(C71-(C72-C71)/(产出与消耗!$K$11-产出与消耗!$K$10)*(产出与消耗!$K$10-产出与消耗!$K$9),0)</f>
        <v>1467</v>
      </c>
      <c r="D70" s="13">
        <v>3</v>
      </c>
      <c r="E70">
        <f>ROUND(D70*C70/3600/建筑!I133,2)</f>
        <v>1.22</v>
      </c>
      <c r="F70" s="13">
        <v>5</v>
      </c>
      <c r="G70" s="14">
        <f t="shared" si="42"/>
        <v>7335</v>
      </c>
      <c r="K70" s="13">
        <v>4</v>
      </c>
      <c r="L70" s="14">
        <f t="shared" si="43"/>
        <v>5868</v>
      </c>
      <c r="M70" s="5">
        <f>ROUND(L70/产出与消耗!T9,4)</f>
        <v>5.8400000000000001E-2</v>
      </c>
      <c r="N70" s="13">
        <v>8</v>
      </c>
      <c r="O70" s="14">
        <f t="shared" si="44"/>
        <v>11736</v>
      </c>
      <c r="P70" s="5">
        <f>ROUND(O70/产出与消耗!T31,4)</f>
        <v>0.1168</v>
      </c>
      <c r="Q70" s="13">
        <v>6</v>
      </c>
      <c r="R70" s="14">
        <f t="shared" si="45"/>
        <v>8802</v>
      </c>
      <c r="S70" s="5">
        <f>ROUND(R70/产出与消耗!T53,4)</f>
        <v>0.12520000000000001</v>
      </c>
      <c r="T70" s="9">
        <f t="shared" si="47"/>
        <v>0.3004</v>
      </c>
    </row>
    <row r="71" spans="1:20">
      <c r="B71">
        <v>7</v>
      </c>
      <c r="C71">
        <f>ROUND(C72-(C73-C72)/(产出与消耗!$K$12-产出与消耗!$K$11)*(产出与消耗!$K$11-产出与消耗!$K$10),0)</f>
        <v>2367</v>
      </c>
      <c r="D71" s="13">
        <v>3</v>
      </c>
      <c r="E71">
        <f>ROUND(D71*C71/3600/建筑!I134,2)</f>
        <v>0.99</v>
      </c>
      <c r="F71" s="13">
        <v>5</v>
      </c>
      <c r="G71" s="14">
        <f t="shared" si="42"/>
        <v>11835</v>
      </c>
      <c r="K71" s="13">
        <v>4</v>
      </c>
      <c r="L71" s="14">
        <f t="shared" si="43"/>
        <v>9468</v>
      </c>
      <c r="M71" s="5">
        <f>ROUND(L71/产出与消耗!T10,4)</f>
        <v>3.9800000000000002E-2</v>
      </c>
      <c r="N71" s="13">
        <v>8</v>
      </c>
      <c r="O71" s="14">
        <f t="shared" si="44"/>
        <v>18936</v>
      </c>
      <c r="P71" s="5">
        <f>ROUND(O71/产出与消耗!T32,4)</f>
        <v>7.9600000000000004E-2</v>
      </c>
      <c r="Q71" s="13">
        <v>6</v>
      </c>
      <c r="R71" s="14">
        <f t="shared" si="45"/>
        <v>14202</v>
      </c>
      <c r="S71" s="5">
        <f>ROUND(R71/产出与消耗!T54,4)</f>
        <v>8.77E-2</v>
      </c>
      <c r="T71" s="9">
        <f t="shared" si="47"/>
        <v>0.20710000000000001</v>
      </c>
    </row>
    <row r="72" spans="1:20">
      <c r="A72" s="16"/>
      <c r="B72">
        <v>8</v>
      </c>
      <c r="C72">
        <f>ROUND(C73-(C74-C73)/(产出与消耗!$K$13-产出与消耗!$K$12)*(产出与消耗!$K$12-产出与消耗!$K$11),0)</f>
        <v>3829</v>
      </c>
      <c r="D72" s="13">
        <v>3</v>
      </c>
      <c r="E72">
        <f>ROUND(D72*C72/3600/建筑!I135,2)</f>
        <v>1.6</v>
      </c>
      <c r="F72" s="13">
        <v>5</v>
      </c>
      <c r="G72" s="14">
        <f t="shared" si="42"/>
        <v>19145</v>
      </c>
      <c r="K72" s="13">
        <v>4</v>
      </c>
      <c r="L72" s="14">
        <f t="shared" si="43"/>
        <v>15316</v>
      </c>
      <c r="M72" s="5">
        <f>ROUND(L72/产出与消耗!T11,4)</f>
        <v>2.1700000000000001E-2</v>
      </c>
      <c r="N72" s="13">
        <v>8</v>
      </c>
      <c r="O72" s="14">
        <f t="shared" si="44"/>
        <v>30632</v>
      </c>
      <c r="P72" s="5">
        <f>ROUND(O72/产出与消耗!T33,4)</f>
        <v>4.3299999999999998E-2</v>
      </c>
      <c r="Q72" s="13">
        <v>6</v>
      </c>
      <c r="R72" s="14">
        <f t="shared" si="45"/>
        <v>22974</v>
      </c>
      <c r="S72" s="5">
        <f>ROUND(R72/产出与消耗!T55,4)</f>
        <v>4.8399999999999999E-2</v>
      </c>
      <c r="T72" s="9">
        <f t="shared" si="47"/>
        <v>0.1134</v>
      </c>
    </row>
    <row r="73" spans="1:20">
      <c r="B73">
        <v>9</v>
      </c>
      <c r="C73">
        <f>ROUND(C74-(C75-C74)/(产出与消耗!$K$14-产出与消耗!$K$13)*(产出与消耗!$K$13-产出与消耗!$K$12),0)</f>
        <v>5291</v>
      </c>
      <c r="D73" s="13">
        <v>3</v>
      </c>
      <c r="E73">
        <f>ROUND(D73*C73/3600/建筑!I136,2)</f>
        <v>2.2000000000000002</v>
      </c>
      <c r="F73" s="13">
        <v>5</v>
      </c>
      <c r="G73" s="14">
        <f t="shared" si="42"/>
        <v>26455</v>
      </c>
      <c r="K73" s="13">
        <v>4</v>
      </c>
      <c r="L73" s="14">
        <f t="shared" si="43"/>
        <v>21164</v>
      </c>
      <c r="M73" s="5">
        <f>ROUND(L73/产出与消耗!T12,4)</f>
        <v>1.29E-2</v>
      </c>
      <c r="N73" s="13">
        <v>8</v>
      </c>
      <c r="O73" s="14">
        <f t="shared" si="44"/>
        <v>42328</v>
      </c>
      <c r="P73" s="5">
        <f>ROUND(O73/产出与消耗!T34,4)</f>
        <v>2.5700000000000001E-2</v>
      </c>
      <c r="Q73" s="13">
        <v>6</v>
      </c>
      <c r="R73" s="14">
        <f t="shared" si="45"/>
        <v>31746</v>
      </c>
      <c r="S73" s="5">
        <f>ROUND(R73/产出与消耗!T56,4)</f>
        <v>2.8899999999999999E-2</v>
      </c>
      <c r="T73" s="9">
        <f t="shared" si="47"/>
        <v>6.7500000000000004E-2</v>
      </c>
    </row>
    <row r="74" spans="1:20">
      <c r="A74" s="21" t="s">
        <v>209</v>
      </c>
      <c r="B74">
        <v>10</v>
      </c>
      <c r="C74">
        <f>ROUND(C75-(C76-C75)/(产出与消耗!$K$15-产出与消耗!$K$14)*(产出与消耗!$K$14-产出与消耗!$K$13),0)</f>
        <v>7653</v>
      </c>
      <c r="D74" s="13">
        <v>3</v>
      </c>
      <c r="E74">
        <f>ROUND(D74*C74/3600/建筑!I137,2)</f>
        <v>3.19</v>
      </c>
      <c r="F74" s="13">
        <v>5</v>
      </c>
      <c r="G74" s="14">
        <f t="shared" si="42"/>
        <v>38265</v>
      </c>
      <c r="K74" s="13">
        <v>4</v>
      </c>
      <c r="L74" s="14">
        <f t="shared" si="43"/>
        <v>30612</v>
      </c>
      <c r="M74" s="5">
        <f>ROUND(L74/产出与消耗!T13,4)</f>
        <v>7.7999999999999996E-3</v>
      </c>
      <c r="N74" s="13">
        <v>8</v>
      </c>
      <c r="O74" s="14">
        <f t="shared" si="44"/>
        <v>61224</v>
      </c>
      <c r="P74" s="5">
        <f>ROUND(O74/产出与消耗!T35,4)</f>
        <v>1.5699999999999999E-2</v>
      </c>
      <c r="Q74" s="13">
        <v>6</v>
      </c>
      <c r="R74" s="14">
        <f t="shared" si="45"/>
        <v>45918</v>
      </c>
      <c r="S74" s="5">
        <f>ROUND(R74/产出与消耗!T57,4)</f>
        <v>1.7600000000000001E-2</v>
      </c>
      <c r="T74" s="9">
        <f t="shared" si="47"/>
        <v>4.1099999999999998E-2</v>
      </c>
    </row>
    <row r="75" spans="1:20">
      <c r="B75">
        <v>11</v>
      </c>
      <c r="C75">
        <f>ROUND(C76-(C77-C76)/(产出与消耗!$K$16-产出与消耗!$K$15)*(产出与消耗!$K$15-产出与消耗!$K$14),0)</f>
        <v>9115</v>
      </c>
      <c r="D75" s="13">
        <v>3</v>
      </c>
      <c r="E75">
        <f>ROUND(D75*C75/3600/建筑!I138,2)</f>
        <v>3.8</v>
      </c>
      <c r="F75" s="13">
        <v>5</v>
      </c>
      <c r="G75" s="14">
        <f t="shared" si="42"/>
        <v>45575</v>
      </c>
      <c r="K75" s="13">
        <v>4</v>
      </c>
      <c r="L75" s="14">
        <f t="shared" si="43"/>
        <v>36460</v>
      </c>
      <c r="M75" s="5">
        <f>ROUND(L75/产出与消耗!T14,4)</f>
        <v>4.5999999999999999E-3</v>
      </c>
      <c r="N75" s="13">
        <v>8</v>
      </c>
      <c r="O75" s="14">
        <f t="shared" si="44"/>
        <v>72920</v>
      </c>
      <c r="P75" s="5">
        <f>ROUND(O75/产出与消耗!T36,4)</f>
        <v>9.1999999999999998E-3</v>
      </c>
      <c r="Q75" s="13">
        <v>6</v>
      </c>
      <c r="R75" s="14">
        <f t="shared" si="45"/>
        <v>54690</v>
      </c>
      <c r="S75" s="5">
        <f>ROUND(R75/产出与消耗!T58,4)</f>
        <v>1.03E-2</v>
      </c>
      <c r="T75" s="9">
        <f t="shared" si="47"/>
        <v>2.41E-2</v>
      </c>
    </row>
    <row r="76" spans="1:20">
      <c r="B76">
        <v>12</v>
      </c>
      <c r="C76">
        <f>ROUND(C77-(C78-C77)/(产出与消耗!$K$17-产出与消耗!$K$16)*(产出与消耗!$K$16-产出与消耗!$K$15),0)</f>
        <v>12939</v>
      </c>
      <c r="D76" s="13">
        <v>3</v>
      </c>
      <c r="E76">
        <f>ROUND(D76*C76/3600/建筑!I139,2)</f>
        <v>3.59</v>
      </c>
      <c r="F76" s="13">
        <v>5</v>
      </c>
      <c r="G76" s="14">
        <f t="shared" si="42"/>
        <v>64695</v>
      </c>
      <c r="K76" s="13">
        <v>4</v>
      </c>
      <c r="L76" s="14">
        <f t="shared" si="43"/>
        <v>51756</v>
      </c>
      <c r="M76" s="5">
        <f>ROUND(L76/产出与消耗!T15,4)</f>
        <v>2.8999999999999998E-3</v>
      </c>
      <c r="N76" s="13">
        <v>8</v>
      </c>
      <c r="O76" s="14">
        <f t="shared" si="44"/>
        <v>103512</v>
      </c>
      <c r="P76" s="5">
        <f>ROUND(O76/产出与消耗!T37,4)</f>
        <v>5.7999999999999996E-3</v>
      </c>
      <c r="Q76" s="13">
        <v>6</v>
      </c>
      <c r="R76" s="14">
        <f t="shared" si="45"/>
        <v>77634</v>
      </c>
      <c r="S76" s="5">
        <f>ROUND(R76/产出与消耗!T59,4)</f>
        <v>6.6E-3</v>
      </c>
      <c r="T76" s="9">
        <f t="shared" si="47"/>
        <v>1.5299999999999999E-2</v>
      </c>
    </row>
    <row r="77" spans="1:20">
      <c r="A77" s="16"/>
      <c r="B77">
        <v>13</v>
      </c>
      <c r="C77">
        <f>ROUND(C78-(C79-C78)/(产出与消耗!$K$18-产出与消耗!$K$17)*(产出与消耗!$K$17-产出与消耗!$K$16),0)</f>
        <v>16201</v>
      </c>
      <c r="D77" s="13">
        <v>3</v>
      </c>
      <c r="E77">
        <f>ROUND(D77*C77/3600/建筑!I140,2)</f>
        <v>4.5</v>
      </c>
      <c r="F77" s="13">
        <v>5</v>
      </c>
      <c r="G77" s="14">
        <f t="shared" si="42"/>
        <v>81005</v>
      </c>
      <c r="K77" s="13">
        <v>4</v>
      </c>
      <c r="L77" s="14">
        <f t="shared" si="43"/>
        <v>64804</v>
      </c>
      <c r="M77" s="5">
        <f>ROUND(L77/产出与消耗!T16,4)</f>
        <v>1.9E-3</v>
      </c>
      <c r="N77" s="13">
        <v>8</v>
      </c>
      <c r="O77" s="14">
        <f t="shared" si="44"/>
        <v>129608</v>
      </c>
      <c r="P77" s="5">
        <f>ROUND(O77/产出与消耗!T38,4)</f>
        <v>3.8E-3</v>
      </c>
      <c r="Q77" s="13">
        <v>6</v>
      </c>
      <c r="R77" s="14">
        <f t="shared" si="45"/>
        <v>97206</v>
      </c>
      <c r="S77" s="5">
        <f>ROUND(R77/产出与消耗!T60,4)</f>
        <v>4.1999999999999997E-3</v>
      </c>
      <c r="T77" s="9">
        <f t="shared" si="47"/>
        <v>9.9000000000000008E-3</v>
      </c>
    </row>
    <row r="78" spans="1:20">
      <c r="A78" s="21" t="s">
        <v>210</v>
      </c>
      <c r="B78">
        <v>14</v>
      </c>
      <c r="C78">
        <f>ROUND(C79-(C80-C79)/(产出与消耗!$K$19-产出与消耗!$K$18)*(产出与消耗!$K$18-产出与消耗!$K$17),0)</f>
        <v>19126</v>
      </c>
      <c r="D78" s="13">
        <v>3</v>
      </c>
      <c r="E78">
        <f>ROUND(D78*C78/3600/建筑!I141,2)</f>
        <v>5.31</v>
      </c>
      <c r="F78" s="13">
        <v>5</v>
      </c>
      <c r="G78" s="14">
        <f t="shared" si="42"/>
        <v>95630</v>
      </c>
      <c r="K78" s="13">
        <v>4</v>
      </c>
      <c r="L78" s="14">
        <f t="shared" si="43"/>
        <v>76504</v>
      </c>
      <c r="M78" s="5">
        <f>ROUND(L78/产出与消耗!T17,4)</f>
        <v>1.2999999999999999E-3</v>
      </c>
      <c r="N78" s="13">
        <v>8</v>
      </c>
      <c r="O78" s="14">
        <f t="shared" si="44"/>
        <v>153008</v>
      </c>
      <c r="P78" s="5">
        <f>ROUND(O78/产出与消耗!T39,4)</f>
        <v>2.5999999999999999E-3</v>
      </c>
      <c r="Q78" s="13">
        <v>6</v>
      </c>
      <c r="R78" s="14">
        <f t="shared" si="45"/>
        <v>114756</v>
      </c>
      <c r="S78" s="5">
        <f>ROUND(R78/产出与消耗!T61,4)</f>
        <v>2.8999999999999998E-3</v>
      </c>
      <c r="T78" s="9">
        <f t="shared" si="47"/>
        <v>6.7999999999999996E-3</v>
      </c>
    </row>
    <row r="79" spans="1:20">
      <c r="B79">
        <v>15</v>
      </c>
      <c r="C79">
        <f>ROUND(C80-(C81-C80)/(产出与消耗!$K$20-产出与消耗!$K$19)*(产出与消耗!$K$19-产出与消耗!$K$18),0)</f>
        <v>22501</v>
      </c>
      <c r="D79" s="13">
        <v>3</v>
      </c>
      <c r="E79">
        <f>ROUND(D79*C79/3600/建筑!I142,2)</f>
        <v>6.25</v>
      </c>
      <c r="F79" s="13">
        <v>5</v>
      </c>
      <c r="G79" s="14">
        <f t="shared" si="42"/>
        <v>112505</v>
      </c>
      <c r="K79" s="13">
        <v>4</v>
      </c>
      <c r="L79" s="14">
        <f t="shared" si="43"/>
        <v>90004</v>
      </c>
      <c r="M79" s="5">
        <f>ROUND(L79/产出与消耗!T18,4)</f>
        <v>8.9999999999999998E-4</v>
      </c>
      <c r="N79" s="13">
        <v>8</v>
      </c>
      <c r="O79" s="14">
        <f t="shared" si="44"/>
        <v>180008</v>
      </c>
      <c r="P79" s="5">
        <f>ROUND(O79/产出与消耗!T40,4)</f>
        <v>1.9E-3</v>
      </c>
      <c r="Q79" s="13">
        <v>6</v>
      </c>
      <c r="R79" s="14">
        <f t="shared" si="45"/>
        <v>135006</v>
      </c>
      <c r="S79" s="5">
        <f>ROUND(R79/产出与消耗!T62,4)</f>
        <v>2.0999999999999999E-3</v>
      </c>
      <c r="T79" s="9">
        <f t="shared" si="47"/>
        <v>4.8999999999999998E-3</v>
      </c>
    </row>
    <row r="80" spans="1:20">
      <c r="B80">
        <v>16</v>
      </c>
      <c r="C80">
        <f>ROUND(C81-(C82-C81)/(产出与消耗!$K$21-产出与消耗!$K$20)*(产出与消耗!$K$20-产出与消耗!$K$19),0)</f>
        <v>25876</v>
      </c>
      <c r="D80" s="13">
        <v>3</v>
      </c>
      <c r="E80">
        <f>ROUND(D80*C80/3600/建筑!I143,2)</f>
        <v>5.39</v>
      </c>
      <c r="F80" s="13">
        <v>5</v>
      </c>
      <c r="G80" s="14">
        <f t="shared" si="42"/>
        <v>129380</v>
      </c>
      <c r="K80" s="13">
        <v>4</v>
      </c>
      <c r="L80" s="14">
        <f t="shared" si="43"/>
        <v>103504</v>
      </c>
      <c r="M80" s="5">
        <f>ROUND(L80/产出与消耗!T19,4)</f>
        <v>6.9999999999999999E-4</v>
      </c>
      <c r="N80" s="13">
        <v>8</v>
      </c>
      <c r="O80" s="14">
        <f t="shared" si="44"/>
        <v>207008</v>
      </c>
      <c r="P80" s="5">
        <f>ROUND(O80/产出与消耗!T41,4)</f>
        <v>1.4E-3</v>
      </c>
      <c r="Q80" s="13">
        <v>6</v>
      </c>
      <c r="R80" s="14">
        <f t="shared" si="45"/>
        <v>155256</v>
      </c>
      <c r="S80" s="5">
        <f>ROUND(R80/产出与消耗!T63,4)</f>
        <v>1.5E-3</v>
      </c>
      <c r="T80" s="9">
        <f t="shared" si="47"/>
        <v>3.5999999999999999E-3</v>
      </c>
    </row>
    <row r="81" spans="1:20">
      <c r="B81">
        <v>17</v>
      </c>
      <c r="C81">
        <f>ROUND(C82-(C83-C82)/(产出与消耗!$K$22-产出与消耗!$K$21)*(产出与消耗!$K$21-产出与消耗!$K$20),0)</f>
        <v>29588</v>
      </c>
      <c r="D81" s="13">
        <v>3</v>
      </c>
      <c r="E81">
        <f>ROUND(D81*C81/3600/建筑!I144,2)</f>
        <v>6.16</v>
      </c>
      <c r="F81" s="13">
        <v>5</v>
      </c>
      <c r="G81" s="14">
        <f t="shared" si="42"/>
        <v>147940</v>
      </c>
      <c r="K81" s="13">
        <v>4</v>
      </c>
      <c r="L81" s="14">
        <f t="shared" si="43"/>
        <v>118352</v>
      </c>
      <c r="M81" s="5">
        <f>ROUND(L81/产出与消耗!T20,4)</f>
        <v>5.0000000000000001E-4</v>
      </c>
      <c r="N81" s="13">
        <v>8</v>
      </c>
      <c r="O81" s="14">
        <f t="shared" si="44"/>
        <v>236704</v>
      </c>
      <c r="P81" s="5">
        <f>ROUND(O81/产出与消耗!T42,4)</f>
        <v>1.1000000000000001E-3</v>
      </c>
      <c r="Q81" s="13">
        <v>6</v>
      </c>
      <c r="R81" s="14">
        <f t="shared" si="45"/>
        <v>177528</v>
      </c>
      <c r="S81" s="5">
        <f>ROUND(R81/产出与消耗!T64,4)</f>
        <v>1.1999999999999999E-3</v>
      </c>
      <c r="T81" s="9">
        <f t="shared" si="47"/>
        <v>2.8E-3</v>
      </c>
    </row>
    <row r="82" spans="1:20">
      <c r="B82">
        <v>18</v>
      </c>
      <c r="C82">
        <f>ROUND(C83-(C84-C83)/(产出与消耗!$K$23-产出与消耗!$K$22)*(产出与消耗!$K$22-产出与消耗!$K$21),0)</f>
        <v>33750</v>
      </c>
      <c r="D82" s="13">
        <v>3</v>
      </c>
      <c r="E82">
        <f>ROUND(D82*C82/3600/建筑!I145,2)</f>
        <v>7.03</v>
      </c>
      <c r="F82" s="13">
        <v>5</v>
      </c>
      <c r="G82" s="14">
        <f t="shared" si="42"/>
        <v>168750</v>
      </c>
      <c r="K82" s="13">
        <v>4</v>
      </c>
      <c r="L82" s="14">
        <f t="shared" si="43"/>
        <v>135000</v>
      </c>
      <c r="M82" s="5">
        <f>ROUND(L82/产出与消耗!T21,4)</f>
        <v>4.0000000000000002E-4</v>
      </c>
      <c r="N82" s="13">
        <v>8</v>
      </c>
      <c r="O82" s="14">
        <f t="shared" si="44"/>
        <v>270000</v>
      </c>
      <c r="P82" s="5">
        <f>ROUND(O82/产出与消耗!T43,4)</f>
        <v>8.0000000000000004E-4</v>
      </c>
      <c r="Q82" s="13">
        <v>6</v>
      </c>
      <c r="R82" s="14">
        <f t="shared" si="45"/>
        <v>202500</v>
      </c>
      <c r="S82" s="5">
        <f>ROUND(R82/产出与消耗!T65,4)</f>
        <v>8.9999999999999998E-4</v>
      </c>
      <c r="T82" s="9">
        <f t="shared" si="47"/>
        <v>2.0999999999999999E-3</v>
      </c>
    </row>
    <row r="83" spans="1:20">
      <c r="A83" s="22" t="s">
        <v>211</v>
      </c>
      <c r="B83">
        <v>19</v>
      </c>
      <c r="C83">
        <f>ROUND(产出与消耗!$K$22*C84/产出与消耗!$K$23,0)</f>
        <v>38250</v>
      </c>
      <c r="D83" s="13">
        <v>3</v>
      </c>
      <c r="E83">
        <f>ROUND(D83*C83/3600/建筑!I146,2)</f>
        <v>7.97</v>
      </c>
      <c r="F83" s="13">
        <v>5</v>
      </c>
      <c r="G83" s="14">
        <f t="shared" si="42"/>
        <v>191250</v>
      </c>
      <c r="K83" s="13">
        <v>4</v>
      </c>
      <c r="L83" s="14">
        <f t="shared" si="43"/>
        <v>153000</v>
      </c>
      <c r="M83" s="5">
        <f>ROUND(L83/产出与消耗!T22,4)</f>
        <v>2.9999999999999997E-4</v>
      </c>
      <c r="N83" s="13">
        <v>8</v>
      </c>
      <c r="O83" s="14">
        <f t="shared" si="44"/>
        <v>306000</v>
      </c>
      <c r="P83" s="5">
        <f>ROUND(O83/产出与消耗!T44,4)</f>
        <v>6.9999999999999999E-4</v>
      </c>
      <c r="Q83" s="13">
        <v>6</v>
      </c>
      <c r="R83" s="14">
        <f t="shared" si="45"/>
        <v>229500</v>
      </c>
      <c r="S83" s="5">
        <f>ROUND(R83/产出与消耗!T66,4)</f>
        <v>6.9999999999999999E-4</v>
      </c>
      <c r="T83" s="9">
        <f t="shared" si="47"/>
        <v>1.6999999999999999E-3</v>
      </c>
    </row>
    <row r="84" spans="1:20">
      <c r="B84">
        <v>20</v>
      </c>
      <c r="C84">
        <v>45000</v>
      </c>
      <c r="D84" s="13">
        <v>3</v>
      </c>
      <c r="E84">
        <f>ROUND(D84*C84/3600/建筑!I147,2)</f>
        <v>7.5</v>
      </c>
      <c r="F84" s="13">
        <v>5</v>
      </c>
      <c r="G84" s="14">
        <f t="shared" si="42"/>
        <v>225000</v>
      </c>
      <c r="K84" s="13">
        <v>4</v>
      </c>
      <c r="L84" s="14">
        <f t="shared" si="43"/>
        <v>180000</v>
      </c>
      <c r="M84" s="5">
        <f>ROUND(L84/产出与消耗!T23,4)</f>
        <v>2.9999999999999997E-4</v>
      </c>
      <c r="N84" s="13">
        <v>8</v>
      </c>
      <c r="O84" s="14">
        <f t="shared" si="44"/>
        <v>360000</v>
      </c>
      <c r="P84" s="5">
        <f>ROUND(O84/产出与消耗!T45,4)</f>
        <v>5.0000000000000001E-4</v>
      </c>
      <c r="Q84" s="13">
        <v>6</v>
      </c>
      <c r="R84" s="14">
        <f t="shared" si="45"/>
        <v>270000</v>
      </c>
      <c r="S84" s="5">
        <f>ROUND(R84/产出与消耗!T67,4)</f>
        <v>5.9999999999999995E-4</v>
      </c>
      <c r="T84" s="9">
        <f t="shared" si="47"/>
        <v>1.4E-3</v>
      </c>
    </row>
    <row r="86" spans="1:20">
      <c r="A86" t="s">
        <v>166</v>
      </c>
      <c r="B86">
        <v>1</v>
      </c>
      <c r="C86">
        <f>MAX(ROUND(C87-(C88-C87)/(产出与消耗!$K$6-产出与消耗!$K$5)*(产出与消耗!$K$5-产出与消耗!$K$4)*1.004,0),0)</f>
        <v>0</v>
      </c>
      <c r="D86" s="13">
        <v>5</v>
      </c>
      <c r="E86">
        <f>ROUND(D86*C86/3600/(建筑!G86*基本公式!$B$153),2)</f>
        <v>0</v>
      </c>
      <c r="F86" s="13">
        <f>F2*1.4</f>
        <v>14</v>
      </c>
      <c r="G86" s="14">
        <f t="shared" ref="G86" si="48">F86*C86</f>
        <v>0</v>
      </c>
      <c r="K86" s="13">
        <v>13</v>
      </c>
      <c r="L86" s="14">
        <f t="shared" ref="L86" si="49">ROUND(K86*C86,0)</f>
        <v>0</v>
      </c>
      <c r="M86" s="5">
        <f>ROUND(L86/产出与消耗!T4,4)</f>
        <v>0</v>
      </c>
      <c r="N86" s="13">
        <v>37</v>
      </c>
      <c r="O86" s="14">
        <f t="shared" ref="O86" si="50">ROUND(N86*C86,0)</f>
        <v>0</v>
      </c>
      <c r="P86" s="5">
        <f>ROUND(O86/产出与消耗!T26,4)</f>
        <v>0</v>
      </c>
      <c r="Q86" s="13">
        <v>8</v>
      </c>
      <c r="R86" s="14">
        <f t="shared" ref="R86" si="51">ROUND(Q86*C86,0)</f>
        <v>0</v>
      </c>
      <c r="S86" s="5">
        <f>ROUND(R86/产出与消耗!T48,4)</f>
        <v>0</v>
      </c>
      <c r="T86" s="9">
        <f t="shared" ref="T86" si="52">M86+P86+S86</f>
        <v>0</v>
      </c>
    </row>
    <row r="87" spans="1:20">
      <c r="B87">
        <v>2</v>
      </c>
      <c r="C87">
        <f>MAX(ROUND(C88-(C89-C88)/(产出与消耗!$K$7-产出与消耗!$K$6)*(产出与消耗!$K$6-产出与消耗!$K$5)*1.004,0),0)</f>
        <v>0</v>
      </c>
      <c r="D87" s="13">
        <v>5</v>
      </c>
      <c r="E87">
        <f>ROUND(D87*C87/3600/(建筑!G87*基本公式!$B$153),2)</f>
        <v>0</v>
      </c>
      <c r="F87" s="13">
        <f t="shared" ref="F87" si="53">F3*1.4</f>
        <v>14</v>
      </c>
      <c r="G87" s="14">
        <f t="shared" ref="G87:G105" si="54">F87*C87</f>
        <v>0</v>
      </c>
      <c r="K87" s="13">
        <v>13</v>
      </c>
      <c r="L87" s="14">
        <f t="shared" ref="L87:L105" si="55">ROUND(K87*C87,0)</f>
        <v>0</v>
      </c>
      <c r="M87" s="5">
        <f>ROUND(L87/产出与消耗!T5,4)</f>
        <v>0</v>
      </c>
      <c r="N87" s="13">
        <v>37</v>
      </c>
      <c r="O87" s="14">
        <f t="shared" ref="O87:O105" si="56">ROUND(N87*C87,0)</f>
        <v>0</v>
      </c>
      <c r="P87" s="5">
        <f>ROUND(O87/产出与消耗!T27,4)</f>
        <v>0</v>
      </c>
      <c r="Q87" s="13">
        <v>8</v>
      </c>
      <c r="R87" s="14">
        <f t="shared" ref="R87:R105" si="57">ROUND(Q87*C87,0)</f>
        <v>0</v>
      </c>
      <c r="S87" s="5">
        <f>ROUND(R87/产出与消耗!T49,4)</f>
        <v>0</v>
      </c>
      <c r="T87" s="9">
        <f t="shared" ref="T87:T105" si="58">M87+P87+S87</f>
        <v>0</v>
      </c>
    </row>
    <row r="88" spans="1:20">
      <c r="B88">
        <v>3</v>
      </c>
      <c r="C88">
        <f>MAX(ROUND(C89-(C90-C89)/(产出与消耗!$K$8-产出与消耗!$K$7)*(产出与消耗!$K$7-产出与消耗!$K$6)*1.004,0),0)</f>
        <v>0</v>
      </c>
      <c r="D88" s="13">
        <v>5</v>
      </c>
      <c r="E88">
        <f>ROUND(D88*C88/3600/(建筑!G88*基本公式!$B$153),2)</f>
        <v>0</v>
      </c>
      <c r="F88" s="13">
        <f t="shared" ref="F88:F105" si="59">F4*1.4</f>
        <v>14</v>
      </c>
      <c r="G88" s="14">
        <f t="shared" si="54"/>
        <v>0</v>
      </c>
      <c r="K88" s="13">
        <v>13</v>
      </c>
      <c r="L88" s="14">
        <f t="shared" si="55"/>
        <v>0</v>
      </c>
      <c r="M88" s="5">
        <f>ROUND(L88/产出与消耗!T6,4)</f>
        <v>0</v>
      </c>
      <c r="N88" s="13">
        <v>37</v>
      </c>
      <c r="O88" s="14">
        <f t="shared" si="56"/>
        <v>0</v>
      </c>
      <c r="P88" s="5">
        <f>ROUND(O88/产出与消耗!T28,4)</f>
        <v>0</v>
      </c>
      <c r="Q88" s="13">
        <v>8</v>
      </c>
      <c r="R88" s="14">
        <f t="shared" si="57"/>
        <v>0</v>
      </c>
      <c r="S88" s="5">
        <f>ROUND(R88/产出与消耗!T50,4)</f>
        <v>0</v>
      </c>
      <c r="T88" s="9">
        <f t="shared" si="58"/>
        <v>0</v>
      </c>
    </row>
    <row r="89" spans="1:20">
      <c r="B89">
        <v>4</v>
      </c>
      <c r="C89">
        <f>MAX(ROUND(C90-(C91-C90)/(产出与消耗!$K$9-产出与消耗!$K$8)*(产出与消耗!$K$8-产出与消耗!$K$7)*1.004,0),0)</f>
        <v>0</v>
      </c>
      <c r="D89" s="13">
        <v>5</v>
      </c>
      <c r="E89">
        <f>ROUND(D89*C89/3600/(建筑!G89*基本公式!$B$153),2)</f>
        <v>0</v>
      </c>
      <c r="F89" s="13">
        <f t="shared" si="59"/>
        <v>14</v>
      </c>
      <c r="G89" s="14">
        <f t="shared" si="54"/>
        <v>0</v>
      </c>
      <c r="K89" s="13">
        <v>13</v>
      </c>
      <c r="L89" s="14">
        <f t="shared" si="55"/>
        <v>0</v>
      </c>
      <c r="M89" s="5">
        <f>ROUND(L89/产出与消耗!T7,4)</f>
        <v>0</v>
      </c>
      <c r="N89" s="13">
        <v>37</v>
      </c>
      <c r="O89" s="14">
        <f t="shared" si="56"/>
        <v>0</v>
      </c>
      <c r="P89" s="5">
        <f>ROUND(O89/产出与消耗!T29,4)</f>
        <v>0</v>
      </c>
      <c r="Q89" s="13">
        <v>8</v>
      </c>
      <c r="R89" s="14">
        <f t="shared" si="57"/>
        <v>0</v>
      </c>
      <c r="S89" s="5">
        <f>ROUND(R89/产出与消耗!T51,4)</f>
        <v>0</v>
      </c>
      <c r="T89" s="9">
        <f t="shared" si="58"/>
        <v>0</v>
      </c>
    </row>
    <row r="90" spans="1:20">
      <c r="B90">
        <v>5</v>
      </c>
      <c r="C90">
        <f>MAX(ROUND(C91-(C92-C91)/(产出与消耗!$K$10-产出与消耗!$K$9)*(产出与消耗!$K$9-产出与消耗!$K$8)*1.004,0),0)</f>
        <v>27</v>
      </c>
      <c r="D90" s="13">
        <v>5</v>
      </c>
      <c r="E90">
        <f>ROUND(D90*C90/3600/(建筑!G90*基本公式!$B$153),2)</f>
        <v>0.02</v>
      </c>
      <c r="F90" s="13">
        <f t="shared" si="59"/>
        <v>14</v>
      </c>
      <c r="G90" s="14">
        <f t="shared" si="54"/>
        <v>378</v>
      </c>
      <c r="K90" s="13">
        <v>13</v>
      </c>
      <c r="L90" s="14">
        <f t="shared" si="55"/>
        <v>351</v>
      </c>
      <c r="M90" s="5">
        <f>ROUND(L90/产出与消耗!T8,4)</f>
        <v>9.1000000000000004E-3</v>
      </c>
      <c r="N90" s="13">
        <v>37</v>
      </c>
      <c r="O90" s="14">
        <f t="shared" si="56"/>
        <v>999</v>
      </c>
      <c r="P90" s="5">
        <f>ROUND(O90/产出与消耗!T30,4)</f>
        <v>2.5999999999999999E-2</v>
      </c>
      <c r="Q90" s="13">
        <v>8</v>
      </c>
      <c r="R90" s="14">
        <f t="shared" si="57"/>
        <v>216</v>
      </c>
      <c r="S90" s="5">
        <f>ROUND(R90/产出与消耗!T52,4)</f>
        <v>7.3000000000000001E-3</v>
      </c>
      <c r="T90" s="9">
        <f t="shared" si="58"/>
        <v>4.24E-2</v>
      </c>
    </row>
    <row r="91" spans="1:20">
      <c r="B91">
        <v>6</v>
      </c>
      <c r="C91">
        <f>MAX(ROUND(C92-(C93-C92)/(产出与消耗!$K$11-产出与消耗!$K$10)*(产出与消耗!$K$10-产出与消耗!$K$9)*1.004,0),0)</f>
        <v>622</v>
      </c>
      <c r="D91" s="13">
        <v>5</v>
      </c>
      <c r="E91">
        <f>ROUND(D91*C91/3600/(建筑!G91*基本公式!$B$153),2)</f>
        <v>0.43</v>
      </c>
      <c r="F91" s="13">
        <f t="shared" si="59"/>
        <v>14</v>
      </c>
      <c r="G91" s="14">
        <f t="shared" si="54"/>
        <v>8708</v>
      </c>
      <c r="K91" s="13">
        <v>13</v>
      </c>
      <c r="L91" s="14">
        <f t="shared" si="55"/>
        <v>8086</v>
      </c>
      <c r="M91" s="5">
        <f>ROUND(L91/产出与消耗!T9,4)</f>
        <v>8.0500000000000002E-2</v>
      </c>
      <c r="N91" s="13">
        <v>37</v>
      </c>
      <c r="O91" s="14">
        <f t="shared" si="56"/>
        <v>23014</v>
      </c>
      <c r="P91" s="5">
        <f>ROUND(O91/产出与消耗!T31,4)</f>
        <v>0.22900000000000001</v>
      </c>
      <c r="Q91" s="13">
        <v>8</v>
      </c>
      <c r="R91" s="14">
        <f t="shared" si="57"/>
        <v>4976</v>
      </c>
      <c r="S91" s="5">
        <f>ROUND(R91/产出与消耗!T53,4)</f>
        <v>7.0800000000000002E-2</v>
      </c>
      <c r="T91" s="9">
        <f t="shared" si="58"/>
        <v>0.38030000000000003</v>
      </c>
    </row>
    <row r="92" spans="1:20">
      <c r="B92">
        <v>7</v>
      </c>
      <c r="C92">
        <f>MAX(ROUND(C93-(C94-C93)/(产出与消耗!$K$12-产出与消耗!$K$11)*(产出与消耗!$K$11-产出与消耗!$K$10)*1.004,0),0)</f>
        <v>1570</v>
      </c>
      <c r="D92" s="13">
        <v>5</v>
      </c>
      <c r="E92">
        <f>ROUND(D92*C92/3600/(建筑!G92*基本公式!$B$153),2)</f>
        <v>0.55000000000000004</v>
      </c>
      <c r="F92" s="13">
        <f t="shared" si="59"/>
        <v>14</v>
      </c>
      <c r="G92" s="14">
        <f t="shared" si="54"/>
        <v>21980</v>
      </c>
      <c r="K92" s="13">
        <v>13</v>
      </c>
      <c r="L92" s="14">
        <f t="shared" si="55"/>
        <v>20410</v>
      </c>
      <c r="M92" s="5">
        <f>ROUND(L92/产出与消耗!T10,4)</f>
        <v>8.5800000000000001E-2</v>
      </c>
      <c r="N92" s="13">
        <v>37</v>
      </c>
      <c r="O92" s="14">
        <f t="shared" si="56"/>
        <v>58090</v>
      </c>
      <c r="P92" s="5">
        <f>ROUND(O92/产出与消耗!T32,4)</f>
        <v>0.24429999999999999</v>
      </c>
      <c r="Q92" s="13">
        <v>8</v>
      </c>
      <c r="R92" s="14">
        <f t="shared" si="57"/>
        <v>12560</v>
      </c>
      <c r="S92" s="5">
        <f>ROUND(R92/产出与消耗!T54,4)</f>
        <v>7.7600000000000002E-2</v>
      </c>
      <c r="T92" s="9">
        <f t="shared" si="58"/>
        <v>0.40770000000000001</v>
      </c>
    </row>
    <row r="93" spans="1:20">
      <c r="A93" s="16"/>
      <c r="B93">
        <v>8</v>
      </c>
      <c r="C93">
        <f>MAX(ROUND(C94-(C95-C94)/(产出与消耗!$K$13-产出与消耗!$K$12)*(产出与消耗!$K$12-产出与消耗!$K$11)*1.004,0),0)</f>
        <v>3104</v>
      </c>
      <c r="D93" s="13">
        <v>5</v>
      </c>
      <c r="E93">
        <f>ROUND(D93*C93/3600/(建筑!G93*基本公式!$B$153),2)</f>
        <v>1.08</v>
      </c>
      <c r="F93" s="13">
        <f t="shared" si="59"/>
        <v>14</v>
      </c>
      <c r="G93" s="14">
        <f t="shared" si="54"/>
        <v>43456</v>
      </c>
      <c r="K93" s="13">
        <v>13</v>
      </c>
      <c r="L93" s="14">
        <f t="shared" si="55"/>
        <v>40352</v>
      </c>
      <c r="M93" s="5">
        <f>ROUND(L93/产出与消耗!T11,4)</f>
        <v>5.7099999999999998E-2</v>
      </c>
      <c r="N93" s="13">
        <v>37</v>
      </c>
      <c r="O93" s="14">
        <f t="shared" si="56"/>
        <v>114848</v>
      </c>
      <c r="P93" s="5">
        <f>ROUND(O93/产出与消耗!T33,4)</f>
        <v>0.16239999999999999</v>
      </c>
      <c r="Q93" s="13">
        <v>8</v>
      </c>
      <c r="R93" s="14">
        <f t="shared" si="57"/>
        <v>24832</v>
      </c>
      <c r="S93" s="5">
        <f>ROUND(R93/产出与消耗!T55,4)</f>
        <v>5.2299999999999999E-2</v>
      </c>
      <c r="T93" s="9">
        <f t="shared" si="58"/>
        <v>0.27179999999999999</v>
      </c>
    </row>
    <row r="94" spans="1:20">
      <c r="B94">
        <v>9</v>
      </c>
      <c r="C94">
        <f>MAX(ROUND(C95-(C96-C95)/(产出与消耗!$K$14-产出与消耗!$K$13)*(产出与消耗!$K$13-产出与消耗!$K$12)*1.004,0),0)</f>
        <v>4632</v>
      </c>
      <c r="D94" s="13">
        <v>5</v>
      </c>
      <c r="E94">
        <f>ROUND(D94*C94/3600/(建筑!G94*基本公式!$B$153),2)</f>
        <v>1.61</v>
      </c>
      <c r="F94" s="13">
        <f t="shared" si="59"/>
        <v>14</v>
      </c>
      <c r="G94" s="14">
        <f t="shared" si="54"/>
        <v>64848</v>
      </c>
      <c r="K94" s="13">
        <v>13</v>
      </c>
      <c r="L94" s="14">
        <f t="shared" si="55"/>
        <v>60216</v>
      </c>
      <c r="M94" s="5">
        <f>ROUND(L94/产出与消耗!T12,4)</f>
        <v>3.6600000000000001E-2</v>
      </c>
      <c r="N94" s="13">
        <v>37</v>
      </c>
      <c r="O94" s="14">
        <f t="shared" si="56"/>
        <v>171384</v>
      </c>
      <c r="P94" s="5">
        <f>ROUND(O94/产出与消耗!T34,4)</f>
        <v>0.1042</v>
      </c>
      <c r="Q94" s="13">
        <v>8</v>
      </c>
      <c r="R94" s="14">
        <f t="shared" si="57"/>
        <v>37056</v>
      </c>
      <c r="S94" s="5">
        <f>ROUND(R94/产出与消耗!T56,4)</f>
        <v>3.3700000000000001E-2</v>
      </c>
      <c r="T94" s="9">
        <f t="shared" si="58"/>
        <v>0.17449999999999999</v>
      </c>
    </row>
    <row r="95" spans="1:20">
      <c r="A95" s="21" t="s">
        <v>209</v>
      </c>
      <c r="B95">
        <v>10</v>
      </c>
      <c r="C95">
        <f>MAX(ROUND(C96-(C97-C96)/(产出与消耗!$K$15-产出与消耗!$K$14)*(产出与消耗!$K$14-产出与消耗!$K$13)*1.004,0),0)</f>
        <v>7091</v>
      </c>
      <c r="D95" s="13">
        <v>5</v>
      </c>
      <c r="E95">
        <f>ROUND(D95*C95/3600/(建筑!G95*基本公式!$B$153),2)</f>
        <v>2.46</v>
      </c>
      <c r="F95" s="13">
        <f t="shared" si="59"/>
        <v>14</v>
      </c>
      <c r="G95" s="14">
        <f t="shared" si="54"/>
        <v>99274</v>
      </c>
      <c r="K95" s="13">
        <v>13</v>
      </c>
      <c r="L95" s="14">
        <f t="shared" si="55"/>
        <v>92183</v>
      </c>
      <c r="M95" s="5">
        <f>ROUND(L95/产出与消耗!T13,4)</f>
        <v>2.3599999999999999E-2</v>
      </c>
      <c r="N95" s="13">
        <v>37</v>
      </c>
      <c r="O95" s="14">
        <f t="shared" si="56"/>
        <v>262367</v>
      </c>
      <c r="P95" s="5">
        <f>ROUND(O95/产出与消耗!T35,4)</f>
        <v>6.7199999999999996E-2</v>
      </c>
      <c r="Q95" s="13">
        <v>8</v>
      </c>
      <c r="R95" s="14">
        <f t="shared" si="57"/>
        <v>56728</v>
      </c>
      <c r="S95" s="5">
        <f>ROUND(R95/产出与消耗!T57,4)</f>
        <v>2.18E-2</v>
      </c>
      <c r="T95" s="9">
        <f t="shared" si="58"/>
        <v>0.11260000000000001</v>
      </c>
    </row>
    <row r="96" spans="1:20">
      <c r="B96">
        <v>11</v>
      </c>
      <c r="C96">
        <f>MAX(ROUND(C97-(C98-C97)/(产出与消耗!$K$16-产出与消耗!$K$15)*(产出与消耗!$K$15-产出与消耗!$K$14)*1.004,0),0)</f>
        <v>8607</v>
      </c>
      <c r="D96" s="13">
        <v>5</v>
      </c>
      <c r="E96">
        <f>ROUND(D96*C96/3600/(建筑!G96*基本公式!$B$153),2)</f>
        <v>2.99</v>
      </c>
      <c r="F96" s="13">
        <f t="shared" si="59"/>
        <v>14</v>
      </c>
      <c r="G96" s="14">
        <f t="shared" si="54"/>
        <v>120498</v>
      </c>
      <c r="K96" s="13">
        <v>13</v>
      </c>
      <c r="L96" s="14">
        <f t="shared" si="55"/>
        <v>111891</v>
      </c>
      <c r="M96" s="5">
        <f>ROUND(L96/产出与消耗!T14,4)</f>
        <v>1.41E-2</v>
      </c>
      <c r="N96" s="13">
        <v>37</v>
      </c>
      <c r="O96" s="14">
        <f t="shared" si="56"/>
        <v>318459</v>
      </c>
      <c r="P96" s="5">
        <f>ROUND(O96/产出与消耗!T36,4)</f>
        <v>4.0099999999999997E-2</v>
      </c>
      <c r="Q96" s="13">
        <v>8</v>
      </c>
      <c r="R96" s="14">
        <f t="shared" si="57"/>
        <v>68856</v>
      </c>
      <c r="S96" s="5">
        <f>ROUND(R96/产出与消耗!T58,4)</f>
        <v>1.2999999999999999E-2</v>
      </c>
      <c r="T96" s="9">
        <f t="shared" si="58"/>
        <v>6.7199999999999996E-2</v>
      </c>
    </row>
    <row r="97" spans="1:20">
      <c r="B97">
        <v>12</v>
      </c>
      <c r="C97">
        <f>MAX(ROUND(C98-(C99-C98)/(产出与消耗!$K$17-产出与消耗!$K$16)*(产出与消耗!$K$16-产出与消耗!$K$15)*1.004,0),0)</f>
        <v>12556</v>
      </c>
      <c r="D97" s="13">
        <v>5</v>
      </c>
      <c r="E97">
        <f>ROUND(D97*C97/3600/(建筑!G97*基本公式!$B$153),2)</f>
        <v>2.91</v>
      </c>
      <c r="F97" s="13">
        <f t="shared" si="59"/>
        <v>14</v>
      </c>
      <c r="G97" s="14">
        <f t="shared" si="54"/>
        <v>175784</v>
      </c>
      <c r="K97" s="13">
        <v>13</v>
      </c>
      <c r="L97" s="14">
        <f t="shared" si="55"/>
        <v>163228</v>
      </c>
      <c r="M97" s="5">
        <f>ROUND(L97/产出与消耗!T15,4)</f>
        <v>9.1999999999999998E-3</v>
      </c>
      <c r="N97" s="13">
        <v>37</v>
      </c>
      <c r="O97" s="14">
        <f t="shared" si="56"/>
        <v>464572</v>
      </c>
      <c r="P97" s="5">
        <f>ROUND(O97/产出与消耗!T37,4)</f>
        <v>2.6200000000000001E-2</v>
      </c>
      <c r="Q97" s="13">
        <v>8</v>
      </c>
      <c r="R97" s="14">
        <f t="shared" si="57"/>
        <v>100448</v>
      </c>
      <c r="S97" s="5">
        <f>ROUND(R97/产出与消耗!T59,4)</f>
        <v>8.5000000000000006E-3</v>
      </c>
      <c r="T97" s="9">
        <f t="shared" si="58"/>
        <v>4.3900000000000002E-2</v>
      </c>
    </row>
    <row r="98" spans="1:20">
      <c r="A98" s="16"/>
      <c r="B98">
        <v>13</v>
      </c>
      <c r="C98">
        <f>MAX(ROUND(C99-(C100-C99)/(产出与消耗!$K$18-产出与消耗!$K$17)*(产出与消耗!$K$17-产出与消耗!$K$16)*1.004,0),0)</f>
        <v>15911</v>
      </c>
      <c r="D98" s="13">
        <v>5</v>
      </c>
      <c r="E98">
        <f>ROUND(D98*C98/3600/(建筑!G98*基本公式!$B$153),2)</f>
        <v>3.68</v>
      </c>
      <c r="F98" s="13">
        <f t="shared" si="59"/>
        <v>14</v>
      </c>
      <c r="G98" s="14">
        <f t="shared" si="54"/>
        <v>222754</v>
      </c>
      <c r="K98" s="13">
        <v>13</v>
      </c>
      <c r="L98" s="14">
        <f t="shared" si="55"/>
        <v>206843</v>
      </c>
      <c r="M98" s="5">
        <f>ROUND(L98/产出与消耗!T16,4)</f>
        <v>6.0000000000000001E-3</v>
      </c>
      <c r="N98" s="13">
        <v>37</v>
      </c>
      <c r="O98" s="14">
        <f t="shared" si="56"/>
        <v>588707</v>
      </c>
      <c r="P98" s="5">
        <f>ROUND(O98/产出与消耗!T38,4)</f>
        <v>1.7100000000000001E-2</v>
      </c>
      <c r="Q98" s="13">
        <v>8</v>
      </c>
      <c r="R98" s="14">
        <f t="shared" si="57"/>
        <v>127288</v>
      </c>
      <c r="S98" s="5">
        <f>ROUND(R98/产出与消耗!T60,4)</f>
        <v>5.5999999999999999E-3</v>
      </c>
      <c r="T98" s="9">
        <f t="shared" si="58"/>
        <v>2.87E-2</v>
      </c>
    </row>
    <row r="99" spans="1:20">
      <c r="A99" s="21" t="s">
        <v>210</v>
      </c>
      <c r="B99">
        <v>14</v>
      </c>
      <c r="C99">
        <f>MAX(ROUND(C100-(C101-C100)/(产出与消耗!$K$19-产出与消耗!$K$18)*(产出与消耗!$K$18-产出与消耗!$K$17)*1.004,0),0)</f>
        <v>18907</v>
      </c>
      <c r="D99" s="13">
        <v>5</v>
      </c>
      <c r="E99">
        <f>ROUND(D99*C99/3600/(建筑!G99*基本公式!$B$153),2)</f>
        <v>4.38</v>
      </c>
      <c r="F99" s="13">
        <f t="shared" si="59"/>
        <v>14</v>
      </c>
      <c r="G99" s="14">
        <f t="shared" si="54"/>
        <v>264698</v>
      </c>
      <c r="K99" s="13">
        <v>13</v>
      </c>
      <c r="L99" s="14">
        <f t="shared" si="55"/>
        <v>245791</v>
      </c>
      <c r="M99" s="5">
        <f>ROUND(L99/产出与消耗!T17,4)</f>
        <v>4.1999999999999997E-3</v>
      </c>
      <c r="N99" s="13">
        <v>37</v>
      </c>
      <c r="O99" s="14">
        <f t="shared" si="56"/>
        <v>699559</v>
      </c>
      <c r="P99" s="5">
        <f>ROUND(O99/产出与消耗!T39,4)</f>
        <v>1.18E-2</v>
      </c>
      <c r="Q99" s="13">
        <v>8</v>
      </c>
      <c r="R99" s="14">
        <f t="shared" si="57"/>
        <v>151256</v>
      </c>
      <c r="S99" s="5">
        <f>ROUND(R99/产出与消耗!T61,4)</f>
        <v>3.8E-3</v>
      </c>
      <c r="T99" s="9">
        <f t="shared" si="58"/>
        <v>1.9800000000000002E-2</v>
      </c>
    </row>
    <row r="100" spans="1:20">
      <c r="B100">
        <v>15</v>
      </c>
      <c r="C100">
        <f>MAX(ROUND(C101-(C102-C101)/(产出与消耗!$K$20-产出与消耗!$K$19)*(产出与消耗!$K$19-产出与消耗!$K$18)*1.004,0),0)</f>
        <v>22350</v>
      </c>
      <c r="D100" s="13">
        <v>5</v>
      </c>
      <c r="E100">
        <f>ROUND(D100*C100/3600/(建筑!G100*基本公式!$B$153),2)</f>
        <v>5.17</v>
      </c>
      <c r="F100" s="13">
        <f t="shared" si="59"/>
        <v>14</v>
      </c>
      <c r="G100" s="14">
        <f t="shared" si="54"/>
        <v>312900</v>
      </c>
      <c r="K100" s="13">
        <v>13</v>
      </c>
      <c r="L100" s="14">
        <f t="shared" si="55"/>
        <v>290550</v>
      </c>
      <c r="M100" s="5">
        <f>ROUND(L100/产出与消耗!T18,4)</f>
        <v>3.0000000000000001E-3</v>
      </c>
      <c r="N100" s="13">
        <v>37</v>
      </c>
      <c r="O100" s="14">
        <f t="shared" si="56"/>
        <v>826950</v>
      </c>
      <c r="P100" s="5">
        <f>ROUND(O100/产出与消耗!T40,4)</f>
        <v>8.5000000000000006E-3</v>
      </c>
      <c r="Q100" s="13">
        <v>8</v>
      </c>
      <c r="R100" s="14">
        <f t="shared" si="57"/>
        <v>178800</v>
      </c>
      <c r="S100" s="5">
        <f>ROUND(R100/产出与消耗!T62,4)</f>
        <v>2.8E-3</v>
      </c>
      <c r="T100" s="9">
        <f t="shared" si="58"/>
        <v>1.43E-2</v>
      </c>
    </row>
    <row r="101" spans="1:20">
      <c r="B101">
        <v>16</v>
      </c>
      <c r="C101">
        <f>MAX(ROUND(C102-(C103-C102)/(产出与消耗!$K$21-产出与消耗!$K$20)*(产出与消耗!$K$20-产出与消耗!$K$19)*1.004,0),0)</f>
        <v>25779</v>
      </c>
      <c r="D101" s="13">
        <v>5</v>
      </c>
      <c r="E101">
        <f>ROUND(D101*C101/3600/(建筑!G101*基本公式!$B$153),2)</f>
        <v>4.4800000000000004</v>
      </c>
      <c r="F101" s="13">
        <f t="shared" si="59"/>
        <v>14</v>
      </c>
      <c r="G101" s="14">
        <f t="shared" si="54"/>
        <v>360906</v>
      </c>
      <c r="K101" s="13">
        <v>13</v>
      </c>
      <c r="L101" s="14">
        <f t="shared" si="55"/>
        <v>335127</v>
      </c>
      <c r="M101" s="5">
        <f>ROUND(L101/产出与消耗!T19,4)</f>
        <v>2.2000000000000001E-3</v>
      </c>
      <c r="N101" s="13">
        <v>37</v>
      </c>
      <c r="O101" s="14">
        <f t="shared" si="56"/>
        <v>953823</v>
      </c>
      <c r="P101" s="5">
        <f>ROUND(O101/产出与消耗!T41,4)</f>
        <v>6.3E-3</v>
      </c>
      <c r="Q101" s="13">
        <v>8</v>
      </c>
      <c r="R101" s="14">
        <f t="shared" si="57"/>
        <v>206232</v>
      </c>
      <c r="S101" s="5">
        <f>ROUND(R101/产出与消耗!T63,4)</f>
        <v>2.0999999999999999E-3</v>
      </c>
      <c r="T101" s="9">
        <f t="shared" si="58"/>
        <v>1.06E-2</v>
      </c>
    </row>
    <row r="102" spans="1:20">
      <c r="B102">
        <v>17</v>
      </c>
      <c r="C102">
        <f>MAX(ROUND(C103-(C104-C103)/(产出与消耗!$K$22-产出与消耗!$K$21)*(产出与消耗!$K$21-产出与消耗!$K$20)*1.004,0),0)</f>
        <v>29536</v>
      </c>
      <c r="D102" s="13">
        <v>5</v>
      </c>
      <c r="E102">
        <f>ROUND(D102*C102/3600/(建筑!G102*基本公式!$B$153),2)</f>
        <v>5.13</v>
      </c>
      <c r="F102" s="13">
        <f t="shared" si="59"/>
        <v>14</v>
      </c>
      <c r="G102" s="14">
        <f t="shared" si="54"/>
        <v>413504</v>
      </c>
      <c r="K102" s="13">
        <v>13</v>
      </c>
      <c r="L102" s="14">
        <f t="shared" si="55"/>
        <v>383968</v>
      </c>
      <c r="M102" s="5">
        <f>ROUND(L102/产出与消耗!T20,4)</f>
        <v>1.6999999999999999E-3</v>
      </c>
      <c r="N102" s="13">
        <v>37</v>
      </c>
      <c r="O102" s="14">
        <f t="shared" si="56"/>
        <v>1092832</v>
      </c>
      <c r="P102" s="5">
        <f>ROUND(O102/产出与消耗!T42,4)</f>
        <v>4.8999999999999998E-3</v>
      </c>
      <c r="Q102" s="13">
        <v>8</v>
      </c>
      <c r="R102" s="14">
        <f t="shared" si="57"/>
        <v>236288</v>
      </c>
      <c r="S102" s="5">
        <f>ROUND(R102/产出与消耗!T64,4)</f>
        <v>1.6000000000000001E-3</v>
      </c>
      <c r="T102" s="9">
        <f t="shared" si="58"/>
        <v>8.2000000000000007E-3</v>
      </c>
    </row>
    <row r="103" spans="1:20">
      <c r="B103">
        <v>18</v>
      </c>
      <c r="C103">
        <f>MAX(ROUND(C104-(C105-C104)/(产出与消耗!$K$23-产出与消耗!$K$22)*(产出与消耗!$K$22-产出与消耗!$K$21)*1.004,0),0)</f>
        <v>33732</v>
      </c>
      <c r="D103" s="13">
        <v>5</v>
      </c>
      <c r="E103">
        <f>ROUND(D103*C103/3600/(建筑!G103*基本公式!$B$153),2)</f>
        <v>5.86</v>
      </c>
      <c r="F103" s="13">
        <f t="shared" si="59"/>
        <v>14</v>
      </c>
      <c r="G103" s="14">
        <f t="shared" si="54"/>
        <v>472248</v>
      </c>
      <c r="K103" s="13">
        <v>13</v>
      </c>
      <c r="L103" s="14">
        <f t="shared" si="55"/>
        <v>438516</v>
      </c>
      <c r="M103" s="5">
        <f>ROUND(L103/产出与消耗!T21,4)</f>
        <v>1.2999999999999999E-3</v>
      </c>
      <c r="N103" s="13">
        <v>37</v>
      </c>
      <c r="O103" s="14">
        <f t="shared" si="56"/>
        <v>1248084</v>
      </c>
      <c r="P103" s="5">
        <f>ROUND(O103/产出与消耗!T43,4)</f>
        <v>3.8E-3</v>
      </c>
      <c r="Q103" s="13">
        <v>8</v>
      </c>
      <c r="R103" s="14">
        <f t="shared" si="57"/>
        <v>269856</v>
      </c>
      <c r="S103" s="5">
        <f>ROUND(R103/产出与消耗!T65,4)</f>
        <v>1.1999999999999999E-3</v>
      </c>
      <c r="T103" s="9">
        <f t="shared" si="58"/>
        <v>6.3E-3</v>
      </c>
    </row>
    <row r="104" spans="1:20">
      <c r="A104" s="22" t="s">
        <v>211</v>
      </c>
      <c r="B104">
        <v>19</v>
      </c>
      <c r="C104">
        <f>ROUND(产出与消耗!$K$22*C105/产出与消耗!$K$23,0)</f>
        <v>38250</v>
      </c>
      <c r="D104" s="13">
        <v>5</v>
      </c>
      <c r="E104">
        <f>ROUND(D104*C104/3600/(建筑!G104*基本公式!$B$153),2)</f>
        <v>6.64</v>
      </c>
      <c r="F104" s="13">
        <f t="shared" si="59"/>
        <v>14</v>
      </c>
      <c r="G104" s="14">
        <f t="shared" si="54"/>
        <v>535500</v>
      </c>
      <c r="K104" s="13">
        <v>13</v>
      </c>
      <c r="L104" s="14">
        <f t="shared" si="55"/>
        <v>497250</v>
      </c>
      <c r="M104" s="5">
        <f>ROUND(L104/产出与消耗!T22,4)</f>
        <v>1.1000000000000001E-3</v>
      </c>
      <c r="N104" s="13">
        <v>37</v>
      </c>
      <c r="O104" s="14">
        <f t="shared" si="56"/>
        <v>1415250</v>
      </c>
      <c r="P104" s="5">
        <f>ROUND(O104/产出与消耗!T44,4)</f>
        <v>3.0999999999999999E-3</v>
      </c>
      <c r="Q104" s="13">
        <v>8</v>
      </c>
      <c r="R104" s="14">
        <f t="shared" si="57"/>
        <v>306000</v>
      </c>
      <c r="S104" s="5">
        <f>ROUND(R104/产出与消耗!T66,4)</f>
        <v>1E-3</v>
      </c>
      <c r="T104" s="9">
        <f t="shared" si="58"/>
        <v>5.1999999999999998E-3</v>
      </c>
    </row>
    <row r="105" spans="1:20">
      <c r="B105">
        <v>20</v>
      </c>
      <c r="C105">
        <v>45000</v>
      </c>
      <c r="D105" s="13">
        <v>5</v>
      </c>
      <c r="E105">
        <f>ROUND(D105*C105/3600/(建筑!G105*基本公式!$B$153),2)</f>
        <v>6.25</v>
      </c>
      <c r="F105" s="13">
        <f t="shared" si="59"/>
        <v>14</v>
      </c>
      <c r="G105" s="14">
        <f t="shared" si="54"/>
        <v>630000</v>
      </c>
      <c r="K105" s="13">
        <v>13</v>
      </c>
      <c r="L105" s="14">
        <f t="shared" si="55"/>
        <v>585000</v>
      </c>
      <c r="M105" s="5">
        <f>ROUND(L105/产出与消耗!T23,4)</f>
        <v>8.9999999999999998E-4</v>
      </c>
      <c r="N105" s="13">
        <v>37</v>
      </c>
      <c r="O105" s="14">
        <f t="shared" si="56"/>
        <v>1665000</v>
      </c>
      <c r="P105" s="5">
        <f>ROUND(O105/产出与消耗!T45,4)</f>
        <v>2.5000000000000001E-3</v>
      </c>
      <c r="Q105" s="13">
        <v>8</v>
      </c>
      <c r="R105" s="14">
        <f t="shared" si="57"/>
        <v>360000</v>
      </c>
      <c r="S105" s="5">
        <f>ROUND(R105/产出与消耗!T67,4)</f>
        <v>8.0000000000000004E-4</v>
      </c>
      <c r="T105" s="9">
        <f t="shared" si="58"/>
        <v>4.1999999999999997E-3</v>
      </c>
    </row>
    <row r="107" spans="1:20">
      <c r="A107" t="s">
        <v>172</v>
      </c>
      <c r="B107">
        <v>1</v>
      </c>
      <c r="C107">
        <f>MAX(ROUND(C108-(C109-C108)/(产出与消耗!$K$6-产出与消耗!$K$5)*(产出与消耗!$K$5-产出与消耗!$K$4)*1.004,0),0)</f>
        <v>0</v>
      </c>
      <c r="D107" s="13">
        <v>4</v>
      </c>
      <c r="E107">
        <f>ROUND(D107*C107/3600/(建筑!G86*基本公式!$B$153),2)</f>
        <v>0</v>
      </c>
      <c r="F107" s="13">
        <f>F23*1.5</f>
        <v>15</v>
      </c>
      <c r="G107" s="14">
        <f t="shared" ref="G107" si="60">F107*C107</f>
        <v>0</v>
      </c>
      <c r="K107" s="13">
        <v>10</v>
      </c>
      <c r="L107" s="14">
        <f t="shared" ref="L107" si="61">ROUND(K107*C107,0)</f>
        <v>0</v>
      </c>
      <c r="M107" s="5">
        <f>ROUND(L107/产出与消耗!T4,4)</f>
        <v>0</v>
      </c>
      <c r="N107" s="13">
        <v>10</v>
      </c>
      <c r="O107" s="14">
        <f t="shared" ref="O107" si="62">ROUND(N107*C107,0)</f>
        <v>0</v>
      </c>
      <c r="P107" s="5">
        <f>ROUND(O107/产出与消耗!T26,4)</f>
        <v>0</v>
      </c>
      <c r="Q107" s="13">
        <v>28</v>
      </c>
      <c r="R107" s="14">
        <f t="shared" ref="R107" si="63">ROUND(Q107*C107,0)</f>
        <v>0</v>
      </c>
      <c r="S107" s="5">
        <f>ROUND(R107/产出与消耗!T48,4)</f>
        <v>0</v>
      </c>
      <c r="T107" s="9">
        <f t="shared" ref="T107:T126" si="64">M107+P107+S107</f>
        <v>0</v>
      </c>
    </row>
    <row r="108" spans="1:20">
      <c r="B108">
        <v>2</v>
      </c>
      <c r="C108">
        <f>MAX(ROUND(C109-(C110-C109)/(产出与消耗!$K$7-产出与消耗!$K$6)*(产出与消耗!$K$6-产出与消耗!$K$5)*1.004,0),0)</f>
        <v>0</v>
      </c>
      <c r="D108" s="13">
        <v>4</v>
      </c>
      <c r="E108">
        <f>ROUND(D108*C108/3600/(建筑!G87*基本公式!$B$153),2)</f>
        <v>0</v>
      </c>
      <c r="F108" s="13">
        <f t="shared" ref="F108" si="65">F24*1.5</f>
        <v>15</v>
      </c>
      <c r="G108" s="14">
        <f t="shared" ref="G108:G126" si="66">F108*C108</f>
        <v>0</v>
      </c>
      <c r="K108" s="13">
        <v>10</v>
      </c>
      <c r="L108" s="14">
        <f t="shared" ref="L108:L126" si="67">ROUND(K108*C108,0)</f>
        <v>0</v>
      </c>
      <c r="M108" s="5">
        <f>ROUND(L108/产出与消耗!T5,4)</f>
        <v>0</v>
      </c>
      <c r="N108" s="13">
        <v>10</v>
      </c>
      <c r="O108" s="14">
        <f t="shared" ref="O108:O126" si="68">ROUND(N108*C108,0)</f>
        <v>0</v>
      </c>
      <c r="P108" s="5">
        <f>ROUND(O108/产出与消耗!T27,4)</f>
        <v>0</v>
      </c>
      <c r="Q108" s="13">
        <v>28</v>
      </c>
      <c r="R108" s="14">
        <f t="shared" ref="R108:R126" si="69">ROUND(Q108*C108,0)</f>
        <v>0</v>
      </c>
      <c r="S108" s="5">
        <f>ROUND(R108/产出与消耗!T49,4)</f>
        <v>0</v>
      </c>
      <c r="T108" s="9">
        <f t="shared" si="64"/>
        <v>0</v>
      </c>
    </row>
    <row r="109" spans="1:20">
      <c r="B109">
        <v>3</v>
      </c>
      <c r="C109">
        <f>MAX(ROUND(C110-(C111-C110)/(产出与消耗!$K$8-产出与消耗!$K$7)*(产出与消耗!$K$7-产出与消耗!$K$6)*1.004,0),0)</f>
        <v>0</v>
      </c>
      <c r="D109" s="13">
        <v>4</v>
      </c>
      <c r="E109">
        <f>ROUND(D109*C109/3600/(建筑!G88*基本公式!$B$153),2)</f>
        <v>0</v>
      </c>
      <c r="F109" s="13">
        <f t="shared" ref="F109:F126" si="70">F25*1.5</f>
        <v>15</v>
      </c>
      <c r="G109" s="14">
        <f t="shared" si="66"/>
        <v>0</v>
      </c>
      <c r="K109" s="13">
        <v>10</v>
      </c>
      <c r="L109" s="14">
        <f t="shared" si="67"/>
        <v>0</v>
      </c>
      <c r="M109" s="5">
        <f>ROUND(L109/产出与消耗!T6,4)</f>
        <v>0</v>
      </c>
      <c r="N109" s="13">
        <v>10</v>
      </c>
      <c r="O109" s="14">
        <f t="shared" si="68"/>
        <v>0</v>
      </c>
      <c r="P109" s="5">
        <f>ROUND(O109/产出与消耗!T28,4)</f>
        <v>0</v>
      </c>
      <c r="Q109" s="13">
        <v>28</v>
      </c>
      <c r="R109" s="14">
        <f t="shared" si="69"/>
        <v>0</v>
      </c>
      <c r="S109" s="5">
        <f>ROUND(R109/产出与消耗!T50,4)</f>
        <v>0</v>
      </c>
      <c r="T109" s="9">
        <f t="shared" si="64"/>
        <v>0</v>
      </c>
    </row>
    <row r="110" spans="1:20">
      <c r="B110">
        <v>4</v>
      </c>
      <c r="C110">
        <f>MAX(ROUND(C111-(C112-C111)/(产出与消耗!$K$9-产出与消耗!$K$8)*(产出与消耗!$K$8-产出与消耗!$K$7)*1.004,0),0)</f>
        <v>0</v>
      </c>
      <c r="D110" s="13">
        <v>4</v>
      </c>
      <c r="E110">
        <f>ROUND(D110*C110/3600/(建筑!G89*基本公式!$B$153),2)</f>
        <v>0</v>
      </c>
      <c r="F110" s="13">
        <f t="shared" si="70"/>
        <v>15</v>
      </c>
      <c r="G110" s="14">
        <f t="shared" si="66"/>
        <v>0</v>
      </c>
      <c r="K110" s="13">
        <v>10</v>
      </c>
      <c r="L110" s="14">
        <f t="shared" si="67"/>
        <v>0</v>
      </c>
      <c r="M110" s="5">
        <f>ROUND(L110/产出与消耗!T7,4)</f>
        <v>0</v>
      </c>
      <c r="N110" s="13">
        <v>10</v>
      </c>
      <c r="O110" s="14">
        <f t="shared" si="68"/>
        <v>0</v>
      </c>
      <c r="P110" s="5">
        <f>ROUND(O110/产出与消耗!T29,4)</f>
        <v>0</v>
      </c>
      <c r="Q110" s="13">
        <v>28</v>
      </c>
      <c r="R110" s="14">
        <f t="shared" si="69"/>
        <v>0</v>
      </c>
      <c r="S110" s="5">
        <f>ROUND(R110/产出与消耗!T51,4)</f>
        <v>0</v>
      </c>
      <c r="T110" s="9">
        <f t="shared" si="64"/>
        <v>0</v>
      </c>
    </row>
    <row r="111" spans="1:20">
      <c r="B111">
        <v>5</v>
      </c>
      <c r="C111">
        <f>MAX(ROUND(C112-(C113-C112)/(产出与消耗!$K$10-产出与消耗!$K$9)*(产出与消耗!$K$9-产出与消耗!$K$8)*1.004,0),0)</f>
        <v>27</v>
      </c>
      <c r="D111" s="13">
        <v>4</v>
      </c>
      <c r="E111">
        <f>ROUND(D111*C111/3600/(建筑!G90*基本公式!$B$153),2)</f>
        <v>0.02</v>
      </c>
      <c r="F111" s="13">
        <f t="shared" si="70"/>
        <v>15</v>
      </c>
      <c r="G111" s="14">
        <f t="shared" si="66"/>
        <v>405</v>
      </c>
      <c r="K111" s="13">
        <v>10</v>
      </c>
      <c r="L111" s="14">
        <f t="shared" si="67"/>
        <v>270</v>
      </c>
      <c r="M111" s="5">
        <f>ROUND(L111/产出与消耗!T8,4)</f>
        <v>7.0000000000000001E-3</v>
      </c>
      <c r="N111" s="13">
        <v>10</v>
      </c>
      <c r="O111" s="14">
        <f t="shared" si="68"/>
        <v>270</v>
      </c>
      <c r="P111" s="5">
        <f>ROUND(O111/产出与消耗!T30,4)</f>
        <v>7.0000000000000001E-3</v>
      </c>
      <c r="Q111" s="13">
        <v>28</v>
      </c>
      <c r="R111" s="14">
        <f t="shared" si="69"/>
        <v>756</v>
      </c>
      <c r="S111" s="5">
        <f>ROUND(R111/产出与消耗!T52,4)</f>
        <v>2.5499999999999998E-2</v>
      </c>
      <c r="T111" s="9">
        <f t="shared" si="64"/>
        <v>3.95E-2</v>
      </c>
    </row>
    <row r="112" spans="1:20">
      <c r="B112">
        <v>6</v>
      </c>
      <c r="C112">
        <f>MAX(ROUND(C113-(C114-C113)/(产出与消耗!$K$11-产出与消耗!$K$10)*(产出与消耗!$K$10-产出与消耗!$K$9)*1.004,0),0)</f>
        <v>622</v>
      </c>
      <c r="D112" s="13">
        <v>4</v>
      </c>
      <c r="E112">
        <f>ROUND(D112*C112/3600/(建筑!G91*基本公式!$B$153),2)</f>
        <v>0.35</v>
      </c>
      <c r="F112" s="13">
        <f t="shared" si="70"/>
        <v>15</v>
      </c>
      <c r="G112" s="14">
        <f t="shared" si="66"/>
        <v>9330</v>
      </c>
      <c r="K112" s="13">
        <v>10</v>
      </c>
      <c r="L112" s="14">
        <f t="shared" si="67"/>
        <v>6220</v>
      </c>
      <c r="M112" s="5">
        <f>ROUND(L112/产出与消耗!T9,4)</f>
        <v>6.1899999999999997E-2</v>
      </c>
      <c r="N112" s="13">
        <v>10</v>
      </c>
      <c r="O112" s="14">
        <f t="shared" si="68"/>
        <v>6220</v>
      </c>
      <c r="P112" s="5">
        <f>ROUND(O112/产出与消耗!T31,4)</f>
        <v>6.1899999999999997E-2</v>
      </c>
      <c r="Q112" s="13">
        <v>28</v>
      </c>
      <c r="R112" s="14">
        <f t="shared" si="69"/>
        <v>17416</v>
      </c>
      <c r="S112" s="5">
        <f>ROUND(R112/产出与消耗!T53,4)</f>
        <v>0.2477</v>
      </c>
      <c r="T112" s="9">
        <f t="shared" si="64"/>
        <v>0.3715</v>
      </c>
    </row>
    <row r="113" spans="1:20">
      <c r="B113">
        <v>7</v>
      </c>
      <c r="C113">
        <f>MAX(ROUND(C114-(C115-C114)/(产出与消耗!$K$12-产出与消耗!$K$11)*(产出与消耗!$K$11-产出与消耗!$K$10)*1.004,0),0)</f>
        <v>1570</v>
      </c>
      <c r="D113" s="13">
        <v>4</v>
      </c>
      <c r="E113">
        <f>ROUND(D113*C113/3600/(建筑!G92*基本公式!$B$153),2)</f>
        <v>0.44</v>
      </c>
      <c r="F113" s="13">
        <f t="shared" si="70"/>
        <v>15</v>
      </c>
      <c r="G113" s="14">
        <f t="shared" si="66"/>
        <v>23550</v>
      </c>
      <c r="K113" s="13">
        <v>10</v>
      </c>
      <c r="L113" s="14">
        <f t="shared" si="67"/>
        <v>15700</v>
      </c>
      <c r="M113" s="5">
        <f>ROUND(L113/产出与消耗!T10,4)</f>
        <v>6.6000000000000003E-2</v>
      </c>
      <c r="N113" s="13">
        <v>10</v>
      </c>
      <c r="O113" s="14">
        <f t="shared" si="68"/>
        <v>15700</v>
      </c>
      <c r="P113" s="5">
        <f>ROUND(O113/产出与消耗!T32,4)</f>
        <v>6.6000000000000003E-2</v>
      </c>
      <c r="Q113" s="13">
        <v>28</v>
      </c>
      <c r="R113" s="14">
        <f t="shared" si="69"/>
        <v>43960</v>
      </c>
      <c r="S113" s="5">
        <f>ROUND(R113/产出与消耗!T54,4)</f>
        <v>0.27150000000000002</v>
      </c>
      <c r="T113" s="9">
        <f t="shared" si="64"/>
        <v>0.40350000000000003</v>
      </c>
    </row>
    <row r="114" spans="1:20">
      <c r="A114" s="16"/>
      <c r="B114">
        <v>8</v>
      </c>
      <c r="C114">
        <f>MAX(ROUND(C115-(C116-C115)/(产出与消耗!$K$13-产出与消耗!$K$12)*(产出与消耗!$K$12-产出与消耗!$K$11)*1.004,0),0)</f>
        <v>3104</v>
      </c>
      <c r="D114" s="13">
        <v>4</v>
      </c>
      <c r="E114">
        <f>ROUND(D114*C114/3600/(建筑!G93*基本公式!$B$153),2)</f>
        <v>0.86</v>
      </c>
      <c r="F114" s="13">
        <f t="shared" si="70"/>
        <v>15</v>
      </c>
      <c r="G114" s="14">
        <f t="shared" si="66"/>
        <v>46560</v>
      </c>
      <c r="K114" s="13">
        <v>10</v>
      </c>
      <c r="L114" s="14">
        <f t="shared" si="67"/>
        <v>31040</v>
      </c>
      <c r="M114" s="5">
        <f>ROUND(L114/产出与消耗!T11,4)</f>
        <v>4.3900000000000002E-2</v>
      </c>
      <c r="N114" s="13">
        <v>10</v>
      </c>
      <c r="O114" s="14">
        <f t="shared" si="68"/>
        <v>31040</v>
      </c>
      <c r="P114" s="5">
        <f>ROUND(O114/产出与消耗!T33,4)</f>
        <v>4.3900000000000002E-2</v>
      </c>
      <c r="Q114" s="13">
        <v>28</v>
      </c>
      <c r="R114" s="14">
        <f t="shared" si="69"/>
        <v>86912</v>
      </c>
      <c r="S114" s="5">
        <f>ROUND(R114/产出与消耗!T55,4)</f>
        <v>0.18310000000000001</v>
      </c>
      <c r="T114" s="9">
        <f t="shared" si="64"/>
        <v>0.27089999999999997</v>
      </c>
    </row>
    <row r="115" spans="1:20">
      <c r="B115">
        <v>9</v>
      </c>
      <c r="C115">
        <f>MAX(ROUND(C116-(C117-C116)/(产出与消耗!$K$14-产出与消耗!$K$13)*(产出与消耗!$K$13-产出与消耗!$K$12)*1.004,0),0)</f>
        <v>4632</v>
      </c>
      <c r="D115" s="13">
        <v>4</v>
      </c>
      <c r="E115">
        <f>ROUND(D115*C115/3600/(建筑!G94*基本公式!$B$153),2)</f>
        <v>1.29</v>
      </c>
      <c r="F115" s="13">
        <f t="shared" si="70"/>
        <v>15</v>
      </c>
      <c r="G115" s="14">
        <f t="shared" si="66"/>
        <v>69480</v>
      </c>
      <c r="K115" s="13">
        <v>10</v>
      </c>
      <c r="L115" s="14">
        <f t="shared" si="67"/>
        <v>46320</v>
      </c>
      <c r="M115" s="5">
        <f>ROUND(L115/产出与消耗!T12,4)</f>
        <v>2.8199999999999999E-2</v>
      </c>
      <c r="N115" s="13">
        <v>10</v>
      </c>
      <c r="O115" s="14">
        <f t="shared" si="68"/>
        <v>46320</v>
      </c>
      <c r="P115" s="5">
        <f>ROUND(O115/产出与消耗!T34,4)</f>
        <v>2.8199999999999999E-2</v>
      </c>
      <c r="Q115" s="13">
        <v>28</v>
      </c>
      <c r="R115" s="14">
        <f t="shared" si="69"/>
        <v>129696</v>
      </c>
      <c r="S115" s="5">
        <f>ROUND(R115/产出与消耗!T56,4)</f>
        <v>0.1179</v>
      </c>
      <c r="T115" s="9">
        <f t="shared" si="64"/>
        <v>0.17430000000000001</v>
      </c>
    </row>
    <row r="116" spans="1:20">
      <c r="A116" s="21" t="s">
        <v>209</v>
      </c>
      <c r="B116">
        <v>10</v>
      </c>
      <c r="C116">
        <f>MAX(ROUND(C117-(C118-C117)/(产出与消耗!$K$15-产出与消耗!$K$14)*(产出与消耗!$K$14-产出与消耗!$K$13)*1.004,0),0)</f>
        <v>7091</v>
      </c>
      <c r="D116" s="13">
        <v>4</v>
      </c>
      <c r="E116">
        <f>ROUND(D116*C116/3600/(建筑!G95*基本公式!$B$153),2)</f>
        <v>1.97</v>
      </c>
      <c r="F116" s="13">
        <f t="shared" si="70"/>
        <v>15</v>
      </c>
      <c r="G116" s="14">
        <f t="shared" si="66"/>
        <v>106365</v>
      </c>
      <c r="K116" s="13">
        <v>10</v>
      </c>
      <c r="L116" s="14">
        <f t="shared" si="67"/>
        <v>70910</v>
      </c>
      <c r="M116" s="5">
        <f>ROUND(L116/产出与消耗!T13,4)</f>
        <v>1.8200000000000001E-2</v>
      </c>
      <c r="N116" s="13">
        <v>10</v>
      </c>
      <c r="O116" s="14">
        <f t="shared" si="68"/>
        <v>70910</v>
      </c>
      <c r="P116" s="5">
        <f>ROUND(O116/产出与消耗!T35,4)</f>
        <v>1.8200000000000001E-2</v>
      </c>
      <c r="Q116" s="13">
        <v>28</v>
      </c>
      <c r="R116" s="14">
        <f t="shared" si="69"/>
        <v>198548</v>
      </c>
      <c r="S116" s="5">
        <f>ROUND(R116/产出与消耗!T57,4)</f>
        <v>7.6200000000000004E-2</v>
      </c>
      <c r="T116" s="9">
        <f t="shared" si="64"/>
        <v>0.11260000000000001</v>
      </c>
    </row>
    <row r="117" spans="1:20">
      <c r="B117">
        <v>11</v>
      </c>
      <c r="C117">
        <f>MAX(ROUND(C118-(C119-C118)/(产出与消耗!$K$16-产出与消耗!$K$15)*(产出与消耗!$K$15-产出与消耗!$K$14)*1.004,0),0)</f>
        <v>8607</v>
      </c>
      <c r="D117" s="13">
        <v>4</v>
      </c>
      <c r="E117">
        <f>ROUND(D117*C117/3600/(建筑!G96*基本公式!$B$153),2)</f>
        <v>2.39</v>
      </c>
      <c r="F117" s="13">
        <f t="shared" si="70"/>
        <v>15</v>
      </c>
      <c r="G117" s="14">
        <f t="shared" si="66"/>
        <v>129105</v>
      </c>
      <c r="K117" s="13">
        <v>10</v>
      </c>
      <c r="L117" s="14">
        <f t="shared" si="67"/>
        <v>86070</v>
      </c>
      <c r="M117" s="5">
        <f>ROUND(L117/产出与消耗!T14,4)</f>
        <v>1.0800000000000001E-2</v>
      </c>
      <c r="N117" s="13">
        <v>10</v>
      </c>
      <c r="O117" s="14">
        <f t="shared" si="68"/>
        <v>86070</v>
      </c>
      <c r="P117" s="5">
        <f>ROUND(O117/产出与消耗!T36,4)</f>
        <v>1.0800000000000001E-2</v>
      </c>
      <c r="Q117" s="13">
        <v>28</v>
      </c>
      <c r="R117" s="14">
        <f t="shared" si="69"/>
        <v>240996</v>
      </c>
      <c r="S117" s="5">
        <f>ROUND(R117/产出与消耗!T58,4)</f>
        <v>4.5600000000000002E-2</v>
      </c>
      <c r="T117" s="9">
        <f t="shared" si="64"/>
        <v>6.7199999999999996E-2</v>
      </c>
    </row>
    <row r="118" spans="1:20">
      <c r="B118">
        <v>12</v>
      </c>
      <c r="C118">
        <f>MAX(ROUND(C119-(C120-C119)/(产出与消耗!$K$17-产出与消耗!$K$16)*(产出与消耗!$K$16-产出与消耗!$K$15)*1.004,0),0)</f>
        <v>12556</v>
      </c>
      <c r="D118" s="13">
        <v>4</v>
      </c>
      <c r="E118">
        <f>ROUND(D118*C118/3600/(建筑!G97*基本公式!$B$153),2)</f>
        <v>2.33</v>
      </c>
      <c r="F118" s="13">
        <f t="shared" si="70"/>
        <v>15</v>
      </c>
      <c r="G118" s="14">
        <f t="shared" si="66"/>
        <v>188340</v>
      </c>
      <c r="K118" s="13">
        <v>10</v>
      </c>
      <c r="L118" s="14">
        <f t="shared" si="67"/>
        <v>125560</v>
      </c>
      <c r="M118" s="5">
        <f>ROUND(L118/产出与消耗!T15,4)</f>
        <v>7.1000000000000004E-3</v>
      </c>
      <c r="N118" s="13">
        <v>10</v>
      </c>
      <c r="O118" s="14">
        <f t="shared" si="68"/>
        <v>125560</v>
      </c>
      <c r="P118" s="5">
        <f>ROUND(O118/产出与消耗!T37,4)</f>
        <v>7.1000000000000004E-3</v>
      </c>
      <c r="Q118" s="13">
        <v>28</v>
      </c>
      <c r="R118" s="14">
        <f t="shared" si="69"/>
        <v>351568</v>
      </c>
      <c r="S118" s="5">
        <f>ROUND(R118/产出与消耗!T59,4)</f>
        <v>2.98E-2</v>
      </c>
      <c r="T118" s="9">
        <f t="shared" si="64"/>
        <v>4.3999999999999997E-2</v>
      </c>
    </row>
    <row r="119" spans="1:20">
      <c r="A119" s="16"/>
      <c r="B119">
        <v>13</v>
      </c>
      <c r="C119">
        <f>MAX(ROUND(C120-(C121-C120)/(产出与消耗!$K$18-产出与消耗!$K$17)*(产出与消耗!$K$17-产出与消耗!$K$16)*1.004,0),0)</f>
        <v>15911</v>
      </c>
      <c r="D119" s="13">
        <v>4</v>
      </c>
      <c r="E119">
        <f>ROUND(D119*C119/3600/(建筑!G98*基本公式!$B$153),2)</f>
        <v>2.95</v>
      </c>
      <c r="F119" s="13">
        <f t="shared" si="70"/>
        <v>15</v>
      </c>
      <c r="G119" s="14">
        <f t="shared" si="66"/>
        <v>238665</v>
      </c>
      <c r="K119" s="13">
        <v>10</v>
      </c>
      <c r="L119" s="14">
        <f t="shared" si="67"/>
        <v>159110</v>
      </c>
      <c r="M119" s="5">
        <f>ROUND(L119/产出与消耗!T16,4)</f>
        <v>4.5999999999999999E-3</v>
      </c>
      <c r="N119" s="13">
        <v>10</v>
      </c>
      <c r="O119" s="14">
        <f t="shared" si="68"/>
        <v>159110</v>
      </c>
      <c r="P119" s="5">
        <f>ROUND(O119/产出与消耗!T38,4)</f>
        <v>4.5999999999999999E-3</v>
      </c>
      <c r="Q119" s="13">
        <v>28</v>
      </c>
      <c r="R119" s="14">
        <f t="shared" si="69"/>
        <v>445508</v>
      </c>
      <c r="S119" s="5">
        <f>ROUND(R119/产出与消耗!T60,4)</f>
        <v>1.95E-2</v>
      </c>
      <c r="T119" s="9">
        <f t="shared" si="64"/>
        <v>2.87E-2</v>
      </c>
    </row>
    <row r="120" spans="1:20">
      <c r="A120" s="21" t="s">
        <v>210</v>
      </c>
      <c r="B120">
        <v>14</v>
      </c>
      <c r="C120">
        <f>MAX(ROUND(C121-(C122-C121)/(产出与消耗!$K$19-产出与消耗!$K$18)*(产出与消耗!$K$18-产出与消耗!$K$17)*1.004,0),0)</f>
        <v>18907</v>
      </c>
      <c r="D120" s="13">
        <v>4</v>
      </c>
      <c r="E120">
        <f>ROUND(D120*C120/3600/(建筑!G99*基本公式!$B$153),2)</f>
        <v>3.5</v>
      </c>
      <c r="F120" s="13">
        <f t="shared" si="70"/>
        <v>15</v>
      </c>
      <c r="G120" s="14">
        <f t="shared" si="66"/>
        <v>283605</v>
      </c>
      <c r="K120" s="13">
        <v>10</v>
      </c>
      <c r="L120" s="14">
        <f t="shared" si="67"/>
        <v>189070</v>
      </c>
      <c r="M120" s="5">
        <f>ROUND(L120/产出与消耗!T17,4)</f>
        <v>3.2000000000000002E-3</v>
      </c>
      <c r="N120" s="13">
        <v>10</v>
      </c>
      <c r="O120" s="14">
        <f t="shared" si="68"/>
        <v>189070</v>
      </c>
      <c r="P120" s="5">
        <f>ROUND(O120/产出与消耗!T39,4)</f>
        <v>3.2000000000000002E-3</v>
      </c>
      <c r="Q120" s="13">
        <v>28</v>
      </c>
      <c r="R120" s="14">
        <f t="shared" si="69"/>
        <v>529396</v>
      </c>
      <c r="S120" s="5">
        <f>ROUND(R120/产出与消耗!T61,4)</f>
        <v>1.34E-2</v>
      </c>
      <c r="T120" s="9">
        <f t="shared" si="64"/>
        <v>1.9800000000000002E-2</v>
      </c>
    </row>
    <row r="121" spans="1:20">
      <c r="B121">
        <v>15</v>
      </c>
      <c r="C121">
        <f>MAX(ROUND(C122-(C123-C122)/(产出与消耗!$K$20-产出与消耗!$K$19)*(产出与消耗!$K$19-产出与消耗!$K$18)*1.004,0),0)</f>
        <v>22350</v>
      </c>
      <c r="D121" s="13">
        <v>4</v>
      </c>
      <c r="E121">
        <f>ROUND(D121*C121/3600/(建筑!G100*基本公式!$B$153),2)</f>
        <v>4.1399999999999997</v>
      </c>
      <c r="F121" s="13">
        <f t="shared" si="70"/>
        <v>15</v>
      </c>
      <c r="G121" s="14">
        <f t="shared" si="66"/>
        <v>335250</v>
      </c>
      <c r="K121" s="13">
        <v>10</v>
      </c>
      <c r="L121" s="14">
        <f t="shared" si="67"/>
        <v>223500</v>
      </c>
      <c r="M121" s="5">
        <f>ROUND(L121/产出与消耗!T18,4)</f>
        <v>2.3E-3</v>
      </c>
      <c r="N121" s="13">
        <v>10</v>
      </c>
      <c r="O121" s="14">
        <f t="shared" si="68"/>
        <v>223500</v>
      </c>
      <c r="P121" s="5">
        <f>ROUND(O121/产出与消耗!T40,4)</f>
        <v>2.3E-3</v>
      </c>
      <c r="Q121" s="13">
        <v>28</v>
      </c>
      <c r="R121" s="14">
        <f t="shared" si="69"/>
        <v>625800</v>
      </c>
      <c r="S121" s="5">
        <f>ROUND(R121/产出与消耗!T62,4)</f>
        <v>9.7000000000000003E-3</v>
      </c>
      <c r="T121" s="9">
        <f t="shared" si="64"/>
        <v>1.43E-2</v>
      </c>
    </row>
    <row r="122" spans="1:20">
      <c r="B122">
        <v>16</v>
      </c>
      <c r="C122">
        <f>MAX(ROUND(C123-(C124-C123)/(产出与消耗!$K$21-产出与消耗!$K$20)*(产出与消耗!$K$20-产出与消耗!$K$19)*1.004,0),0)</f>
        <v>25779</v>
      </c>
      <c r="D122" s="13">
        <v>4</v>
      </c>
      <c r="E122">
        <f>ROUND(D122*C122/3600/(建筑!G101*基本公式!$B$153),2)</f>
        <v>3.58</v>
      </c>
      <c r="F122" s="13">
        <f t="shared" si="70"/>
        <v>15</v>
      </c>
      <c r="G122" s="14">
        <f t="shared" si="66"/>
        <v>386685</v>
      </c>
      <c r="K122" s="13">
        <v>10</v>
      </c>
      <c r="L122" s="14">
        <f t="shared" si="67"/>
        <v>257790</v>
      </c>
      <c r="M122" s="5">
        <f>ROUND(L122/产出与消耗!T19,4)</f>
        <v>1.6999999999999999E-3</v>
      </c>
      <c r="N122" s="13">
        <v>10</v>
      </c>
      <c r="O122" s="14">
        <f t="shared" si="68"/>
        <v>257790</v>
      </c>
      <c r="P122" s="5">
        <f>ROUND(O122/产出与消耗!T41,4)</f>
        <v>1.6999999999999999E-3</v>
      </c>
      <c r="Q122" s="13">
        <v>28</v>
      </c>
      <c r="R122" s="14">
        <f t="shared" si="69"/>
        <v>721812</v>
      </c>
      <c r="S122" s="5">
        <f>ROUND(R122/产出与消耗!T63,4)</f>
        <v>7.1999999999999998E-3</v>
      </c>
      <c r="T122" s="9">
        <f t="shared" si="64"/>
        <v>1.06E-2</v>
      </c>
    </row>
    <row r="123" spans="1:20">
      <c r="B123">
        <v>17</v>
      </c>
      <c r="C123">
        <f>MAX(ROUND(C124-(C125-C124)/(产出与消耗!$K$22-产出与消耗!$K$21)*(产出与消耗!$K$21-产出与消耗!$K$20)*1.004,0),0)</f>
        <v>29536</v>
      </c>
      <c r="D123" s="13">
        <v>4</v>
      </c>
      <c r="E123">
        <f>ROUND(D123*C123/3600/(建筑!G102*基本公式!$B$153),2)</f>
        <v>4.0999999999999996</v>
      </c>
      <c r="F123" s="13">
        <f t="shared" si="70"/>
        <v>15</v>
      </c>
      <c r="G123" s="14">
        <f t="shared" si="66"/>
        <v>443040</v>
      </c>
      <c r="K123" s="13">
        <v>10</v>
      </c>
      <c r="L123" s="14">
        <f t="shared" si="67"/>
        <v>295360</v>
      </c>
      <c r="M123" s="5">
        <f>ROUND(L123/产出与消耗!T20,4)</f>
        <v>1.2999999999999999E-3</v>
      </c>
      <c r="N123" s="13">
        <v>10</v>
      </c>
      <c r="O123" s="14">
        <f t="shared" si="68"/>
        <v>295360</v>
      </c>
      <c r="P123" s="5">
        <f>ROUND(O123/产出与消耗!T42,4)</f>
        <v>1.2999999999999999E-3</v>
      </c>
      <c r="Q123" s="13">
        <v>28</v>
      </c>
      <c r="R123" s="14">
        <f t="shared" si="69"/>
        <v>827008</v>
      </c>
      <c r="S123" s="5">
        <f>ROUND(R123/产出与消耗!T64,4)</f>
        <v>5.4999999999999997E-3</v>
      </c>
      <c r="T123" s="9">
        <f t="shared" si="64"/>
        <v>8.0999999999999996E-3</v>
      </c>
    </row>
    <row r="124" spans="1:20">
      <c r="B124">
        <v>18</v>
      </c>
      <c r="C124">
        <f>MAX(ROUND(C125-(C126-C125)/(产出与消耗!$K$23-产出与消耗!$K$22)*(产出与消耗!$K$22-产出与消耗!$K$21)*1.004,0),0)</f>
        <v>33732</v>
      </c>
      <c r="D124" s="13">
        <v>4</v>
      </c>
      <c r="E124">
        <f>ROUND(D124*C124/3600/(建筑!G103*基本公式!$B$153),2)</f>
        <v>4.6900000000000004</v>
      </c>
      <c r="F124" s="13">
        <f t="shared" si="70"/>
        <v>15</v>
      </c>
      <c r="G124" s="14">
        <f t="shared" si="66"/>
        <v>505980</v>
      </c>
      <c r="K124" s="13">
        <v>10</v>
      </c>
      <c r="L124" s="14">
        <f t="shared" si="67"/>
        <v>337320</v>
      </c>
      <c r="M124" s="5">
        <f>ROUND(L124/产出与消耗!T21,4)</f>
        <v>1E-3</v>
      </c>
      <c r="N124" s="13">
        <v>10</v>
      </c>
      <c r="O124" s="14">
        <f t="shared" si="68"/>
        <v>337320</v>
      </c>
      <c r="P124" s="5">
        <f>ROUND(O124/产出与消耗!T43,4)</f>
        <v>1E-3</v>
      </c>
      <c r="Q124" s="13">
        <v>28</v>
      </c>
      <c r="R124" s="14">
        <f t="shared" si="69"/>
        <v>944496</v>
      </c>
      <c r="S124" s="5">
        <f>ROUND(R124/产出与消耗!T65,4)</f>
        <v>4.3E-3</v>
      </c>
      <c r="T124" s="9">
        <f t="shared" si="64"/>
        <v>6.3E-3</v>
      </c>
    </row>
    <row r="125" spans="1:20">
      <c r="A125" s="22" t="s">
        <v>211</v>
      </c>
      <c r="B125">
        <v>19</v>
      </c>
      <c r="C125">
        <f>ROUND(产出与消耗!$K$22*C126/产出与消耗!$K$23,0)</f>
        <v>38250</v>
      </c>
      <c r="D125" s="13">
        <v>4</v>
      </c>
      <c r="E125">
        <f>ROUND(D125*C125/3600/(建筑!G104*基本公式!$B$153),2)</f>
        <v>5.31</v>
      </c>
      <c r="F125" s="13">
        <f t="shared" si="70"/>
        <v>15</v>
      </c>
      <c r="G125" s="14">
        <f t="shared" si="66"/>
        <v>573750</v>
      </c>
      <c r="K125" s="13">
        <v>10</v>
      </c>
      <c r="L125" s="14">
        <f t="shared" si="67"/>
        <v>382500</v>
      </c>
      <c r="M125" s="5">
        <f>ROUND(L125/产出与消耗!T22,4)</f>
        <v>8.0000000000000004E-4</v>
      </c>
      <c r="N125" s="13">
        <v>10</v>
      </c>
      <c r="O125" s="14">
        <f t="shared" si="68"/>
        <v>382500</v>
      </c>
      <c r="P125" s="5">
        <f>ROUND(O125/产出与消耗!T44,4)</f>
        <v>8.0000000000000004E-4</v>
      </c>
      <c r="Q125" s="13">
        <v>28</v>
      </c>
      <c r="R125" s="14">
        <f t="shared" si="69"/>
        <v>1071000</v>
      </c>
      <c r="S125" s="5">
        <f>ROUND(R125/产出与消耗!T66,4)</f>
        <v>3.5000000000000001E-3</v>
      </c>
      <c r="T125" s="9">
        <f t="shared" si="64"/>
        <v>5.1000000000000004E-3</v>
      </c>
    </row>
    <row r="126" spans="1:20">
      <c r="B126">
        <v>20</v>
      </c>
      <c r="C126">
        <v>45000</v>
      </c>
      <c r="D126" s="13">
        <v>4</v>
      </c>
      <c r="E126">
        <f>ROUND(D126*C126/3600/(建筑!G105*基本公式!$B$153),2)</f>
        <v>5</v>
      </c>
      <c r="F126" s="13">
        <f t="shared" si="70"/>
        <v>15</v>
      </c>
      <c r="G126" s="14">
        <f t="shared" si="66"/>
        <v>675000</v>
      </c>
      <c r="K126" s="13">
        <v>10</v>
      </c>
      <c r="L126" s="14">
        <f t="shared" si="67"/>
        <v>450000</v>
      </c>
      <c r="M126" s="5">
        <f>ROUND(L126/产出与消耗!T23,4)</f>
        <v>6.9999999999999999E-4</v>
      </c>
      <c r="N126" s="13">
        <v>10</v>
      </c>
      <c r="O126" s="14">
        <f t="shared" si="68"/>
        <v>450000</v>
      </c>
      <c r="P126" s="5">
        <f>ROUND(O126/产出与消耗!T45,4)</f>
        <v>6.9999999999999999E-4</v>
      </c>
      <c r="Q126" s="13">
        <v>28</v>
      </c>
      <c r="R126" s="14">
        <f t="shared" si="69"/>
        <v>1260000</v>
      </c>
      <c r="S126" s="5">
        <f>ROUND(R126/产出与消耗!T67,4)</f>
        <v>2.8E-3</v>
      </c>
      <c r="T126" s="9">
        <f t="shared" si="64"/>
        <v>4.1999999999999997E-3</v>
      </c>
    </row>
    <row r="128" spans="1:20">
      <c r="A128" t="s">
        <v>178</v>
      </c>
      <c r="B128">
        <v>1</v>
      </c>
      <c r="C128">
        <f>MAX(ROUND(C129-(C130-C129)/(产出与消耗!$K$6-产出与消耗!$K$5)*(产出与消耗!$K$5-产出与消耗!$K$4)*1.004,0),0)</f>
        <v>0</v>
      </c>
      <c r="D128" s="13">
        <v>2</v>
      </c>
      <c r="E128">
        <f>ROUND(D128*C128/3600/(建筑!G86*基本公式!$B$153),2)</f>
        <v>0</v>
      </c>
      <c r="F128" s="13">
        <f>F44*1.5</f>
        <v>18</v>
      </c>
      <c r="G128" s="14">
        <f t="shared" ref="G128" si="71">F128*C128</f>
        <v>0</v>
      </c>
      <c r="K128" s="13">
        <v>35</v>
      </c>
      <c r="L128" s="14">
        <f t="shared" ref="L128" si="72">ROUND(K128*C128,0)</f>
        <v>0</v>
      </c>
      <c r="M128" s="5">
        <f>ROUND(L128/产出与消耗!T4,4)</f>
        <v>0</v>
      </c>
      <c r="N128" s="13">
        <v>6</v>
      </c>
      <c r="O128" s="14">
        <f t="shared" ref="O128" si="73">ROUND(N128*C128,0)</f>
        <v>0</v>
      </c>
      <c r="P128" s="5">
        <f>ROUND(O128/产出与消耗!T26,4)</f>
        <v>0</v>
      </c>
      <c r="Q128" s="13">
        <v>14</v>
      </c>
      <c r="R128" s="14">
        <f t="shared" ref="R128" si="74">ROUND(Q128*C128,0)</f>
        <v>0</v>
      </c>
      <c r="S128" s="5">
        <f>ROUND(R128/产出与消耗!T48,4)</f>
        <v>0</v>
      </c>
      <c r="T128" s="9">
        <f t="shared" ref="T128:T147" si="75">M128+P128+S128</f>
        <v>0</v>
      </c>
    </row>
    <row r="129" spans="1:20">
      <c r="B129">
        <v>2</v>
      </c>
      <c r="C129">
        <f>MAX(ROUND(C130-(C131-C130)/(产出与消耗!$K$7-产出与消耗!$K$6)*(产出与消耗!$K$6-产出与消耗!$K$5)*1.004,0),0)</f>
        <v>0</v>
      </c>
      <c r="D129" s="13">
        <v>2</v>
      </c>
      <c r="E129">
        <f>ROUND(D129*C129/3600/(建筑!G87*基本公式!$B$153),2)</f>
        <v>0</v>
      </c>
      <c r="F129" s="13">
        <f t="shared" ref="F129" si="76">F45*1.5</f>
        <v>18</v>
      </c>
      <c r="G129" s="14">
        <f t="shared" ref="G129:G147" si="77">F129*C129</f>
        <v>0</v>
      </c>
      <c r="K129" s="13">
        <v>35</v>
      </c>
      <c r="L129" s="14">
        <f t="shared" ref="L129:L147" si="78">ROUND(K129*C129,0)</f>
        <v>0</v>
      </c>
      <c r="M129" s="5">
        <f>ROUND(L129/产出与消耗!T5,4)</f>
        <v>0</v>
      </c>
      <c r="N129" s="13">
        <v>6</v>
      </c>
      <c r="O129" s="14">
        <f t="shared" ref="O129:O147" si="79">ROUND(N129*C129,0)</f>
        <v>0</v>
      </c>
      <c r="P129" s="5">
        <f>ROUND(O129/产出与消耗!T27,4)</f>
        <v>0</v>
      </c>
      <c r="Q129" s="13">
        <v>14</v>
      </c>
      <c r="R129" s="14">
        <f t="shared" ref="R129:R147" si="80">ROUND(Q129*C129,0)</f>
        <v>0</v>
      </c>
      <c r="S129" s="5">
        <f>ROUND(R129/产出与消耗!T49,4)</f>
        <v>0</v>
      </c>
      <c r="T129" s="9">
        <f t="shared" si="75"/>
        <v>0</v>
      </c>
    </row>
    <row r="130" spans="1:20">
      <c r="B130">
        <v>3</v>
      </c>
      <c r="C130">
        <f>MAX(ROUND(C131-(C132-C131)/(产出与消耗!$K$8-产出与消耗!$K$7)*(产出与消耗!$K$7-产出与消耗!$K$6)*1.004,0),0)</f>
        <v>0</v>
      </c>
      <c r="D130" s="13">
        <v>2</v>
      </c>
      <c r="E130">
        <f>ROUND(D130*C130/3600/(建筑!G88*基本公式!$B$153),2)</f>
        <v>0</v>
      </c>
      <c r="F130" s="13">
        <f t="shared" ref="F130:F147" si="81">F46*1.5</f>
        <v>18</v>
      </c>
      <c r="G130" s="14">
        <f t="shared" si="77"/>
        <v>0</v>
      </c>
      <c r="K130" s="13">
        <v>35</v>
      </c>
      <c r="L130" s="14">
        <f t="shared" si="78"/>
        <v>0</v>
      </c>
      <c r="M130" s="5">
        <f>ROUND(L130/产出与消耗!T6,4)</f>
        <v>0</v>
      </c>
      <c r="N130" s="13">
        <v>6</v>
      </c>
      <c r="O130" s="14">
        <f t="shared" si="79"/>
        <v>0</v>
      </c>
      <c r="P130" s="5">
        <f>ROUND(O130/产出与消耗!T28,4)</f>
        <v>0</v>
      </c>
      <c r="Q130" s="13">
        <v>14</v>
      </c>
      <c r="R130" s="14">
        <f t="shared" si="80"/>
        <v>0</v>
      </c>
      <c r="S130" s="5">
        <f>ROUND(R130/产出与消耗!T50,4)</f>
        <v>0</v>
      </c>
      <c r="T130" s="9">
        <f t="shared" si="75"/>
        <v>0</v>
      </c>
    </row>
    <row r="131" spans="1:20">
      <c r="B131">
        <v>4</v>
      </c>
      <c r="C131">
        <f>MAX(ROUND(C132-(C133-C132)/(产出与消耗!$K$9-产出与消耗!$K$8)*(产出与消耗!$K$8-产出与消耗!$K$7)*1.004,0),0)</f>
        <v>0</v>
      </c>
      <c r="D131" s="13">
        <v>2</v>
      </c>
      <c r="E131">
        <f>ROUND(D131*C131/3600/(建筑!G89*基本公式!$B$153),2)</f>
        <v>0</v>
      </c>
      <c r="F131" s="13">
        <f t="shared" si="81"/>
        <v>18</v>
      </c>
      <c r="G131" s="14">
        <f t="shared" si="77"/>
        <v>0</v>
      </c>
      <c r="K131" s="13">
        <v>35</v>
      </c>
      <c r="L131" s="14">
        <f t="shared" si="78"/>
        <v>0</v>
      </c>
      <c r="M131" s="5">
        <f>ROUND(L131/产出与消耗!T7,4)</f>
        <v>0</v>
      </c>
      <c r="N131" s="13">
        <v>6</v>
      </c>
      <c r="O131" s="14">
        <f t="shared" si="79"/>
        <v>0</v>
      </c>
      <c r="P131" s="5">
        <f>ROUND(O131/产出与消耗!T29,4)</f>
        <v>0</v>
      </c>
      <c r="Q131" s="13">
        <v>14</v>
      </c>
      <c r="R131" s="14">
        <f t="shared" si="80"/>
        <v>0</v>
      </c>
      <c r="S131" s="5">
        <f>ROUND(R131/产出与消耗!T51,4)</f>
        <v>0</v>
      </c>
      <c r="T131" s="9">
        <f t="shared" si="75"/>
        <v>0</v>
      </c>
    </row>
    <row r="132" spans="1:20">
      <c r="B132">
        <v>5</v>
      </c>
      <c r="C132">
        <f>MAX(ROUND(C133-(C134-C133)/(产出与消耗!$K$10-产出与消耗!$K$9)*(产出与消耗!$K$9-产出与消耗!$K$8)*1.004,0),0)</f>
        <v>27</v>
      </c>
      <c r="D132" s="13">
        <v>2</v>
      </c>
      <c r="E132">
        <f>ROUND(D132*C132/3600/(建筑!G90*基本公式!$B$153),2)</f>
        <v>0.01</v>
      </c>
      <c r="F132" s="13">
        <f t="shared" si="81"/>
        <v>18</v>
      </c>
      <c r="G132" s="14">
        <f t="shared" si="77"/>
        <v>486</v>
      </c>
      <c r="K132" s="13">
        <v>35</v>
      </c>
      <c r="L132" s="14">
        <f t="shared" si="78"/>
        <v>945</v>
      </c>
      <c r="M132" s="5">
        <f>ROUND(L132/产出与消耗!T8,4)</f>
        <v>2.46E-2</v>
      </c>
      <c r="N132" s="13">
        <v>6</v>
      </c>
      <c r="O132" s="14">
        <f t="shared" si="79"/>
        <v>162</v>
      </c>
      <c r="P132" s="5">
        <f>ROUND(O132/产出与消耗!T30,4)</f>
        <v>4.1999999999999997E-3</v>
      </c>
      <c r="Q132" s="13">
        <v>14</v>
      </c>
      <c r="R132" s="14">
        <f t="shared" si="80"/>
        <v>378</v>
      </c>
      <c r="S132" s="5">
        <f>ROUND(R132/产出与消耗!T52,4)</f>
        <v>1.2800000000000001E-2</v>
      </c>
      <c r="T132" s="9">
        <f t="shared" si="75"/>
        <v>4.1599999999999998E-2</v>
      </c>
    </row>
    <row r="133" spans="1:20">
      <c r="B133">
        <v>6</v>
      </c>
      <c r="C133">
        <f>MAX(ROUND(C134-(C135-C134)/(产出与消耗!$K$11-产出与消耗!$K$10)*(产出与消耗!$K$10-产出与消耗!$K$9)*1.004,0),0)</f>
        <v>622</v>
      </c>
      <c r="D133" s="13">
        <v>2</v>
      </c>
      <c r="E133">
        <f>ROUND(D133*C133/3600/(建筑!G91*基本公式!$B$153),2)</f>
        <v>0.17</v>
      </c>
      <c r="F133" s="13">
        <f t="shared" si="81"/>
        <v>18</v>
      </c>
      <c r="G133" s="14">
        <f t="shared" si="77"/>
        <v>11196</v>
      </c>
      <c r="K133" s="13">
        <v>35</v>
      </c>
      <c r="L133" s="14">
        <f t="shared" si="78"/>
        <v>21770</v>
      </c>
      <c r="M133" s="5">
        <f>ROUND(L133/产出与消耗!T9,4)</f>
        <v>0.2167</v>
      </c>
      <c r="N133" s="13">
        <v>6</v>
      </c>
      <c r="O133" s="14">
        <f t="shared" si="79"/>
        <v>3732</v>
      </c>
      <c r="P133" s="5">
        <f>ROUND(O133/产出与消耗!T31,4)</f>
        <v>3.7100000000000001E-2</v>
      </c>
      <c r="Q133" s="13">
        <v>14</v>
      </c>
      <c r="R133" s="14">
        <f t="shared" si="80"/>
        <v>8708</v>
      </c>
      <c r="S133" s="5">
        <f>ROUND(R133/产出与消耗!T53,4)</f>
        <v>0.12379999999999999</v>
      </c>
      <c r="T133" s="9">
        <f t="shared" si="75"/>
        <v>0.37759999999999999</v>
      </c>
    </row>
    <row r="134" spans="1:20">
      <c r="B134">
        <v>7</v>
      </c>
      <c r="C134">
        <f>MAX(ROUND(C135-(C136-C135)/(产出与消耗!$K$12-产出与消耗!$K$11)*(产出与消耗!$K$11-产出与消耗!$K$10)*1.004,0),0)</f>
        <v>1570</v>
      </c>
      <c r="D134" s="13">
        <v>2</v>
      </c>
      <c r="E134">
        <f>ROUND(D134*C134/3600/(建筑!G92*基本公式!$B$153),2)</f>
        <v>0.22</v>
      </c>
      <c r="F134" s="13">
        <f t="shared" si="81"/>
        <v>18</v>
      </c>
      <c r="G134" s="14">
        <f t="shared" si="77"/>
        <v>28260</v>
      </c>
      <c r="K134" s="13">
        <v>35</v>
      </c>
      <c r="L134" s="14">
        <f t="shared" si="78"/>
        <v>54950</v>
      </c>
      <c r="M134" s="5">
        <f>ROUND(L134/产出与消耗!T10,4)</f>
        <v>0.23100000000000001</v>
      </c>
      <c r="N134" s="13">
        <v>6</v>
      </c>
      <c r="O134" s="14">
        <f t="shared" si="79"/>
        <v>9420</v>
      </c>
      <c r="P134" s="5">
        <f>ROUND(O134/产出与消耗!T32,4)</f>
        <v>3.9600000000000003E-2</v>
      </c>
      <c r="Q134" s="13">
        <v>14</v>
      </c>
      <c r="R134" s="14">
        <f t="shared" si="80"/>
        <v>21980</v>
      </c>
      <c r="S134" s="5">
        <f>ROUND(R134/产出与消耗!T54,4)</f>
        <v>0.1358</v>
      </c>
      <c r="T134" s="9">
        <f t="shared" si="75"/>
        <v>0.40639999999999998</v>
      </c>
    </row>
    <row r="135" spans="1:20">
      <c r="A135" s="16"/>
      <c r="B135">
        <v>8</v>
      </c>
      <c r="C135">
        <f>MAX(ROUND(C136-(C137-C136)/(产出与消耗!$K$13-产出与消耗!$K$12)*(产出与消耗!$K$12-产出与消耗!$K$11)*1.004,0),0)</f>
        <v>3104</v>
      </c>
      <c r="D135" s="13">
        <v>2</v>
      </c>
      <c r="E135">
        <f>ROUND(D135*C135/3600/(建筑!G93*基本公式!$B$153),2)</f>
        <v>0.43</v>
      </c>
      <c r="F135" s="13">
        <f t="shared" si="81"/>
        <v>18</v>
      </c>
      <c r="G135" s="14">
        <f t="shared" si="77"/>
        <v>55872</v>
      </c>
      <c r="K135" s="13">
        <v>35</v>
      </c>
      <c r="L135" s="14">
        <f t="shared" si="78"/>
        <v>108640</v>
      </c>
      <c r="M135" s="5">
        <f>ROUND(L135/产出与消耗!T11,4)</f>
        <v>0.15359999999999999</v>
      </c>
      <c r="N135" s="13">
        <v>6</v>
      </c>
      <c r="O135" s="14">
        <f t="shared" si="79"/>
        <v>18624</v>
      </c>
      <c r="P135" s="5">
        <f>ROUND(O135/产出与消耗!T33,4)</f>
        <v>2.63E-2</v>
      </c>
      <c r="Q135" s="13">
        <v>14</v>
      </c>
      <c r="R135" s="14">
        <f t="shared" si="80"/>
        <v>43456</v>
      </c>
      <c r="S135" s="5">
        <f>ROUND(R135/产出与消耗!T55,4)</f>
        <v>9.1499999999999998E-2</v>
      </c>
      <c r="T135" s="9">
        <f t="shared" si="75"/>
        <v>0.27139999999999997</v>
      </c>
    </row>
    <row r="136" spans="1:20">
      <c r="B136">
        <v>9</v>
      </c>
      <c r="C136">
        <f>MAX(ROUND(C137-(C138-C137)/(产出与消耗!$K$14-产出与消耗!$K$13)*(产出与消耗!$K$13-产出与消耗!$K$12)*1.004,0),0)</f>
        <v>4632</v>
      </c>
      <c r="D136" s="13">
        <v>2</v>
      </c>
      <c r="E136">
        <f>ROUND(D136*C136/3600/(建筑!G94*基本公式!$B$153),2)</f>
        <v>0.64</v>
      </c>
      <c r="F136" s="13">
        <f t="shared" si="81"/>
        <v>18</v>
      </c>
      <c r="G136" s="14">
        <f t="shared" si="77"/>
        <v>83376</v>
      </c>
      <c r="K136" s="13">
        <v>35</v>
      </c>
      <c r="L136" s="14">
        <f t="shared" si="78"/>
        <v>162120</v>
      </c>
      <c r="M136" s="5">
        <f>ROUND(L136/产出与消耗!T12,4)</f>
        <v>9.8500000000000004E-2</v>
      </c>
      <c r="N136" s="13">
        <v>6</v>
      </c>
      <c r="O136" s="14">
        <f t="shared" si="79"/>
        <v>27792</v>
      </c>
      <c r="P136" s="5">
        <f>ROUND(O136/产出与消耗!T34,4)</f>
        <v>1.6899999999999998E-2</v>
      </c>
      <c r="Q136" s="13">
        <v>14</v>
      </c>
      <c r="R136" s="14">
        <f t="shared" si="80"/>
        <v>64848</v>
      </c>
      <c r="S136" s="5">
        <f>ROUND(R136/产出与消耗!T56,4)</f>
        <v>5.8900000000000001E-2</v>
      </c>
      <c r="T136" s="9">
        <f t="shared" si="75"/>
        <v>0.17430000000000001</v>
      </c>
    </row>
    <row r="137" spans="1:20">
      <c r="A137" s="21" t="s">
        <v>209</v>
      </c>
      <c r="B137">
        <v>10</v>
      </c>
      <c r="C137">
        <f>MAX(ROUND(C138-(C139-C138)/(产出与消耗!$K$15-产出与消耗!$K$14)*(产出与消耗!$K$14-产出与消耗!$K$13)*1.004,0),0)</f>
        <v>7091</v>
      </c>
      <c r="D137" s="13">
        <v>2</v>
      </c>
      <c r="E137">
        <f>ROUND(D137*C137/3600/(建筑!G95*基本公式!$B$153),2)</f>
        <v>0.98</v>
      </c>
      <c r="F137" s="13">
        <f t="shared" si="81"/>
        <v>18</v>
      </c>
      <c r="G137" s="14">
        <f t="shared" si="77"/>
        <v>127638</v>
      </c>
      <c r="K137" s="13">
        <v>35</v>
      </c>
      <c r="L137" s="14">
        <f t="shared" si="78"/>
        <v>248185</v>
      </c>
      <c r="M137" s="5">
        <f>ROUND(L137/产出与消耗!T13,4)</f>
        <v>6.3600000000000004E-2</v>
      </c>
      <c r="N137" s="13">
        <v>6</v>
      </c>
      <c r="O137" s="14">
        <f t="shared" si="79"/>
        <v>42546</v>
      </c>
      <c r="P137" s="5">
        <f>ROUND(O137/产出与消耗!T35,4)</f>
        <v>1.09E-2</v>
      </c>
      <c r="Q137" s="13">
        <v>14</v>
      </c>
      <c r="R137" s="14">
        <f t="shared" si="80"/>
        <v>99274</v>
      </c>
      <c r="S137" s="5">
        <f>ROUND(R137/产出与消耗!T57,4)</f>
        <v>3.8100000000000002E-2</v>
      </c>
      <c r="T137" s="9">
        <f t="shared" si="75"/>
        <v>0.11260000000000001</v>
      </c>
    </row>
    <row r="138" spans="1:20">
      <c r="B138">
        <v>11</v>
      </c>
      <c r="C138">
        <f>MAX(ROUND(C139-(C140-C139)/(产出与消耗!$K$16-产出与消耗!$K$15)*(产出与消耗!$K$15-产出与消耗!$K$14)*1.004,0),0)</f>
        <v>8607</v>
      </c>
      <c r="D138" s="13">
        <v>2</v>
      </c>
      <c r="E138">
        <f>ROUND(D138*C138/3600/(建筑!G96*基本公式!$B$153),2)</f>
        <v>1.2</v>
      </c>
      <c r="F138" s="13">
        <f t="shared" si="81"/>
        <v>18</v>
      </c>
      <c r="G138" s="14">
        <f t="shared" si="77"/>
        <v>154926</v>
      </c>
      <c r="K138" s="13">
        <v>35</v>
      </c>
      <c r="L138" s="14">
        <f t="shared" si="78"/>
        <v>301245</v>
      </c>
      <c r="M138" s="5">
        <f>ROUND(L138/产出与消耗!T14,4)</f>
        <v>3.7999999999999999E-2</v>
      </c>
      <c r="N138" s="13">
        <v>6</v>
      </c>
      <c r="O138" s="14">
        <f t="shared" si="79"/>
        <v>51642</v>
      </c>
      <c r="P138" s="5">
        <f>ROUND(O138/产出与消耗!T36,4)</f>
        <v>6.4999999999999997E-3</v>
      </c>
      <c r="Q138" s="13">
        <v>14</v>
      </c>
      <c r="R138" s="14">
        <f t="shared" si="80"/>
        <v>120498</v>
      </c>
      <c r="S138" s="5">
        <f>ROUND(R138/产出与消耗!T58,4)</f>
        <v>2.2800000000000001E-2</v>
      </c>
      <c r="T138" s="9">
        <f t="shared" si="75"/>
        <v>6.7299999999999999E-2</v>
      </c>
    </row>
    <row r="139" spans="1:20">
      <c r="B139">
        <v>12</v>
      </c>
      <c r="C139">
        <f>MAX(ROUND(C140-(C141-C140)/(产出与消耗!$K$17-产出与消耗!$K$16)*(产出与消耗!$K$16-产出与消耗!$K$15)*1.004,0),0)</f>
        <v>12556</v>
      </c>
      <c r="D139" s="13">
        <v>2</v>
      </c>
      <c r="E139">
        <f>ROUND(D139*C139/3600/(建筑!G97*基本公式!$B$153),2)</f>
        <v>1.1599999999999999</v>
      </c>
      <c r="F139" s="13">
        <f t="shared" si="81"/>
        <v>18</v>
      </c>
      <c r="G139" s="14">
        <f t="shared" si="77"/>
        <v>226008</v>
      </c>
      <c r="K139" s="13">
        <v>35</v>
      </c>
      <c r="L139" s="14">
        <f t="shared" si="78"/>
        <v>439460</v>
      </c>
      <c r="M139" s="5">
        <f>ROUND(L139/产出与消耗!T15,4)</f>
        <v>2.4799999999999999E-2</v>
      </c>
      <c r="N139" s="13">
        <v>6</v>
      </c>
      <c r="O139" s="14">
        <f t="shared" si="79"/>
        <v>75336</v>
      </c>
      <c r="P139" s="5">
        <f>ROUND(O139/产出与消耗!T37,4)</f>
        <v>4.3E-3</v>
      </c>
      <c r="Q139" s="13">
        <v>14</v>
      </c>
      <c r="R139" s="14">
        <f t="shared" si="80"/>
        <v>175784</v>
      </c>
      <c r="S139" s="5">
        <f>ROUND(R139/产出与消耗!T59,4)</f>
        <v>1.49E-2</v>
      </c>
      <c r="T139" s="9">
        <f t="shared" si="75"/>
        <v>4.3999999999999997E-2</v>
      </c>
    </row>
    <row r="140" spans="1:20">
      <c r="A140" s="16"/>
      <c r="B140">
        <v>13</v>
      </c>
      <c r="C140">
        <f>MAX(ROUND(C141-(C142-C141)/(产出与消耗!$K$18-产出与消耗!$K$17)*(产出与消耗!$K$17-产出与消耗!$K$16)*1.004,0),0)</f>
        <v>15911</v>
      </c>
      <c r="D140" s="13">
        <v>2</v>
      </c>
      <c r="E140">
        <f>ROUND(D140*C140/3600/(建筑!G98*基本公式!$B$153),2)</f>
        <v>1.47</v>
      </c>
      <c r="F140" s="13">
        <f t="shared" si="81"/>
        <v>18</v>
      </c>
      <c r="G140" s="14">
        <f t="shared" si="77"/>
        <v>286398</v>
      </c>
      <c r="K140" s="13">
        <v>35</v>
      </c>
      <c r="L140" s="14">
        <f t="shared" si="78"/>
        <v>556885</v>
      </c>
      <c r="M140" s="5">
        <f>ROUND(L140/产出与消耗!T16,4)</f>
        <v>1.6199999999999999E-2</v>
      </c>
      <c r="N140" s="13">
        <v>6</v>
      </c>
      <c r="O140" s="14">
        <f t="shared" si="79"/>
        <v>95466</v>
      </c>
      <c r="P140" s="5">
        <f>ROUND(O140/产出与消耗!T38,4)</f>
        <v>2.8E-3</v>
      </c>
      <c r="Q140" s="13">
        <v>14</v>
      </c>
      <c r="R140" s="14">
        <f t="shared" si="80"/>
        <v>222754</v>
      </c>
      <c r="S140" s="5">
        <f>ROUND(R140/产出与消耗!T60,4)</f>
        <v>9.7000000000000003E-3</v>
      </c>
      <c r="T140" s="9">
        <f t="shared" si="75"/>
        <v>2.87E-2</v>
      </c>
    </row>
    <row r="141" spans="1:20">
      <c r="A141" s="21" t="s">
        <v>210</v>
      </c>
      <c r="B141">
        <v>14</v>
      </c>
      <c r="C141">
        <f>MAX(ROUND(C142-(C143-C142)/(产出与消耗!$K$19-产出与消耗!$K$18)*(产出与消耗!$K$18-产出与消耗!$K$17)*1.004,0),0)</f>
        <v>18907</v>
      </c>
      <c r="D141" s="13">
        <v>2</v>
      </c>
      <c r="E141">
        <f>ROUND(D141*C141/3600/(建筑!G99*基本公式!$B$153),2)</f>
        <v>1.75</v>
      </c>
      <c r="F141" s="13">
        <f t="shared" si="81"/>
        <v>18</v>
      </c>
      <c r="G141" s="14">
        <f t="shared" si="77"/>
        <v>340326</v>
      </c>
      <c r="K141" s="13">
        <v>35</v>
      </c>
      <c r="L141" s="14">
        <f t="shared" si="78"/>
        <v>661745</v>
      </c>
      <c r="M141" s="5">
        <f>ROUND(L141/产出与消耗!T17,4)</f>
        <v>1.12E-2</v>
      </c>
      <c r="N141" s="13">
        <v>6</v>
      </c>
      <c r="O141" s="14">
        <f t="shared" si="79"/>
        <v>113442</v>
      </c>
      <c r="P141" s="5">
        <f>ROUND(O141/产出与消耗!T39,4)</f>
        <v>1.9E-3</v>
      </c>
      <c r="Q141" s="13">
        <v>14</v>
      </c>
      <c r="R141" s="14">
        <f t="shared" si="80"/>
        <v>264698</v>
      </c>
      <c r="S141" s="5">
        <f>ROUND(R141/产出与消耗!T61,4)</f>
        <v>6.7000000000000002E-3</v>
      </c>
      <c r="T141" s="9">
        <f t="shared" si="75"/>
        <v>1.9800000000000002E-2</v>
      </c>
    </row>
    <row r="142" spans="1:20">
      <c r="B142">
        <v>15</v>
      </c>
      <c r="C142">
        <f>MAX(ROUND(C143-(C144-C143)/(产出与消耗!$K$20-产出与消耗!$K$19)*(产出与消耗!$K$19-产出与消耗!$K$18)*1.004,0),0)</f>
        <v>22350</v>
      </c>
      <c r="D142" s="13">
        <v>2</v>
      </c>
      <c r="E142">
        <f>ROUND(D142*C142/3600/(建筑!G100*基本公式!$B$153),2)</f>
        <v>2.0699999999999998</v>
      </c>
      <c r="F142" s="13">
        <f t="shared" si="81"/>
        <v>18</v>
      </c>
      <c r="G142" s="14">
        <f t="shared" si="77"/>
        <v>402300</v>
      </c>
      <c r="K142" s="13">
        <v>35</v>
      </c>
      <c r="L142" s="14">
        <f t="shared" si="78"/>
        <v>782250</v>
      </c>
      <c r="M142" s="5">
        <f>ROUND(L142/产出与消耗!T18,4)</f>
        <v>8.0000000000000002E-3</v>
      </c>
      <c r="N142" s="13">
        <v>6</v>
      </c>
      <c r="O142" s="14">
        <f t="shared" si="79"/>
        <v>134100</v>
      </c>
      <c r="P142" s="5">
        <f>ROUND(O142/产出与消耗!T40,4)</f>
        <v>1.4E-3</v>
      </c>
      <c r="Q142" s="13">
        <v>14</v>
      </c>
      <c r="R142" s="14">
        <f t="shared" si="80"/>
        <v>312900</v>
      </c>
      <c r="S142" s="5">
        <f>ROUND(R142/产出与消耗!T62,4)</f>
        <v>4.7999999999999996E-3</v>
      </c>
      <c r="T142" s="9">
        <f t="shared" si="75"/>
        <v>1.4200000000000001E-2</v>
      </c>
    </row>
    <row r="143" spans="1:20">
      <c r="B143">
        <v>16</v>
      </c>
      <c r="C143">
        <f>MAX(ROUND(C144-(C145-C144)/(产出与消耗!$K$21-产出与消耗!$K$20)*(产出与消耗!$K$20-产出与消耗!$K$19)*1.004,0),0)</f>
        <v>25779</v>
      </c>
      <c r="D143" s="13">
        <v>2</v>
      </c>
      <c r="E143">
        <f>ROUND(D143*C143/3600/(建筑!G101*基本公式!$B$153),2)</f>
        <v>1.79</v>
      </c>
      <c r="F143" s="13">
        <f t="shared" si="81"/>
        <v>18</v>
      </c>
      <c r="G143" s="14">
        <f t="shared" si="77"/>
        <v>464022</v>
      </c>
      <c r="K143" s="13">
        <v>35</v>
      </c>
      <c r="L143" s="14">
        <f t="shared" si="78"/>
        <v>902265</v>
      </c>
      <c r="M143" s="5">
        <f>ROUND(L143/产出与消耗!T19,4)</f>
        <v>6.0000000000000001E-3</v>
      </c>
      <c r="N143" s="13">
        <v>6</v>
      </c>
      <c r="O143" s="14">
        <f t="shared" si="79"/>
        <v>154674</v>
      </c>
      <c r="P143" s="5">
        <f>ROUND(O143/产出与消耗!T41,4)</f>
        <v>1E-3</v>
      </c>
      <c r="Q143" s="13">
        <v>14</v>
      </c>
      <c r="R143" s="14">
        <f t="shared" si="80"/>
        <v>360906</v>
      </c>
      <c r="S143" s="5">
        <f>ROUND(R143/产出与消耗!T63,4)</f>
        <v>3.5999999999999999E-3</v>
      </c>
      <c r="T143" s="9">
        <f t="shared" si="75"/>
        <v>1.06E-2</v>
      </c>
    </row>
    <row r="144" spans="1:20">
      <c r="B144">
        <v>17</v>
      </c>
      <c r="C144">
        <f>MAX(ROUND(C145-(C146-C145)/(产出与消耗!$K$22-产出与消耗!$K$21)*(产出与消耗!$K$21-产出与消耗!$K$20)*1.004,0),0)</f>
        <v>29536</v>
      </c>
      <c r="D144" s="13">
        <v>2</v>
      </c>
      <c r="E144">
        <f>ROUND(D144*C144/3600/(建筑!G102*基本公式!$B$153),2)</f>
        <v>2.0499999999999998</v>
      </c>
      <c r="F144" s="13">
        <f t="shared" si="81"/>
        <v>18</v>
      </c>
      <c r="G144" s="14">
        <f t="shared" si="77"/>
        <v>531648</v>
      </c>
      <c r="K144" s="13">
        <v>35</v>
      </c>
      <c r="L144" s="14">
        <f t="shared" si="78"/>
        <v>1033760</v>
      </c>
      <c r="M144" s="5">
        <f>ROUND(L144/产出与消耗!T20,4)</f>
        <v>4.5999999999999999E-3</v>
      </c>
      <c r="N144" s="13">
        <v>6</v>
      </c>
      <c r="O144" s="14">
        <f t="shared" si="79"/>
        <v>177216</v>
      </c>
      <c r="P144" s="5">
        <f>ROUND(O144/产出与消耗!T42,4)</f>
        <v>8.0000000000000004E-4</v>
      </c>
      <c r="Q144" s="13">
        <v>14</v>
      </c>
      <c r="R144" s="14">
        <f t="shared" si="80"/>
        <v>413504</v>
      </c>
      <c r="S144" s="5">
        <f>ROUND(R144/产出与消耗!T64,4)</f>
        <v>2.8E-3</v>
      </c>
      <c r="T144" s="9">
        <f t="shared" si="75"/>
        <v>8.2000000000000007E-3</v>
      </c>
    </row>
    <row r="145" spans="1:23">
      <c r="B145">
        <v>18</v>
      </c>
      <c r="C145">
        <f>MAX(ROUND(C146-(C147-C146)/(产出与消耗!$K$23-产出与消耗!$K$22)*(产出与消耗!$K$22-产出与消耗!$K$21)*1.004,0),0)</f>
        <v>33732</v>
      </c>
      <c r="D145" s="13">
        <v>2</v>
      </c>
      <c r="E145">
        <f>ROUND(D145*C145/3600/(建筑!G103*基本公式!$B$153),2)</f>
        <v>2.34</v>
      </c>
      <c r="F145" s="13">
        <f t="shared" si="81"/>
        <v>18</v>
      </c>
      <c r="G145" s="14">
        <f t="shared" si="77"/>
        <v>607176</v>
      </c>
      <c r="K145" s="13">
        <v>35</v>
      </c>
      <c r="L145" s="14">
        <f t="shared" si="78"/>
        <v>1180620</v>
      </c>
      <c r="M145" s="5">
        <f>ROUND(L145/产出与消耗!T21,4)</f>
        <v>3.5999999999999999E-3</v>
      </c>
      <c r="N145" s="13">
        <v>6</v>
      </c>
      <c r="O145" s="14">
        <f t="shared" si="79"/>
        <v>202392</v>
      </c>
      <c r="P145" s="5">
        <f>ROUND(O145/产出与消耗!T43,4)</f>
        <v>5.9999999999999995E-4</v>
      </c>
      <c r="Q145" s="13">
        <v>14</v>
      </c>
      <c r="R145" s="14">
        <f t="shared" si="80"/>
        <v>472248</v>
      </c>
      <c r="S145" s="5">
        <f>ROUND(R145/产出与消耗!T65,4)</f>
        <v>2.2000000000000001E-3</v>
      </c>
      <c r="T145" s="9">
        <f t="shared" si="75"/>
        <v>6.4000000000000003E-3</v>
      </c>
    </row>
    <row r="146" spans="1:23">
      <c r="A146" s="22" t="s">
        <v>211</v>
      </c>
      <c r="B146">
        <v>19</v>
      </c>
      <c r="C146">
        <f>ROUND(产出与消耗!$K$22*C147/产出与消耗!$K$23,0)</f>
        <v>38250</v>
      </c>
      <c r="D146" s="13">
        <v>2</v>
      </c>
      <c r="E146">
        <f>ROUND(D146*C146/3600/(建筑!G104*基本公式!$B$153),2)</f>
        <v>2.66</v>
      </c>
      <c r="F146" s="13">
        <f t="shared" si="81"/>
        <v>18</v>
      </c>
      <c r="G146" s="14">
        <f t="shared" si="77"/>
        <v>688500</v>
      </c>
      <c r="K146" s="13">
        <v>35</v>
      </c>
      <c r="L146" s="14">
        <f t="shared" si="78"/>
        <v>1338750</v>
      </c>
      <c r="M146" s="5">
        <f>ROUND(L146/产出与消耗!T22,4)</f>
        <v>2.8999999999999998E-3</v>
      </c>
      <c r="N146" s="13">
        <v>6</v>
      </c>
      <c r="O146" s="14">
        <f t="shared" si="79"/>
        <v>229500</v>
      </c>
      <c r="P146" s="5">
        <f>ROUND(O146/产出与消耗!T44,4)</f>
        <v>5.0000000000000001E-4</v>
      </c>
      <c r="Q146" s="13">
        <v>14</v>
      </c>
      <c r="R146" s="14">
        <f t="shared" si="80"/>
        <v>535500</v>
      </c>
      <c r="S146" s="5">
        <f>ROUND(R146/产出与消耗!T66,4)</f>
        <v>1.6999999999999999E-3</v>
      </c>
      <c r="T146" s="9">
        <f t="shared" si="75"/>
        <v>5.1000000000000004E-3</v>
      </c>
    </row>
    <row r="147" spans="1:23">
      <c r="B147">
        <v>20</v>
      </c>
      <c r="C147">
        <v>45000</v>
      </c>
      <c r="D147" s="13">
        <v>2</v>
      </c>
      <c r="E147">
        <f>ROUND(D147*C147/3600/(建筑!G105*基本公式!$B$153),2)</f>
        <v>2.5</v>
      </c>
      <c r="F147" s="13">
        <f t="shared" si="81"/>
        <v>18</v>
      </c>
      <c r="G147" s="14">
        <f t="shared" si="77"/>
        <v>810000</v>
      </c>
      <c r="K147" s="13">
        <v>35</v>
      </c>
      <c r="L147" s="14">
        <f t="shared" si="78"/>
        <v>1575000</v>
      </c>
      <c r="M147" s="5">
        <f>ROUND(L147/产出与消耗!T23,4)</f>
        <v>2.3999999999999998E-3</v>
      </c>
      <c r="N147" s="13">
        <v>6</v>
      </c>
      <c r="O147" s="14">
        <f t="shared" si="79"/>
        <v>270000</v>
      </c>
      <c r="P147" s="5">
        <f>ROUND(O147/产出与消耗!T45,4)</f>
        <v>4.0000000000000002E-4</v>
      </c>
      <c r="Q147" s="13">
        <v>14</v>
      </c>
      <c r="R147" s="14">
        <f t="shared" si="80"/>
        <v>630000</v>
      </c>
      <c r="S147" s="5">
        <f>ROUND(R147/产出与消耗!T67,4)</f>
        <v>1.4E-3</v>
      </c>
      <c r="T147" s="9">
        <f t="shared" si="75"/>
        <v>4.1999999999999997E-3</v>
      </c>
    </row>
    <row r="149" spans="1:23">
      <c r="A149" t="s">
        <v>183</v>
      </c>
      <c r="B149">
        <v>1</v>
      </c>
      <c r="C149">
        <f>MAX(ROUND(C150-(C151-C150)/(产出与消耗!$K$6-产出与消耗!$K$5)*(产出与消耗!$K$5-产出与消耗!$K$4)*1.004,0),0)</f>
        <v>0</v>
      </c>
      <c r="D149" s="13">
        <v>6</v>
      </c>
      <c r="E149">
        <f>ROUND(D149*C149/3600/建筑!I128,2)</f>
        <v>0</v>
      </c>
      <c r="F149" s="13">
        <v>9</v>
      </c>
      <c r="G149" s="14">
        <f t="shared" ref="G149" si="82">F149*C149</f>
        <v>0</v>
      </c>
      <c r="K149" s="13">
        <v>26</v>
      </c>
      <c r="L149" s="14">
        <f t="shared" ref="L149" si="83">ROUND(K149*C149,0)</f>
        <v>0</v>
      </c>
      <c r="M149" s="5">
        <f>ROUND(L149/产出与消耗!T4,4)</f>
        <v>0</v>
      </c>
      <c r="N149" s="13">
        <v>30</v>
      </c>
      <c r="O149" s="14">
        <f t="shared" ref="O149" si="84">ROUND(N149*C149,0)</f>
        <v>0</v>
      </c>
      <c r="P149" s="5">
        <f>ROUND(O149/产出与消耗!T26,4)</f>
        <v>0</v>
      </c>
      <c r="Q149" s="13">
        <v>4</v>
      </c>
      <c r="R149" s="14">
        <f t="shared" ref="R149" si="85">ROUND(Q149*C149,0)</f>
        <v>0</v>
      </c>
      <c r="S149" s="5">
        <f>ROUND(R149/产出与消耗!T48,4)</f>
        <v>0</v>
      </c>
      <c r="T149" s="9">
        <f>M149+P149+S149</f>
        <v>0</v>
      </c>
      <c r="U149"/>
      <c r="V149"/>
      <c r="W149"/>
    </row>
    <row r="150" spans="1:23">
      <c r="B150">
        <v>2</v>
      </c>
      <c r="C150">
        <f>MAX(ROUND(C151-(C152-C151)/(产出与消耗!$K$7-产出与消耗!$K$6)*(产出与消耗!$K$6-产出与消耗!$K$5)*1.004,0),0)</f>
        <v>0</v>
      </c>
      <c r="D150" s="13">
        <v>6</v>
      </c>
      <c r="E150">
        <f>ROUND(D150*C150/3600/建筑!I129,2)</f>
        <v>0</v>
      </c>
      <c r="F150" s="13">
        <v>9</v>
      </c>
      <c r="G150" s="14">
        <f t="shared" ref="G150:G168" si="86">F150*C150</f>
        <v>0</v>
      </c>
      <c r="K150" s="13">
        <v>26</v>
      </c>
      <c r="L150" s="14">
        <f t="shared" ref="L150:L168" si="87">ROUND(K150*C150,0)</f>
        <v>0</v>
      </c>
      <c r="M150" s="5">
        <f>ROUND(L150/产出与消耗!T5,4)</f>
        <v>0</v>
      </c>
      <c r="N150" s="13">
        <v>30</v>
      </c>
      <c r="O150" s="14">
        <f t="shared" ref="O150:O168" si="88">ROUND(N150*C150,0)</f>
        <v>0</v>
      </c>
      <c r="P150" s="5">
        <f>ROUND(O150/产出与消耗!T27,4)</f>
        <v>0</v>
      </c>
      <c r="Q150" s="13">
        <v>4</v>
      </c>
      <c r="R150" s="14">
        <f t="shared" ref="R150:R168" si="89">ROUND(Q150*C150,0)</f>
        <v>0</v>
      </c>
      <c r="S150" s="5">
        <f>ROUND(R150/产出与消耗!T49,4)</f>
        <v>0</v>
      </c>
      <c r="T150" s="9">
        <f>M150+P150+S150</f>
        <v>0</v>
      </c>
      <c r="U150"/>
      <c r="V150"/>
      <c r="W150"/>
    </row>
    <row r="151" spans="1:23">
      <c r="B151">
        <v>3</v>
      </c>
      <c r="C151">
        <f>MAX(ROUND(C152-(C153-C152)/(产出与消耗!$K$8-产出与消耗!$K$7)*(产出与消耗!$K$7-产出与消耗!$K$6)*1.004,0),0)</f>
        <v>0</v>
      </c>
      <c r="D151" s="13">
        <v>6</v>
      </c>
      <c r="E151">
        <f>ROUND(D151*C151/3600/建筑!I130,2)</f>
        <v>0</v>
      </c>
      <c r="F151" s="13">
        <v>9</v>
      </c>
      <c r="G151" s="14">
        <f t="shared" si="86"/>
        <v>0</v>
      </c>
      <c r="K151" s="13">
        <v>26</v>
      </c>
      <c r="L151" s="14">
        <f t="shared" si="87"/>
        <v>0</v>
      </c>
      <c r="M151" s="5">
        <f>ROUND(L151/产出与消耗!T6,4)</f>
        <v>0</v>
      </c>
      <c r="N151" s="13">
        <v>30</v>
      </c>
      <c r="O151" s="14">
        <f t="shared" si="88"/>
        <v>0</v>
      </c>
      <c r="P151" s="5">
        <f>ROUND(O151/产出与消耗!T28,4)</f>
        <v>0</v>
      </c>
      <c r="Q151" s="13">
        <v>4</v>
      </c>
      <c r="R151" s="14">
        <f t="shared" si="89"/>
        <v>0</v>
      </c>
      <c r="S151" s="5">
        <f>ROUND(R151/产出与消耗!T50,4)</f>
        <v>0</v>
      </c>
      <c r="T151" s="9">
        <f t="shared" ref="T151" si="90">M151+P151+S151</f>
        <v>0</v>
      </c>
      <c r="U151"/>
      <c r="V151"/>
      <c r="W151"/>
    </row>
    <row r="152" spans="1:23">
      <c r="B152">
        <v>4</v>
      </c>
      <c r="C152">
        <f>MAX(ROUND(C153-(C154-C153)/(产出与消耗!$K$9-产出与消耗!$K$8)*(产出与消耗!$K$8-产出与消耗!$K$7)*1.004,0),0)</f>
        <v>0</v>
      </c>
      <c r="D152" s="13">
        <v>6</v>
      </c>
      <c r="E152">
        <f>ROUND(D152*C152/3600/建筑!I131,2)</f>
        <v>0</v>
      </c>
      <c r="F152" s="13">
        <v>9</v>
      </c>
      <c r="G152" s="14">
        <f t="shared" si="86"/>
        <v>0</v>
      </c>
      <c r="K152" s="13">
        <v>26</v>
      </c>
      <c r="L152" s="14">
        <f t="shared" si="87"/>
        <v>0</v>
      </c>
      <c r="M152" s="5">
        <f>ROUND(L152/产出与消耗!T7,4)</f>
        <v>0</v>
      </c>
      <c r="N152" s="13">
        <v>30</v>
      </c>
      <c r="O152" s="14">
        <f t="shared" si="88"/>
        <v>0</v>
      </c>
      <c r="P152" s="5">
        <f>ROUND(O152/产出与消耗!T29,4)</f>
        <v>0</v>
      </c>
      <c r="Q152" s="13">
        <v>4</v>
      </c>
      <c r="R152" s="14">
        <f t="shared" si="89"/>
        <v>0</v>
      </c>
      <c r="S152" s="5">
        <f>ROUND(R152/产出与消耗!T51,4)</f>
        <v>0</v>
      </c>
      <c r="T152" s="9">
        <f t="shared" ref="T152:T168" si="91">M152+P152+S152</f>
        <v>0</v>
      </c>
      <c r="U152"/>
      <c r="V152"/>
      <c r="W152"/>
    </row>
    <row r="153" spans="1:23">
      <c r="B153">
        <v>5</v>
      </c>
      <c r="C153">
        <f>MAX(ROUND(C154-(C155-C154)/(产出与消耗!$K$10-产出与消耗!$K$9)*(产出与消耗!$K$9-产出与消耗!$K$8)*1.004,0),0)</f>
        <v>27</v>
      </c>
      <c r="D153" s="13">
        <v>6</v>
      </c>
      <c r="E153">
        <f>ROUND(D153*C153/3600/建筑!I132,2)</f>
        <v>0.05</v>
      </c>
      <c r="F153" s="13">
        <v>9</v>
      </c>
      <c r="G153" s="14">
        <f t="shared" si="86"/>
        <v>243</v>
      </c>
      <c r="K153" s="13">
        <v>26</v>
      </c>
      <c r="L153" s="14">
        <f t="shared" si="87"/>
        <v>702</v>
      </c>
      <c r="M153" s="5">
        <f>ROUND(L153/产出与消耗!T8,4)</f>
        <v>1.83E-2</v>
      </c>
      <c r="N153" s="13">
        <v>30</v>
      </c>
      <c r="O153" s="14">
        <f t="shared" si="88"/>
        <v>810</v>
      </c>
      <c r="P153" s="5">
        <f>ROUND(O153/产出与消耗!T30,4)</f>
        <v>2.1100000000000001E-2</v>
      </c>
      <c r="Q153" s="13">
        <v>4</v>
      </c>
      <c r="R153" s="14">
        <f t="shared" si="89"/>
        <v>108</v>
      </c>
      <c r="S153" s="5">
        <f>ROUND(R153/产出与消耗!T52,4)</f>
        <v>3.5999999999999999E-3</v>
      </c>
      <c r="T153" s="9">
        <f t="shared" si="91"/>
        <v>4.2999999999999997E-2</v>
      </c>
      <c r="U153"/>
      <c r="V153"/>
      <c r="W153"/>
    </row>
    <row r="154" spans="1:23">
      <c r="B154">
        <v>6</v>
      </c>
      <c r="C154">
        <f>MAX(ROUND(C155-(C156-C155)/(产出与消耗!$K$11-产出与消耗!$K$10)*(产出与消耗!$K$10-产出与消耗!$K$9)*1.004,0),0)</f>
        <v>622</v>
      </c>
      <c r="D154" s="13">
        <v>6</v>
      </c>
      <c r="E154">
        <f>ROUND(D154*C154/3600/建筑!I133,2)</f>
        <v>1.04</v>
      </c>
      <c r="F154" s="13">
        <v>9</v>
      </c>
      <c r="G154" s="14">
        <f t="shared" si="86"/>
        <v>5598</v>
      </c>
      <c r="K154" s="13">
        <v>26</v>
      </c>
      <c r="L154" s="14">
        <f t="shared" si="87"/>
        <v>16172</v>
      </c>
      <c r="M154" s="5">
        <f>ROUND(L154/产出与消耗!T9,4)</f>
        <v>0.16089999999999999</v>
      </c>
      <c r="N154" s="13">
        <v>30</v>
      </c>
      <c r="O154" s="14">
        <f t="shared" si="88"/>
        <v>18660</v>
      </c>
      <c r="P154" s="5">
        <f>ROUND(O154/产出与消耗!T31,4)</f>
        <v>0.1857</v>
      </c>
      <c r="Q154" s="13">
        <v>4</v>
      </c>
      <c r="R154" s="14">
        <f t="shared" si="89"/>
        <v>2488</v>
      </c>
      <c r="S154" s="5">
        <f>ROUND(R154/产出与消耗!T53,4)</f>
        <v>3.5400000000000001E-2</v>
      </c>
      <c r="T154" s="9">
        <f t="shared" si="91"/>
        <v>0.38200000000000001</v>
      </c>
      <c r="U154"/>
      <c r="V154"/>
      <c r="W154"/>
    </row>
    <row r="155" spans="1:23">
      <c r="B155">
        <v>7</v>
      </c>
      <c r="C155">
        <f>MAX(ROUND(C156-(C157-C156)/(产出与消耗!$K$12-产出与消耗!$K$11)*(产出与消耗!$K$11-产出与消耗!$K$10)*1.004,0),0)</f>
        <v>1570</v>
      </c>
      <c r="D155" s="13">
        <v>6</v>
      </c>
      <c r="E155">
        <f>ROUND(D155*C155/3600/建筑!I134,2)</f>
        <v>1.31</v>
      </c>
      <c r="F155" s="13">
        <v>9</v>
      </c>
      <c r="G155" s="14">
        <f t="shared" si="86"/>
        <v>14130</v>
      </c>
      <c r="K155" s="13">
        <v>26</v>
      </c>
      <c r="L155" s="14">
        <f t="shared" si="87"/>
        <v>40820</v>
      </c>
      <c r="M155" s="5">
        <f>ROUND(L155/产出与消耗!T10,4)</f>
        <v>0.1716</v>
      </c>
      <c r="N155" s="13">
        <v>30</v>
      </c>
      <c r="O155" s="14">
        <f t="shared" si="88"/>
        <v>47100</v>
      </c>
      <c r="P155" s="5">
        <f>ROUND(O155/产出与消耗!T32,4)</f>
        <v>0.19800000000000001</v>
      </c>
      <c r="Q155" s="13">
        <v>4</v>
      </c>
      <c r="R155" s="14">
        <f t="shared" si="89"/>
        <v>6280</v>
      </c>
      <c r="S155" s="5">
        <f>ROUND(R155/产出与消耗!T54,4)</f>
        <v>3.8800000000000001E-2</v>
      </c>
      <c r="T155" s="9">
        <f t="shared" si="91"/>
        <v>0.40839999999999999</v>
      </c>
      <c r="U155"/>
      <c r="V155"/>
      <c r="W155"/>
    </row>
    <row r="156" spans="1:23">
      <c r="A156" s="16"/>
      <c r="B156">
        <v>8</v>
      </c>
      <c r="C156">
        <f>MAX(ROUND(C157-(C158-C157)/(产出与消耗!$K$13-产出与消耗!$K$12)*(产出与消耗!$K$12-产出与消耗!$K$11)*1.004,0),0)</f>
        <v>3104</v>
      </c>
      <c r="D156" s="13">
        <v>6</v>
      </c>
      <c r="E156">
        <f>ROUND(D156*C156/3600/建筑!I135,2)</f>
        <v>2.59</v>
      </c>
      <c r="F156" s="13">
        <v>9</v>
      </c>
      <c r="G156" s="14">
        <f t="shared" si="86"/>
        <v>27936</v>
      </c>
      <c r="K156" s="13">
        <v>26</v>
      </c>
      <c r="L156" s="14">
        <f t="shared" si="87"/>
        <v>80704</v>
      </c>
      <c r="M156" s="5">
        <f>ROUND(L156/产出与消耗!T11,4)</f>
        <v>0.11409999999999999</v>
      </c>
      <c r="N156" s="13">
        <v>30</v>
      </c>
      <c r="O156" s="14">
        <f t="shared" si="88"/>
        <v>93120</v>
      </c>
      <c r="P156" s="5">
        <f>ROUND(O156/产出与消耗!T33,4)</f>
        <v>0.13170000000000001</v>
      </c>
      <c r="Q156" s="13">
        <v>4</v>
      </c>
      <c r="R156" s="14">
        <f t="shared" si="89"/>
        <v>12416</v>
      </c>
      <c r="S156" s="5">
        <f>ROUND(R156/产出与消耗!T55,4)</f>
        <v>2.6200000000000001E-2</v>
      </c>
      <c r="T156" s="9">
        <f t="shared" si="91"/>
        <v>0.27200000000000002</v>
      </c>
      <c r="U156"/>
      <c r="V156"/>
      <c r="W156"/>
    </row>
    <row r="157" spans="1:23">
      <c r="B157">
        <v>9</v>
      </c>
      <c r="C157">
        <f>MAX(ROUND(C158-(C159-C158)/(产出与消耗!$K$14-产出与消耗!$K$13)*(产出与消耗!$K$13-产出与消耗!$K$12)*1.004,0),0)</f>
        <v>4632</v>
      </c>
      <c r="D157" s="13">
        <v>6</v>
      </c>
      <c r="E157">
        <f>ROUND(D157*C157/3600/建筑!I136,2)</f>
        <v>3.86</v>
      </c>
      <c r="F157" s="13">
        <v>9</v>
      </c>
      <c r="G157" s="14">
        <f t="shared" si="86"/>
        <v>41688</v>
      </c>
      <c r="K157" s="13">
        <v>26</v>
      </c>
      <c r="L157" s="14">
        <f t="shared" si="87"/>
        <v>120432</v>
      </c>
      <c r="M157" s="5">
        <f>ROUND(L157/产出与消耗!T12,4)</f>
        <v>7.3200000000000001E-2</v>
      </c>
      <c r="N157" s="13">
        <v>30</v>
      </c>
      <c r="O157" s="14">
        <f t="shared" si="88"/>
        <v>138960</v>
      </c>
      <c r="P157" s="5">
        <f>ROUND(O157/产出与消耗!T34,4)</f>
        <v>8.4500000000000006E-2</v>
      </c>
      <c r="Q157" s="13">
        <v>4</v>
      </c>
      <c r="R157" s="14">
        <f t="shared" si="89"/>
        <v>18528</v>
      </c>
      <c r="S157" s="5">
        <f>ROUND(R157/产出与消耗!T56,4)</f>
        <v>1.6799999999999999E-2</v>
      </c>
      <c r="T157" s="9">
        <f t="shared" si="91"/>
        <v>0.17449999999999999</v>
      </c>
      <c r="U157"/>
      <c r="V157"/>
      <c r="W157"/>
    </row>
    <row r="158" spans="1:23">
      <c r="A158" s="21" t="s">
        <v>209</v>
      </c>
      <c r="B158">
        <v>10</v>
      </c>
      <c r="C158">
        <f>MAX(ROUND(C159-(C160-C159)/(产出与消耗!$K$15-产出与消耗!$K$14)*(产出与消耗!$K$14-产出与消耗!$K$13)*1.004,0),0)</f>
        <v>7091</v>
      </c>
      <c r="D158" s="13">
        <v>6</v>
      </c>
      <c r="E158">
        <f>ROUND(D158*C158/3600/建筑!I137,2)</f>
        <v>5.91</v>
      </c>
      <c r="F158" s="13">
        <v>9</v>
      </c>
      <c r="G158" s="14">
        <f t="shared" si="86"/>
        <v>63819</v>
      </c>
      <c r="K158" s="13">
        <v>26</v>
      </c>
      <c r="L158" s="14">
        <f t="shared" si="87"/>
        <v>184366</v>
      </c>
      <c r="M158" s="5">
        <f>ROUND(L158/产出与消耗!T13,4)</f>
        <v>4.7199999999999999E-2</v>
      </c>
      <c r="N158" s="13">
        <v>30</v>
      </c>
      <c r="O158" s="14">
        <f t="shared" si="88"/>
        <v>212730</v>
      </c>
      <c r="P158" s="5">
        <f>ROUND(O158/产出与消耗!T35,4)</f>
        <v>5.45E-2</v>
      </c>
      <c r="Q158" s="13">
        <v>4</v>
      </c>
      <c r="R158" s="14">
        <f t="shared" si="89"/>
        <v>28364</v>
      </c>
      <c r="S158" s="5">
        <f>ROUND(R158/产出与消耗!T57,4)</f>
        <v>1.09E-2</v>
      </c>
      <c r="T158" s="9">
        <f t="shared" si="91"/>
        <v>0.11260000000000001</v>
      </c>
      <c r="U158"/>
      <c r="V158"/>
      <c r="W158"/>
    </row>
    <row r="159" spans="1:23">
      <c r="B159">
        <v>11</v>
      </c>
      <c r="C159">
        <f>MAX(ROUND(C160-(C161-C160)/(产出与消耗!$K$16-产出与消耗!$K$15)*(产出与消耗!$K$15-产出与消耗!$K$14)*1.004,0),0)</f>
        <v>8607</v>
      </c>
      <c r="D159" s="13">
        <v>6</v>
      </c>
      <c r="E159">
        <f>ROUND(D159*C159/3600/建筑!I138,2)</f>
        <v>7.17</v>
      </c>
      <c r="F159" s="13">
        <v>9</v>
      </c>
      <c r="G159" s="14">
        <f t="shared" si="86"/>
        <v>77463</v>
      </c>
      <c r="K159" s="13">
        <v>26</v>
      </c>
      <c r="L159" s="14">
        <f t="shared" si="87"/>
        <v>223782</v>
      </c>
      <c r="M159" s="5">
        <f>ROUND(L159/产出与消耗!T14,4)</f>
        <v>2.8199999999999999E-2</v>
      </c>
      <c r="N159" s="13">
        <v>30</v>
      </c>
      <c r="O159" s="14">
        <f t="shared" si="88"/>
        <v>258210</v>
      </c>
      <c r="P159" s="5">
        <f>ROUND(O159/产出与消耗!T36,4)</f>
        <v>3.2500000000000001E-2</v>
      </c>
      <c r="Q159" s="13">
        <v>4</v>
      </c>
      <c r="R159" s="14">
        <f t="shared" si="89"/>
        <v>34428</v>
      </c>
      <c r="S159" s="5">
        <f>ROUND(R159/产出与消耗!T58,4)</f>
        <v>6.4999999999999997E-3</v>
      </c>
      <c r="T159" s="9">
        <f t="shared" si="91"/>
        <v>6.7199999999999996E-2</v>
      </c>
      <c r="U159"/>
      <c r="V159"/>
      <c r="W159"/>
    </row>
    <row r="160" spans="1:23">
      <c r="B160">
        <v>12</v>
      </c>
      <c r="C160">
        <f>MAX(ROUND(C161-(C162-C161)/(产出与消耗!$K$17-产出与消耗!$K$16)*(产出与消耗!$K$16-产出与消耗!$K$15)*1.004,0),0)</f>
        <v>12556</v>
      </c>
      <c r="D160" s="13">
        <v>6</v>
      </c>
      <c r="E160">
        <f>ROUND(D160*C160/3600/建筑!I139,2)</f>
        <v>6.98</v>
      </c>
      <c r="F160" s="13">
        <v>9</v>
      </c>
      <c r="G160" s="14">
        <f t="shared" si="86"/>
        <v>113004</v>
      </c>
      <c r="K160" s="13">
        <v>26</v>
      </c>
      <c r="L160" s="14">
        <f t="shared" si="87"/>
        <v>326456</v>
      </c>
      <c r="M160" s="5">
        <f>ROUND(L160/产出与消耗!T15,4)</f>
        <v>1.84E-2</v>
      </c>
      <c r="N160" s="13">
        <v>30</v>
      </c>
      <c r="O160" s="14">
        <f t="shared" si="88"/>
        <v>376680</v>
      </c>
      <c r="P160" s="5">
        <f>ROUND(O160/产出与消耗!T37,4)</f>
        <v>2.1299999999999999E-2</v>
      </c>
      <c r="Q160" s="13">
        <v>4</v>
      </c>
      <c r="R160" s="14">
        <f t="shared" si="89"/>
        <v>50224</v>
      </c>
      <c r="S160" s="5">
        <f>ROUND(R160/产出与消耗!T59,4)</f>
        <v>4.3E-3</v>
      </c>
      <c r="T160" s="9">
        <f t="shared" si="91"/>
        <v>4.3999999999999997E-2</v>
      </c>
      <c r="U160"/>
      <c r="V160"/>
      <c r="W160"/>
    </row>
    <row r="161" spans="1:23">
      <c r="A161" s="16"/>
      <c r="B161">
        <v>13</v>
      </c>
      <c r="C161">
        <f>MAX(ROUND(C162-(C163-C162)/(产出与消耗!$K$18-产出与消耗!$K$17)*(产出与消耗!$K$17-产出与消耗!$K$16)*1.004,0),0)</f>
        <v>15911</v>
      </c>
      <c r="D161" s="13">
        <v>6</v>
      </c>
      <c r="E161">
        <f>ROUND(D161*C161/3600/建筑!I140,2)</f>
        <v>8.84</v>
      </c>
      <c r="F161" s="13">
        <v>9</v>
      </c>
      <c r="G161" s="14">
        <f t="shared" si="86"/>
        <v>143199</v>
      </c>
      <c r="K161" s="13">
        <v>26</v>
      </c>
      <c r="L161" s="14">
        <f t="shared" si="87"/>
        <v>413686</v>
      </c>
      <c r="M161" s="5">
        <f>ROUND(L161/产出与消耗!T16,4)</f>
        <v>1.2E-2</v>
      </c>
      <c r="N161" s="13">
        <v>30</v>
      </c>
      <c r="O161" s="14">
        <f t="shared" si="88"/>
        <v>477330</v>
      </c>
      <c r="P161" s="5">
        <f>ROUND(O161/产出与消耗!T38,4)</f>
        <v>1.3899999999999999E-2</v>
      </c>
      <c r="Q161" s="13">
        <v>4</v>
      </c>
      <c r="R161" s="14">
        <f t="shared" si="89"/>
        <v>63644</v>
      </c>
      <c r="S161" s="5">
        <f>ROUND(R161/产出与消耗!T60,4)</f>
        <v>2.8E-3</v>
      </c>
      <c r="T161" s="9">
        <f t="shared" si="91"/>
        <v>2.87E-2</v>
      </c>
      <c r="U161"/>
      <c r="V161"/>
      <c r="W161"/>
    </row>
    <row r="162" spans="1:23">
      <c r="A162" s="21" t="s">
        <v>210</v>
      </c>
      <c r="B162">
        <v>14</v>
      </c>
      <c r="C162">
        <f>MAX(ROUND(C163-(C164-C163)/(产出与消耗!$K$19-产出与消耗!$K$18)*(产出与消耗!$K$18-产出与消耗!$K$17)*1.004,0),0)</f>
        <v>18907</v>
      </c>
      <c r="D162" s="13">
        <v>6</v>
      </c>
      <c r="E162">
        <f>ROUND(D162*C162/3600/建筑!I141,2)</f>
        <v>10.5</v>
      </c>
      <c r="F162" s="13">
        <v>9</v>
      </c>
      <c r="G162" s="14">
        <f t="shared" si="86"/>
        <v>170163</v>
      </c>
      <c r="K162" s="13">
        <v>26</v>
      </c>
      <c r="L162" s="14">
        <f t="shared" si="87"/>
        <v>491582</v>
      </c>
      <c r="M162" s="5">
        <f>ROUND(L162/产出与消耗!T17,4)</f>
        <v>8.3000000000000001E-3</v>
      </c>
      <c r="N162" s="13">
        <v>30</v>
      </c>
      <c r="O162" s="14">
        <f t="shared" si="88"/>
        <v>567210</v>
      </c>
      <c r="P162" s="5">
        <f>ROUND(O162/产出与消耗!T39,4)</f>
        <v>9.5999999999999992E-3</v>
      </c>
      <c r="Q162" s="13">
        <v>4</v>
      </c>
      <c r="R162" s="14">
        <f t="shared" si="89"/>
        <v>75628</v>
      </c>
      <c r="S162" s="5">
        <f>ROUND(R162/产出与消耗!T61,4)</f>
        <v>1.9E-3</v>
      </c>
      <c r="T162" s="9">
        <f t="shared" si="91"/>
        <v>1.9800000000000002E-2</v>
      </c>
      <c r="U162"/>
      <c r="V162"/>
      <c r="W162"/>
    </row>
    <row r="163" spans="1:23">
      <c r="B163">
        <v>15</v>
      </c>
      <c r="C163">
        <f>MAX(ROUND(C164-(C165-C164)/(产出与消耗!$K$20-产出与消耗!$K$19)*(产出与消耗!$K$19-产出与消耗!$K$18)*1.004,0),0)</f>
        <v>22350</v>
      </c>
      <c r="D163" s="13">
        <v>6</v>
      </c>
      <c r="E163">
        <f>ROUND(D163*C163/3600/建筑!I142,2)</f>
        <v>12.42</v>
      </c>
      <c r="F163" s="13">
        <v>9</v>
      </c>
      <c r="G163" s="14">
        <f t="shared" si="86"/>
        <v>201150</v>
      </c>
      <c r="K163" s="13">
        <v>26</v>
      </c>
      <c r="L163" s="14">
        <f t="shared" si="87"/>
        <v>581100</v>
      </c>
      <c r="M163" s="5">
        <f>ROUND(L163/产出与消耗!T18,4)</f>
        <v>6.0000000000000001E-3</v>
      </c>
      <c r="N163" s="13">
        <v>30</v>
      </c>
      <c r="O163" s="14">
        <f t="shared" si="88"/>
        <v>670500</v>
      </c>
      <c r="P163" s="5">
        <f>ROUND(O163/产出与消耗!T40,4)</f>
        <v>6.8999999999999999E-3</v>
      </c>
      <c r="Q163" s="13">
        <v>4</v>
      </c>
      <c r="R163" s="14">
        <f t="shared" si="89"/>
        <v>89400</v>
      </c>
      <c r="S163" s="5">
        <f>ROUND(R163/产出与消耗!T62,4)</f>
        <v>1.4E-3</v>
      </c>
      <c r="T163" s="9">
        <f t="shared" si="91"/>
        <v>1.43E-2</v>
      </c>
      <c r="U163"/>
      <c r="V163"/>
      <c r="W163"/>
    </row>
    <row r="164" spans="1:23">
      <c r="B164">
        <v>16</v>
      </c>
      <c r="C164">
        <f>MAX(ROUND(C165-(C166-C165)/(产出与消耗!$K$21-产出与消耗!$K$20)*(产出与消耗!$K$20-产出与消耗!$K$19)*1.004,0),0)</f>
        <v>25779</v>
      </c>
      <c r="D164" s="13">
        <v>6</v>
      </c>
      <c r="E164">
        <f>ROUND(D164*C164/3600/建筑!I143,2)</f>
        <v>10.74</v>
      </c>
      <c r="F164" s="13">
        <v>9</v>
      </c>
      <c r="G164" s="14">
        <f t="shared" si="86"/>
        <v>232011</v>
      </c>
      <c r="K164" s="13">
        <v>26</v>
      </c>
      <c r="L164" s="14">
        <f t="shared" si="87"/>
        <v>670254</v>
      </c>
      <c r="M164" s="5">
        <f>ROUND(L164/产出与消耗!T19,4)</f>
        <v>4.4999999999999997E-3</v>
      </c>
      <c r="N164" s="13">
        <v>30</v>
      </c>
      <c r="O164" s="14">
        <f t="shared" si="88"/>
        <v>773370</v>
      </c>
      <c r="P164" s="5">
        <f>ROUND(O164/产出与消耗!T41,4)</f>
        <v>5.1000000000000004E-3</v>
      </c>
      <c r="Q164" s="13">
        <v>4</v>
      </c>
      <c r="R164" s="14">
        <f t="shared" si="89"/>
        <v>103116</v>
      </c>
      <c r="S164" s="5">
        <f>ROUND(R164/产出与消耗!T63,4)</f>
        <v>1E-3</v>
      </c>
      <c r="T164" s="9">
        <f t="shared" si="91"/>
        <v>1.06E-2</v>
      </c>
      <c r="U164"/>
      <c r="V164"/>
      <c r="W164"/>
    </row>
    <row r="165" spans="1:23">
      <c r="B165">
        <v>17</v>
      </c>
      <c r="C165">
        <f>MAX(ROUND(C166-(C167-C166)/(产出与消耗!$K$22-产出与消耗!$K$21)*(产出与消耗!$K$21-产出与消耗!$K$20)*1.004,0),0)</f>
        <v>29536</v>
      </c>
      <c r="D165" s="13">
        <v>6</v>
      </c>
      <c r="E165">
        <f>ROUND(D165*C165/3600/建筑!I144,2)</f>
        <v>12.31</v>
      </c>
      <c r="F165" s="13">
        <v>9</v>
      </c>
      <c r="G165" s="14">
        <f t="shared" si="86"/>
        <v>265824</v>
      </c>
      <c r="K165" s="13">
        <v>26</v>
      </c>
      <c r="L165" s="14">
        <f t="shared" si="87"/>
        <v>767936</v>
      </c>
      <c r="M165" s="5">
        <f>ROUND(L165/产出与消耗!T20,4)</f>
        <v>3.3999999999999998E-3</v>
      </c>
      <c r="N165" s="13">
        <v>30</v>
      </c>
      <c r="O165" s="14">
        <f t="shared" si="88"/>
        <v>886080</v>
      </c>
      <c r="P165" s="5">
        <f>ROUND(O165/产出与消耗!T42,4)</f>
        <v>3.8999999999999998E-3</v>
      </c>
      <c r="Q165" s="13">
        <v>4</v>
      </c>
      <c r="R165" s="14">
        <f t="shared" si="89"/>
        <v>118144</v>
      </c>
      <c r="S165" s="5">
        <f>ROUND(R165/产出与消耗!T64,4)</f>
        <v>8.0000000000000004E-4</v>
      </c>
      <c r="T165" s="9">
        <f t="shared" si="91"/>
        <v>8.0999999999999996E-3</v>
      </c>
      <c r="U165"/>
      <c r="V165"/>
      <c r="W165"/>
    </row>
    <row r="166" spans="1:23">
      <c r="B166">
        <v>18</v>
      </c>
      <c r="C166">
        <f>MAX(ROUND(C167-(C168-C167)/(产出与消耗!$K$23-产出与消耗!$K$22)*(产出与消耗!$K$22-产出与消耗!$K$21)*1.004,0),0)</f>
        <v>33732</v>
      </c>
      <c r="D166" s="13">
        <v>6</v>
      </c>
      <c r="E166">
        <f>ROUND(D166*C166/3600/建筑!I145,2)</f>
        <v>14.06</v>
      </c>
      <c r="F166" s="13">
        <v>9</v>
      </c>
      <c r="G166" s="14">
        <f t="shared" si="86"/>
        <v>303588</v>
      </c>
      <c r="K166" s="13">
        <v>26</v>
      </c>
      <c r="L166" s="14">
        <f t="shared" si="87"/>
        <v>877032</v>
      </c>
      <c r="M166" s="5">
        <f>ROUND(L166/产出与消耗!T21,4)</f>
        <v>2.7000000000000001E-3</v>
      </c>
      <c r="N166" s="13">
        <v>30</v>
      </c>
      <c r="O166" s="14">
        <f t="shared" si="88"/>
        <v>1011960</v>
      </c>
      <c r="P166" s="5">
        <f>ROUND(O166/产出与消耗!T43,4)</f>
        <v>3.0999999999999999E-3</v>
      </c>
      <c r="Q166" s="13">
        <v>4</v>
      </c>
      <c r="R166" s="14">
        <f t="shared" si="89"/>
        <v>134928</v>
      </c>
      <c r="S166" s="5">
        <f>ROUND(R166/产出与消耗!T65,4)</f>
        <v>5.9999999999999995E-4</v>
      </c>
      <c r="T166" s="9">
        <f t="shared" si="91"/>
        <v>6.4000000000000003E-3</v>
      </c>
      <c r="U166"/>
      <c r="V166"/>
      <c r="W166"/>
    </row>
    <row r="167" spans="1:23">
      <c r="A167" s="22" t="s">
        <v>211</v>
      </c>
      <c r="B167">
        <v>19</v>
      </c>
      <c r="C167">
        <f>ROUND(产出与消耗!$K$22*C168/产出与消耗!$K$23,0)</f>
        <v>38250</v>
      </c>
      <c r="D167" s="13">
        <v>6</v>
      </c>
      <c r="E167">
        <f>ROUND(D167*C167/3600/建筑!I146,2)</f>
        <v>15.94</v>
      </c>
      <c r="F167" s="13">
        <v>9</v>
      </c>
      <c r="G167" s="14">
        <f t="shared" si="86"/>
        <v>344250</v>
      </c>
      <c r="K167" s="13">
        <v>26</v>
      </c>
      <c r="L167" s="14">
        <f t="shared" si="87"/>
        <v>994500</v>
      </c>
      <c r="M167" s="5">
        <f>ROUND(L167/产出与消耗!T22,4)</f>
        <v>2.0999999999999999E-3</v>
      </c>
      <c r="N167" s="13">
        <v>30</v>
      </c>
      <c r="O167" s="14">
        <f t="shared" si="88"/>
        <v>1147500</v>
      </c>
      <c r="P167" s="5">
        <f>ROUND(O167/产出与消耗!T44,4)</f>
        <v>2.5000000000000001E-3</v>
      </c>
      <c r="Q167" s="13">
        <v>4</v>
      </c>
      <c r="R167" s="14">
        <f t="shared" si="89"/>
        <v>153000</v>
      </c>
      <c r="S167" s="5">
        <f>ROUND(R167/产出与消耗!T66,4)</f>
        <v>5.0000000000000001E-4</v>
      </c>
      <c r="T167" s="9">
        <f t="shared" si="91"/>
        <v>5.1000000000000004E-3</v>
      </c>
      <c r="U167"/>
      <c r="V167"/>
      <c r="W167"/>
    </row>
    <row r="168" spans="1:23">
      <c r="B168">
        <v>20</v>
      </c>
      <c r="C168">
        <v>45000</v>
      </c>
      <c r="D168" s="13">
        <v>6</v>
      </c>
      <c r="E168">
        <f>ROUND(D168*C168/3600/建筑!I147,2)</f>
        <v>15</v>
      </c>
      <c r="F168" s="13">
        <v>9</v>
      </c>
      <c r="G168" s="14">
        <f t="shared" si="86"/>
        <v>405000</v>
      </c>
      <c r="K168" s="13">
        <v>26</v>
      </c>
      <c r="L168" s="14">
        <f t="shared" si="87"/>
        <v>1170000</v>
      </c>
      <c r="M168" s="5">
        <f>ROUND(L168/产出与消耗!T23,4)</f>
        <v>1.6999999999999999E-3</v>
      </c>
      <c r="N168" s="13">
        <v>30</v>
      </c>
      <c r="O168" s="14">
        <f t="shared" si="88"/>
        <v>1350000</v>
      </c>
      <c r="P168" s="5">
        <f>ROUND(O168/产出与消耗!T45,4)</f>
        <v>2E-3</v>
      </c>
      <c r="Q168" s="13">
        <v>4</v>
      </c>
      <c r="R168" s="14">
        <f t="shared" si="89"/>
        <v>180000</v>
      </c>
      <c r="S168" s="5">
        <f>ROUND(R168/产出与消耗!T67,4)</f>
        <v>4.0000000000000002E-4</v>
      </c>
      <c r="T168" s="9">
        <f t="shared" si="91"/>
        <v>4.1000000000000003E-3</v>
      </c>
      <c r="U168"/>
      <c r="V168"/>
      <c r="W168"/>
    </row>
    <row r="170" spans="1:23">
      <c r="A170" t="s">
        <v>168</v>
      </c>
      <c r="B170">
        <v>1</v>
      </c>
      <c r="C170">
        <f>MAX(ROUND(C171-(C172-C171)/(产出与消耗!$K$6-产出与消耗!$K$5)*(产出与消耗!$K$5-产出与消耗!$K$4)*1.048,0),0)</f>
        <v>0</v>
      </c>
      <c r="D170" s="13">
        <v>12</v>
      </c>
      <c r="E170">
        <f>ROUND(D170*C170/3600/(建筑!G86*基本公式!$B$153),2)</f>
        <v>0</v>
      </c>
      <c r="F170" s="13">
        <v>20</v>
      </c>
      <c r="G170" s="14">
        <f t="shared" ref="G170" si="92">F170*C170</f>
        <v>0</v>
      </c>
      <c r="K170" s="13">
        <v>300</v>
      </c>
      <c r="L170" s="14">
        <f t="shared" ref="L170" si="93">ROUND(K170*C170,0)</f>
        <v>0</v>
      </c>
      <c r="M170" s="5">
        <f>ROUND(L170/产出与消耗!T4,4)</f>
        <v>0</v>
      </c>
      <c r="N170" s="13">
        <v>580</v>
      </c>
      <c r="O170" s="14">
        <f t="shared" ref="O170" si="94">ROUND(N170*C170,0)</f>
        <v>0</v>
      </c>
      <c r="P170" s="5">
        <f>ROUND(O170/产出与消耗!T26,4)</f>
        <v>0</v>
      </c>
      <c r="Q170" s="13">
        <v>200</v>
      </c>
      <c r="R170" s="14">
        <f t="shared" ref="R170" si="95">ROUND(Q170*C170,0)</f>
        <v>0</v>
      </c>
      <c r="S170" s="5">
        <f>ROUND(R170/产出与消耗!T48,4)</f>
        <v>0</v>
      </c>
      <c r="T170" s="9">
        <f>M170+P170+S170</f>
        <v>0</v>
      </c>
      <c r="U170"/>
      <c r="V170"/>
      <c r="W170"/>
    </row>
    <row r="171" spans="1:23">
      <c r="B171">
        <v>2</v>
      </c>
      <c r="C171">
        <f>MAX(ROUND(C172-(C173-C172)/(产出与消耗!$K$7-产出与消耗!$K$6)*(产出与消耗!$K$6-产出与消耗!$K$5)*1.048,0),0)</f>
        <v>0</v>
      </c>
      <c r="D171" s="13">
        <v>12</v>
      </c>
      <c r="E171">
        <f>ROUND(D171*C171/3600/(建筑!G87*基本公式!$B$153),2)</f>
        <v>0</v>
      </c>
      <c r="F171" s="13">
        <v>20</v>
      </c>
      <c r="G171" s="14">
        <f t="shared" ref="G171:G189" si="96">F171*C171</f>
        <v>0</v>
      </c>
      <c r="K171" s="13">
        <v>300</v>
      </c>
      <c r="L171" s="14">
        <f t="shared" ref="L171:L189" si="97">ROUND(K171*C171,0)</f>
        <v>0</v>
      </c>
      <c r="M171" s="5">
        <f>ROUND(L171/产出与消耗!T5,4)</f>
        <v>0</v>
      </c>
      <c r="N171" s="13">
        <v>580</v>
      </c>
      <c r="O171" s="14">
        <f t="shared" ref="O171:O189" si="98">ROUND(N171*C171,0)</f>
        <v>0</v>
      </c>
      <c r="P171" s="5">
        <f>ROUND(O171/产出与消耗!T27,4)</f>
        <v>0</v>
      </c>
      <c r="Q171" s="13">
        <v>200</v>
      </c>
      <c r="R171" s="14">
        <f t="shared" ref="R171:R189" si="99">ROUND(Q171*C171,0)</f>
        <v>0</v>
      </c>
      <c r="S171" s="5">
        <f>ROUND(R171/产出与消耗!T49,4)</f>
        <v>0</v>
      </c>
      <c r="T171" s="9">
        <f t="shared" ref="T171" si="100">M171+P171+S171</f>
        <v>0</v>
      </c>
      <c r="U171"/>
      <c r="V171"/>
      <c r="W171"/>
    </row>
    <row r="172" spans="1:23">
      <c r="B172">
        <v>3</v>
      </c>
      <c r="C172">
        <f>MAX(ROUND(C173-(C174-C173)/(产出与消耗!$K$8-产出与消耗!$K$7)*(产出与消耗!$K$7-产出与消耗!$K$6)*1.048,0),0)</f>
        <v>0</v>
      </c>
      <c r="D172" s="13">
        <v>12</v>
      </c>
      <c r="E172">
        <f>ROUND(D172*C172/3600/(建筑!G88*基本公式!$B$153),2)</f>
        <v>0</v>
      </c>
      <c r="F172" s="13">
        <v>20</v>
      </c>
      <c r="G172" s="14">
        <f t="shared" si="96"/>
        <v>0</v>
      </c>
      <c r="K172" s="13">
        <v>300</v>
      </c>
      <c r="L172" s="14">
        <f t="shared" si="97"/>
        <v>0</v>
      </c>
      <c r="M172" s="5">
        <f>ROUND(L172/产出与消耗!T6,4)</f>
        <v>0</v>
      </c>
      <c r="N172" s="13">
        <v>580</v>
      </c>
      <c r="O172" s="14">
        <f t="shared" si="98"/>
        <v>0</v>
      </c>
      <c r="P172" s="5">
        <f>ROUND(O172/产出与消耗!T28,4)</f>
        <v>0</v>
      </c>
      <c r="Q172" s="13">
        <v>200</v>
      </c>
      <c r="R172" s="14">
        <f t="shared" si="99"/>
        <v>0</v>
      </c>
      <c r="S172" s="5">
        <f>ROUND(R172/产出与消耗!T50,4)</f>
        <v>0</v>
      </c>
      <c r="T172" s="9">
        <f t="shared" ref="T172:T189" si="101">M172+P172+S172</f>
        <v>0</v>
      </c>
      <c r="U172"/>
      <c r="V172"/>
      <c r="W172"/>
    </row>
    <row r="173" spans="1:23">
      <c r="B173">
        <v>4</v>
      </c>
      <c r="C173">
        <f>MAX(ROUND(C174-(C175-C174)/(产出与消耗!$K$9-产出与消耗!$K$8)*(产出与消耗!$K$8-产出与消耗!$K$7)*1.048,0),0)</f>
        <v>0</v>
      </c>
      <c r="D173" s="13">
        <v>12</v>
      </c>
      <c r="E173">
        <f>ROUND(D173*C173/3600/(建筑!G89*基本公式!$B$153),2)</f>
        <v>0</v>
      </c>
      <c r="F173" s="13">
        <v>20</v>
      </c>
      <c r="G173" s="14">
        <f t="shared" si="96"/>
        <v>0</v>
      </c>
      <c r="K173" s="13">
        <v>300</v>
      </c>
      <c r="L173" s="14">
        <f t="shared" si="97"/>
        <v>0</v>
      </c>
      <c r="M173" s="5">
        <f>ROUND(L173/产出与消耗!T7,4)</f>
        <v>0</v>
      </c>
      <c r="N173" s="13">
        <v>580</v>
      </c>
      <c r="O173" s="14">
        <f t="shared" si="98"/>
        <v>0</v>
      </c>
      <c r="P173" s="5">
        <f>ROUND(O173/产出与消耗!T29,4)</f>
        <v>0</v>
      </c>
      <c r="Q173" s="13">
        <v>200</v>
      </c>
      <c r="R173" s="14">
        <f t="shared" si="99"/>
        <v>0</v>
      </c>
      <c r="S173" s="5">
        <f>ROUND(R173/产出与消耗!T51,4)</f>
        <v>0</v>
      </c>
      <c r="T173" s="9">
        <f t="shared" si="101"/>
        <v>0</v>
      </c>
      <c r="U173"/>
      <c r="V173"/>
      <c r="W173"/>
    </row>
    <row r="174" spans="1:23">
      <c r="B174">
        <v>5</v>
      </c>
      <c r="C174">
        <f>MAX(ROUND(C175-(C176-C175)/(产出与消耗!$K$10-产出与消耗!$K$9)*(产出与消耗!$K$9-产出与消耗!$K$8)*1.048,0),0)</f>
        <v>0</v>
      </c>
      <c r="D174" s="13">
        <v>12</v>
      </c>
      <c r="E174">
        <f>ROUND(D174*C174/3600/(建筑!G90*基本公式!$B$153),2)</f>
        <v>0</v>
      </c>
      <c r="F174" s="13">
        <v>20</v>
      </c>
      <c r="G174" s="14">
        <f t="shared" si="96"/>
        <v>0</v>
      </c>
      <c r="K174" s="13">
        <v>300</v>
      </c>
      <c r="L174" s="14">
        <f t="shared" si="97"/>
        <v>0</v>
      </c>
      <c r="M174" s="5">
        <f>ROUND(L174/产出与消耗!T8,4)</f>
        <v>0</v>
      </c>
      <c r="N174" s="13">
        <v>580</v>
      </c>
      <c r="O174" s="14">
        <f t="shared" si="98"/>
        <v>0</v>
      </c>
      <c r="P174" s="5">
        <f>ROUND(O174/产出与消耗!T30,4)</f>
        <v>0</v>
      </c>
      <c r="Q174" s="13">
        <v>200</v>
      </c>
      <c r="R174" s="14">
        <f t="shared" si="99"/>
        <v>0</v>
      </c>
      <c r="S174" s="5">
        <f>ROUND(R174/产出与消耗!T52,4)</f>
        <v>0</v>
      </c>
      <c r="T174" s="9">
        <f t="shared" si="101"/>
        <v>0</v>
      </c>
      <c r="U174"/>
      <c r="V174"/>
      <c r="W174"/>
    </row>
    <row r="175" spans="1:23">
      <c r="B175">
        <v>6</v>
      </c>
      <c r="C175">
        <f>MAX(ROUND(C176-(C177-C176)/(产出与消耗!$K$11-产出与消耗!$K$10)*(产出与消耗!$K$10-产出与消耗!$K$9)*1.048,0),0)</f>
        <v>0</v>
      </c>
      <c r="D175" s="13">
        <v>12</v>
      </c>
      <c r="E175">
        <f>ROUND(D175*C175/3600/(建筑!G91*基本公式!$B$153),2)</f>
        <v>0</v>
      </c>
      <c r="F175" s="13">
        <v>20</v>
      </c>
      <c r="G175" s="14">
        <f t="shared" si="96"/>
        <v>0</v>
      </c>
      <c r="K175" s="13">
        <v>300</v>
      </c>
      <c r="L175" s="14">
        <f t="shared" si="97"/>
        <v>0</v>
      </c>
      <c r="M175" s="5">
        <f>ROUND(L175/产出与消耗!T9,4)</f>
        <v>0</v>
      </c>
      <c r="N175" s="13">
        <v>580</v>
      </c>
      <c r="O175" s="14">
        <f t="shared" si="98"/>
        <v>0</v>
      </c>
      <c r="P175" s="5">
        <f>ROUND(O175/产出与消耗!T31,4)</f>
        <v>0</v>
      </c>
      <c r="Q175" s="13">
        <v>200</v>
      </c>
      <c r="R175" s="14">
        <f t="shared" si="99"/>
        <v>0</v>
      </c>
      <c r="S175" s="5">
        <f>ROUND(R175/产出与消耗!T53,4)</f>
        <v>0</v>
      </c>
      <c r="T175" s="9">
        <f t="shared" si="101"/>
        <v>0</v>
      </c>
      <c r="U175"/>
      <c r="V175"/>
      <c r="W175"/>
    </row>
    <row r="176" spans="1:23">
      <c r="B176">
        <v>7</v>
      </c>
      <c r="C176">
        <f>MAX(ROUND(C177-(C178-C177)/(产出与消耗!$K$12-产出与消耗!$K$11)*(产出与消耗!$K$11-产出与消耗!$K$10)*1.048,0),0)</f>
        <v>0</v>
      </c>
      <c r="D176" s="13">
        <v>12</v>
      </c>
      <c r="E176">
        <f>ROUND(D176*C176/3600/(建筑!G92*基本公式!$B$153),2)</f>
        <v>0</v>
      </c>
      <c r="F176" s="13">
        <v>20</v>
      </c>
      <c r="G176" s="14">
        <f t="shared" si="96"/>
        <v>0</v>
      </c>
      <c r="K176" s="13">
        <v>300</v>
      </c>
      <c r="L176" s="14">
        <f t="shared" si="97"/>
        <v>0</v>
      </c>
      <c r="M176" s="5">
        <f>ROUND(L176/产出与消耗!T10,4)</f>
        <v>0</v>
      </c>
      <c r="N176" s="13">
        <v>580</v>
      </c>
      <c r="O176" s="14">
        <f t="shared" si="98"/>
        <v>0</v>
      </c>
      <c r="P176" s="5">
        <f>ROUND(O176/产出与消耗!T32,4)</f>
        <v>0</v>
      </c>
      <c r="Q176" s="13">
        <v>200</v>
      </c>
      <c r="R176" s="14">
        <f t="shared" si="99"/>
        <v>0</v>
      </c>
      <c r="S176" s="5">
        <f>ROUND(R176/产出与消耗!T54,4)</f>
        <v>0</v>
      </c>
      <c r="T176" s="9">
        <f t="shared" si="101"/>
        <v>0</v>
      </c>
      <c r="U176"/>
      <c r="V176"/>
      <c r="W176"/>
    </row>
    <row r="177" spans="1:23">
      <c r="A177" s="16"/>
      <c r="B177">
        <v>8</v>
      </c>
      <c r="C177">
        <f>MAX(ROUND(C178-(C179-C178)/(产出与消耗!$K$13-产出与消耗!$K$12)*(产出与消耗!$K$12-产出与消耗!$K$11)*1.048,0),0)</f>
        <v>0</v>
      </c>
      <c r="D177" s="13">
        <v>12</v>
      </c>
      <c r="E177">
        <f>ROUND(D177*C177/3600/(建筑!G93*基本公式!$B$153),2)</f>
        <v>0</v>
      </c>
      <c r="F177" s="13">
        <v>20</v>
      </c>
      <c r="G177" s="14">
        <f t="shared" si="96"/>
        <v>0</v>
      </c>
      <c r="K177" s="13">
        <v>300</v>
      </c>
      <c r="L177" s="14">
        <f t="shared" si="97"/>
        <v>0</v>
      </c>
      <c r="M177" s="5">
        <f>ROUND(L177/产出与消耗!T11,4)</f>
        <v>0</v>
      </c>
      <c r="N177" s="13">
        <v>580</v>
      </c>
      <c r="O177" s="14">
        <f t="shared" si="98"/>
        <v>0</v>
      </c>
      <c r="P177" s="5">
        <f>ROUND(O177/产出与消耗!T33,4)</f>
        <v>0</v>
      </c>
      <c r="Q177" s="13">
        <v>200</v>
      </c>
      <c r="R177" s="14">
        <f t="shared" si="99"/>
        <v>0</v>
      </c>
      <c r="S177" s="5">
        <f>ROUND(R177/产出与消耗!T55,4)</f>
        <v>0</v>
      </c>
      <c r="T177" s="9">
        <f t="shared" si="101"/>
        <v>0</v>
      </c>
      <c r="U177"/>
      <c r="V177"/>
      <c r="W177"/>
    </row>
    <row r="178" spans="1:23">
      <c r="B178">
        <v>9</v>
      </c>
      <c r="C178">
        <f>MAX(ROUND(C179-(C180-C179)/(产出与消耗!$K$14-产出与消耗!$K$13)*(产出与消耗!$K$13-产出与消耗!$K$12)*1.048,0),0)</f>
        <v>0</v>
      </c>
      <c r="D178" s="13">
        <v>12</v>
      </c>
      <c r="E178">
        <f>ROUND(D178*C178/3600/(建筑!G94*基本公式!$B$153),2)</f>
        <v>0</v>
      </c>
      <c r="F178" s="13">
        <v>20</v>
      </c>
      <c r="G178" s="14">
        <f t="shared" si="96"/>
        <v>0</v>
      </c>
      <c r="K178" s="13">
        <v>300</v>
      </c>
      <c r="L178" s="14">
        <f t="shared" si="97"/>
        <v>0</v>
      </c>
      <c r="M178" s="5">
        <f>ROUND(L178/产出与消耗!T12,4)</f>
        <v>0</v>
      </c>
      <c r="N178" s="13">
        <v>580</v>
      </c>
      <c r="O178" s="14">
        <f t="shared" si="98"/>
        <v>0</v>
      </c>
      <c r="P178" s="5">
        <f>ROUND(O178/产出与消耗!T34,4)</f>
        <v>0</v>
      </c>
      <c r="Q178" s="13">
        <v>200</v>
      </c>
      <c r="R178" s="14">
        <f t="shared" si="99"/>
        <v>0</v>
      </c>
      <c r="S178" s="5">
        <f>ROUND(R178/产出与消耗!T56,4)</f>
        <v>0</v>
      </c>
      <c r="T178" s="9">
        <f t="shared" si="101"/>
        <v>0</v>
      </c>
      <c r="U178"/>
      <c r="V178"/>
      <c r="W178"/>
    </row>
    <row r="179" spans="1:23">
      <c r="A179" s="21" t="s">
        <v>209</v>
      </c>
      <c r="B179">
        <v>10</v>
      </c>
      <c r="C179">
        <f>MAX(ROUND(C180-(C181-C180)/(产出与消耗!$K$15-产出与消耗!$K$14)*(产出与消耗!$K$14-产出与消耗!$K$13)*1.048,0),0)</f>
        <v>151</v>
      </c>
      <c r="D179" s="13">
        <v>12</v>
      </c>
      <c r="E179">
        <f>ROUND(D179*C179/3600/(建筑!G95*基本公式!$B$153),2)</f>
        <v>0.13</v>
      </c>
      <c r="F179" s="13">
        <v>20</v>
      </c>
      <c r="G179" s="14">
        <f t="shared" si="96"/>
        <v>3020</v>
      </c>
      <c r="K179" s="13">
        <v>300</v>
      </c>
      <c r="L179" s="14">
        <f t="shared" si="97"/>
        <v>45300</v>
      </c>
      <c r="M179" s="5">
        <f>ROUND(L179/产出与消耗!T13,4)</f>
        <v>1.1599999999999999E-2</v>
      </c>
      <c r="N179" s="13">
        <v>580</v>
      </c>
      <c r="O179" s="14">
        <f t="shared" si="98"/>
        <v>87580</v>
      </c>
      <c r="P179" s="5">
        <f>ROUND(O179/产出与消耗!T35,4)</f>
        <v>2.24E-2</v>
      </c>
      <c r="Q179" s="13">
        <v>200</v>
      </c>
      <c r="R179" s="14">
        <f t="shared" si="99"/>
        <v>30200</v>
      </c>
      <c r="S179" s="5">
        <f>ROUND(R179/产出与消耗!T57,4)</f>
        <v>1.1599999999999999E-2</v>
      </c>
      <c r="T179" s="9">
        <f t="shared" si="101"/>
        <v>4.5600000000000002E-2</v>
      </c>
      <c r="U179"/>
      <c r="V179"/>
      <c r="W179"/>
    </row>
    <row r="180" spans="1:23">
      <c r="B180">
        <v>11</v>
      </c>
      <c r="C180">
        <f>MAX(ROUND(C181-(C182-C181)/(产出与消耗!$K$16-产出与消耗!$K$15)*(产出与消耗!$K$15-产出与消耗!$K$14)*1.048,0),0)</f>
        <v>2381</v>
      </c>
      <c r="D180" s="13">
        <v>12</v>
      </c>
      <c r="E180">
        <f>ROUND(D180*C180/3600/(建筑!G96*基本公式!$B$153),2)</f>
        <v>1.98</v>
      </c>
      <c r="F180" s="13">
        <v>20</v>
      </c>
      <c r="G180" s="14">
        <f t="shared" si="96"/>
        <v>47620</v>
      </c>
      <c r="K180" s="13">
        <v>300</v>
      </c>
      <c r="L180" s="14">
        <f t="shared" si="97"/>
        <v>714300</v>
      </c>
      <c r="M180" s="5">
        <f>ROUND(L180/产出与消耗!T14,4)</f>
        <v>0.09</v>
      </c>
      <c r="N180" s="13">
        <v>580</v>
      </c>
      <c r="O180" s="14">
        <f t="shared" si="98"/>
        <v>1380980</v>
      </c>
      <c r="P180" s="5">
        <f>ROUND(O180/产出与消耗!T36,4)</f>
        <v>0.17399999999999999</v>
      </c>
      <c r="Q180" s="13">
        <v>200</v>
      </c>
      <c r="R180" s="14">
        <f t="shared" si="99"/>
        <v>476200</v>
      </c>
      <c r="S180" s="5">
        <f>ROUND(R180/产出与消耗!T58,4)</f>
        <v>0.09</v>
      </c>
      <c r="T180" s="9">
        <f t="shared" si="101"/>
        <v>0.35399999999999998</v>
      </c>
      <c r="U180"/>
      <c r="V180"/>
      <c r="W180"/>
    </row>
    <row r="181" spans="1:23">
      <c r="B181">
        <v>12</v>
      </c>
      <c r="C181">
        <f>MAX(ROUND(C182-(C183-C182)/(产出与消耗!$K$17-产出与消耗!$K$16)*(产出与消耗!$K$16-产出与消耗!$K$15)*1.048,0),0)</f>
        <v>7947</v>
      </c>
      <c r="D181" s="13">
        <v>12</v>
      </c>
      <c r="E181">
        <f>ROUND(D181*C181/3600/(建筑!G97*基本公式!$B$153),2)</f>
        <v>4.42</v>
      </c>
      <c r="F181" s="13">
        <v>20</v>
      </c>
      <c r="G181" s="14">
        <f t="shared" si="96"/>
        <v>158940</v>
      </c>
      <c r="K181" s="13">
        <v>300</v>
      </c>
      <c r="L181" s="14">
        <f t="shared" si="97"/>
        <v>2384100</v>
      </c>
      <c r="M181" s="5">
        <f>ROUND(L181/产出与消耗!T15,4)</f>
        <v>0.1346</v>
      </c>
      <c r="N181" s="13">
        <v>580</v>
      </c>
      <c r="O181" s="14">
        <f t="shared" si="98"/>
        <v>4609260</v>
      </c>
      <c r="P181" s="5">
        <f>ROUND(O181/产出与消耗!T37,4)</f>
        <v>0.26029999999999998</v>
      </c>
      <c r="Q181" s="13">
        <v>200</v>
      </c>
      <c r="R181" s="14">
        <f t="shared" si="99"/>
        <v>1589400</v>
      </c>
      <c r="S181" s="5">
        <f>ROUND(R181/产出与消耗!T59,4)</f>
        <v>0.1346</v>
      </c>
      <c r="T181" s="9">
        <f t="shared" si="101"/>
        <v>0.52949999999999997</v>
      </c>
      <c r="U181"/>
      <c r="V181"/>
      <c r="W181"/>
    </row>
    <row r="182" spans="1:23">
      <c r="A182" s="16"/>
      <c r="B182">
        <v>13</v>
      </c>
      <c r="C182">
        <f>MAX(ROUND(C183-(C184-C183)/(产出与消耗!$K$18-产出与消耗!$K$17)*(产出与消耗!$K$17-产出与消耗!$K$16)*1.048,0),0)</f>
        <v>12477</v>
      </c>
      <c r="D182" s="13">
        <v>12</v>
      </c>
      <c r="E182">
        <f>ROUND(D182*C182/3600/(建筑!G98*基本公式!$B$153),2)</f>
        <v>6.93</v>
      </c>
      <c r="F182" s="13">
        <v>20</v>
      </c>
      <c r="G182" s="14">
        <f t="shared" si="96"/>
        <v>249540</v>
      </c>
      <c r="K182" s="13">
        <v>300</v>
      </c>
      <c r="L182" s="14">
        <f t="shared" si="97"/>
        <v>3743100</v>
      </c>
      <c r="M182" s="5">
        <f>ROUND(L182/产出与消耗!T16,4)</f>
        <v>0.109</v>
      </c>
      <c r="N182" s="13">
        <v>580</v>
      </c>
      <c r="O182" s="14">
        <f t="shared" si="98"/>
        <v>7236660</v>
      </c>
      <c r="P182" s="5">
        <f>ROUND(O182/产出与消耗!T38,4)</f>
        <v>0.2107</v>
      </c>
      <c r="Q182" s="13">
        <v>200</v>
      </c>
      <c r="R182" s="14">
        <f t="shared" si="99"/>
        <v>2495400</v>
      </c>
      <c r="S182" s="5">
        <f>ROUND(R182/产出与消耗!T60,4)</f>
        <v>0.109</v>
      </c>
      <c r="T182" s="9">
        <f t="shared" si="101"/>
        <v>0.42870000000000003</v>
      </c>
      <c r="U182"/>
      <c r="V182"/>
      <c r="W182"/>
    </row>
    <row r="183" spans="1:23">
      <c r="A183" s="21" t="s">
        <v>210</v>
      </c>
      <c r="B183">
        <v>14</v>
      </c>
      <c r="C183">
        <f>MAX(ROUND(C184-(C185-C184)/(产出与消耗!$K$19-产出与消耗!$K$18)*(产出与消耗!$K$18-产出与消耗!$K$17)*1.048,0),0)</f>
        <v>16352</v>
      </c>
      <c r="D183" s="13">
        <v>12</v>
      </c>
      <c r="E183">
        <f>ROUND(D183*C183/3600/(建筑!G99*基本公式!$B$153),2)</f>
        <v>9.08</v>
      </c>
      <c r="F183" s="13">
        <v>20</v>
      </c>
      <c r="G183" s="14">
        <f t="shared" si="96"/>
        <v>327040</v>
      </c>
      <c r="K183" s="13">
        <v>300</v>
      </c>
      <c r="L183" s="14">
        <f t="shared" si="97"/>
        <v>4905600</v>
      </c>
      <c r="M183" s="5">
        <f>ROUND(L183/产出与消耗!T17,4)</f>
        <v>8.2799999999999999E-2</v>
      </c>
      <c r="N183" s="13">
        <v>580</v>
      </c>
      <c r="O183" s="14">
        <f t="shared" si="98"/>
        <v>9484160</v>
      </c>
      <c r="P183" s="5">
        <f>ROUND(O183/产出与消耗!T39,4)</f>
        <v>0.16009999999999999</v>
      </c>
      <c r="Q183" s="13">
        <v>200</v>
      </c>
      <c r="R183" s="14">
        <f t="shared" si="99"/>
        <v>3270400</v>
      </c>
      <c r="S183" s="5">
        <f>ROUND(R183/产出与消耗!T61,4)</f>
        <v>8.2799999999999999E-2</v>
      </c>
      <c r="T183" s="9">
        <f t="shared" si="101"/>
        <v>0.32569999999999999</v>
      </c>
      <c r="U183"/>
      <c r="V183"/>
      <c r="W183"/>
    </row>
    <row r="184" spans="1:23">
      <c r="B184">
        <v>15</v>
      </c>
      <c r="C184">
        <f>MAX(ROUND(C185-(C186-C185)/(产出与消耗!$K$20-产出与消耗!$K$19)*(产出与消耗!$K$19-产出与消耗!$K$18)*1.048,0),0)</f>
        <v>20618</v>
      </c>
      <c r="D184" s="13">
        <v>12</v>
      </c>
      <c r="E184">
        <f>ROUND(D184*C184/3600/(建筑!G100*基本公式!$B$153),2)</f>
        <v>11.45</v>
      </c>
      <c r="F184" s="13">
        <v>20</v>
      </c>
      <c r="G184" s="14">
        <f t="shared" si="96"/>
        <v>412360</v>
      </c>
      <c r="K184" s="13">
        <v>300</v>
      </c>
      <c r="L184" s="14">
        <f t="shared" si="97"/>
        <v>6185400</v>
      </c>
      <c r="M184" s="5">
        <f>ROUND(L184/产出与消耗!T18,4)</f>
        <v>6.3600000000000004E-2</v>
      </c>
      <c r="N184" s="13">
        <v>580</v>
      </c>
      <c r="O184" s="14">
        <f t="shared" si="98"/>
        <v>11958440</v>
      </c>
      <c r="P184" s="5">
        <f>ROUND(O184/产出与消耗!T40,4)</f>
        <v>0.123</v>
      </c>
      <c r="Q184" s="13">
        <v>200</v>
      </c>
      <c r="R184" s="14">
        <f t="shared" si="99"/>
        <v>4123600</v>
      </c>
      <c r="S184" s="5">
        <f>ROUND(R184/产出与消耗!T62,4)</f>
        <v>6.3600000000000004E-2</v>
      </c>
      <c r="T184" s="9">
        <f t="shared" si="101"/>
        <v>0.25019999999999998</v>
      </c>
      <c r="U184"/>
      <c r="V184"/>
      <c r="W184"/>
    </row>
    <row r="185" spans="1:23">
      <c r="B185">
        <v>16</v>
      </c>
      <c r="C185">
        <f>MAX(ROUND(C186-(C187-C186)/(产出与消耗!$K$21-产出与消耗!$K$20)*(产出与消耗!$K$20-产出与消耗!$K$19)*1.048,0),0)</f>
        <v>24689</v>
      </c>
      <c r="D185" s="13">
        <v>12</v>
      </c>
      <c r="E185">
        <f>ROUND(D185*C185/3600/(建筑!G101*基本公式!$B$153),2)</f>
        <v>10.29</v>
      </c>
      <c r="F185" s="13">
        <v>20</v>
      </c>
      <c r="G185" s="14">
        <f t="shared" si="96"/>
        <v>493780</v>
      </c>
      <c r="K185" s="13">
        <v>300</v>
      </c>
      <c r="L185" s="14">
        <f t="shared" si="97"/>
        <v>7406700</v>
      </c>
      <c r="M185" s="5">
        <f>ROUND(L185/产出与消耗!T19,4)</f>
        <v>4.9299999999999997E-2</v>
      </c>
      <c r="N185" s="13">
        <v>580</v>
      </c>
      <c r="O185" s="14">
        <f t="shared" si="98"/>
        <v>14319620</v>
      </c>
      <c r="P185" s="5">
        <f>ROUND(O185/产出与消耗!T41,4)</f>
        <v>9.5200000000000007E-2</v>
      </c>
      <c r="Q185" s="13">
        <v>200</v>
      </c>
      <c r="R185" s="14">
        <f t="shared" si="99"/>
        <v>4937800</v>
      </c>
      <c r="S185" s="5">
        <f>ROUND(R185/产出与消耗!T63,4)</f>
        <v>4.9299999999999997E-2</v>
      </c>
      <c r="T185" s="9">
        <f t="shared" si="101"/>
        <v>0.1938</v>
      </c>
      <c r="U185"/>
      <c r="V185"/>
      <c r="W185"/>
    </row>
    <row r="186" spans="1:23">
      <c r="B186">
        <v>17</v>
      </c>
      <c r="C186">
        <f>MAX(ROUND(C187-(C188-C187)/(产出与消耗!$K$22-产出与消耗!$K$21)*(产出与消耗!$K$21-产出与消耗!$K$20)*1.048,0),0)</f>
        <v>28962</v>
      </c>
      <c r="D186" s="13">
        <v>12</v>
      </c>
      <c r="E186">
        <f>ROUND(D186*C186/3600/(建筑!G102*基本公式!$B$153),2)</f>
        <v>12.07</v>
      </c>
      <c r="F186" s="13">
        <v>20</v>
      </c>
      <c r="G186" s="14">
        <f t="shared" si="96"/>
        <v>579240</v>
      </c>
      <c r="K186" s="13">
        <v>300</v>
      </c>
      <c r="L186" s="14">
        <f t="shared" si="97"/>
        <v>8688600</v>
      </c>
      <c r="M186" s="5">
        <f>ROUND(L186/产出与消耗!T20,4)</f>
        <v>3.8699999999999998E-2</v>
      </c>
      <c r="N186" s="13">
        <v>580</v>
      </c>
      <c r="O186" s="14">
        <f t="shared" si="98"/>
        <v>16797960</v>
      </c>
      <c r="P186" s="5">
        <f>ROUND(O186/产出与消耗!T42,4)</f>
        <v>7.4800000000000005E-2</v>
      </c>
      <c r="Q186" s="13">
        <v>200</v>
      </c>
      <c r="R186" s="14">
        <f t="shared" si="99"/>
        <v>5792400</v>
      </c>
      <c r="S186" s="5">
        <f>ROUND(R186/产出与消耗!T64,4)</f>
        <v>3.8699999999999998E-2</v>
      </c>
      <c r="T186" s="9">
        <f t="shared" si="101"/>
        <v>0.1522</v>
      </c>
      <c r="U186"/>
      <c r="V186"/>
      <c r="W186"/>
    </row>
    <row r="187" spans="1:23">
      <c r="B187">
        <v>18</v>
      </c>
      <c r="C187">
        <f>MAX(ROUND(C188-(C189-C188)/(产出与消耗!$K$23-产出与消耗!$K$22)*(产出与消耗!$K$22-产出与消耗!$K$21)*1.048,0),0)</f>
        <v>33534</v>
      </c>
      <c r="D187" s="13">
        <v>12</v>
      </c>
      <c r="E187">
        <f>ROUND(D187*C187/3600/(建筑!G103*基本公式!$B$153),2)</f>
        <v>13.97</v>
      </c>
      <c r="F187" s="13">
        <v>20</v>
      </c>
      <c r="G187" s="14">
        <f t="shared" si="96"/>
        <v>670680</v>
      </c>
      <c r="K187" s="13">
        <v>300</v>
      </c>
      <c r="L187" s="14">
        <f t="shared" si="97"/>
        <v>10060200</v>
      </c>
      <c r="M187" s="5">
        <f>ROUND(L187/产出与消耗!T21,4)</f>
        <v>3.0800000000000001E-2</v>
      </c>
      <c r="N187" s="13">
        <v>580</v>
      </c>
      <c r="O187" s="14">
        <f t="shared" si="98"/>
        <v>19449720</v>
      </c>
      <c r="P187" s="5">
        <f>ROUND(O187/产出与消耗!T43,4)</f>
        <v>5.96E-2</v>
      </c>
      <c r="Q187" s="13">
        <v>200</v>
      </c>
      <c r="R187" s="14">
        <f t="shared" si="99"/>
        <v>6706800</v>
      </c>
      <c r="S187" s="5">
        <f>ROUND(R187/产出与消耗!T65,4)</f>
        <v>3.0800000000000001E-2</v>
      </c>
      <c r="T187" s="9">
        <f t="shared" si="101"/>
        <v>0.1212</v>
      </c>
      <c r="U187"/>
      <c r="V187"/>
      <c r="W187"/>
    </row>
    <row r="188" spans="1:23">
      <c r="A188" s="22" t="s">
        <v>211</v>
      </c>
      <c r="B188">
        <v>19</v>
      </c>
      <c r="C188">
        <f>ROUND(产出与消耗!$K$22*C189/产出与消耗!$K$23,0)</f>
        <v>38250</v>
      </c>
      <c r="D188" s="13">
        <v>12</v>
      </c>
      <c r="E188">
        <f>ROUND(D188*C188/3600/(建筑!G104*基本公式!$B$153),2)</f>
        <v>15.94</v>
      </c>
      <c r="F188" s="13">
        <v>20</v>
      </c>
      <c r="G188" s="14">
        <f t="shared" si="96"/>
        <v>765000</v>
      </c>
      <c r="K188" s="13">
        <v>300</v>
      </c>
      <c r="L188" s="14">
        <f t="shared" si="97"/>
        <v>11475000</v>
      </c>
      <c r="M188" s="5">
        <f>ROUND(L188/产出与消耗!T22,4)</f>
        <v>2.4799999999999999E-2</v>
      </c>
      <c r="N188" s="13">
        <v>580</v>
      </c>
      <c r="O188" s="14">
        <f t="shared" si="98"/>
        <v>22185000</v>
      </c>
      <c r="P188" s="5">
        <f>ROUND(O188/产出与消耗!T44,4)</f>
        <v>4.8000000000000001E-2</v>
      </c>
      <c r="Q188" s="13">
        <v>200</v>
      </c>
      <c r="R188" s="14">
        <f t="shared" si="99"/>
        <v>7650000</v>
      </c>
      <c r="S188" s="5">
        <f>ROUND(R188/产出与消耗!T66,4)</f>
        <v>2.4799999999999999E-2</v>
      </c>
      <c r="T188" s="9">
        <f t="shared" si="101"/>
        <v>9.7600000000000006E-2</v>
      </c>
      <c r="U188"/>
      <c r="V188"/>
      <c r="W188"/>
    </row>
    <row r="189" spans="1:23">
      <c r="B189">
        <v>20</v>
      </c>
      <c r="C189">
        <v>45000</v>
      </c>
      <c r="D189" s="13">
        <v>12</v>
      </c>
      <c r="E189">
        <f>ROUND(D189*C189/3600/(建筑!G105*基本公式!$B$153),2)</f>
        <v>15</v>
      </c>
      <c r="F189" s="13">
        <v>20</v>
      </c>
      <c r="G189" s="14">
        <f t="shared" si="96"/>
        <v>900000</v>
      </c>
      <c r="K189" s="13">
        <v>300</v>
      </c>
      <c r="L189" s="14">
        <f t="shared" si="97"/>
        <v>13500000</v>
      </c>
      <c r="M189" s="5">
        <f>ROUND(L189/产出与消耗!T23,4)</f>
        <v>2.0199999999999999E-2</v>
      </c>
      <c r="N189" s="13">
        <v>580</v>
      </c>
      <c r="O189" s="14">
        <f t="shared" si="98"/>
        <v>26100000</v>
      </c>
      <c r="P189" s="5">
        <f>ROUND(O189/产出与消耗!T45,4)</f>
        <v>3.9E-2</v>
      </c>
      <c r="Q189" s="13">
        <v>200</v>
      </c>
      <c r="R189" s="14">
        <f t="shared" si="99"/>
        <v>9000000</v>
      </c>
      <c r="S189" s="5">
        <f>ROUND(R189/产出与消耗!T67,4)</f>
        <v>2.0199999999999999E-2</v>
      </c>
      <c r="T189" s="9">
        <f t="shared" si="101"/>
        <v>7.9399999999999998E-2</v>
      </c>
      <c r="U189"/>
      <c r="V189"/>
      <c r="W189"/>
    </row>
    <row r="190" spans="1:23">
      <c r="K190"/>
      <c r="M190"/>
      <c r="N190"/>
      <c r="P190"/>
      <c r="Q190"/>
      <c r="S190"/>
      <c r="T190"/>
      <c r="U190"/>
      <c r="V190"/>
      <c r="W190"/>
    </row>
    <row r="191" spans="1:23">
      <c r="A191" t="s">
        <v>174</v>
      </c>
      <c r="B191">
        <v>1</v>
      </c>
      <c r="C191">
        <f>MAX(ROUND(C192-(C193-C192)/(产出与消耗!$K$6-产出与消耗!$K$5)*(产出与消耗!$K$5-产出与消耗!$K$4)*1.048,0),0)</f>
        <v>0</v>
      </c>
      <c r="D191" s="13">
        <v>9</v>
      </c>
      <c r="E191">
        <f>ROUND(D191*C191/3600/(建筑!G86*基本公式!$B$153),2)</f>
        <v>0</v>
      </c>
      <c r="F191" s="13">
        <f>F107*1.4</f>
        <v>21</v>
      </c>
      <c r="G191" s="14">
        <f t="shared" ref="G191" si="102">F191*C191</f>
        <v>0</v>
      </c>
      <c r="K191" s="13">
        <v>230</v>
      </c>
      <c r="L191" s="14">
        <f t="shared" ref="L191" si="103">ROUND(K191*C191,0)</f>
        <v>0</v>
      </c>
      <c r="M191" s="5">
        <f>ROUND(L191/产出与消耗!T4,4)</f>
        <v>0</v>
      </c>
      <c r="N191" s="13">
        <v>335</v>
      </c>
      <c r="O191" s="14">
        <f t="shared" ref="O191" si="104">ROUND(N191*C191,0)</f>
        <v>0</v>
      </c>
      <c r="P191" s="5">
        <f>ROUND(O191/产出与消耗!T26,4)</f>
        <v>0</v>
      </c>
      <c r="Q191" s="13">
        <v>410</v>
      </c>
      <c r="R191" s="14">
        <f t="shared" ref="R191" si="105">ROUND(Q191*C191,0)</f>
        <v>0</v>
      </c>
      <c r="S191" s="5">
        <f>ROUND(R191/产出与消耗!T48,4)</f>
        <v>0</v>
      </c>
      <c r="T191" s="9">
        <f>M191+P191+S191</f>
        <v>0</v>
      </c>
      <c r="U191"/>
      <c r="V191"/>
      <c r="W191"/>
    </row>
    <row r="192" spans="1:23">
      <c r="B192">
        <v>2</v>
      </c>
      <c r="C192">
        <f>MAX(ROUND(C193-(C194-C193)/(产出与消耗!$K$7-产出与消耗!$K$6)*(产出与消耗!$K$6-产出与消耗!$K$5)*1.048,0),0)</f>
        <v>0</v>
      </c>
      <c r="D192" s="13">
        <v>9</v>
      </c>
      <c r="E192">
        <f>ROUND(D192*C192/3600/(建筑!G87*基本公式!$B$153),2)</f>
        <v>0</v>
      </c>
      <c r="F192" s="13">
        <f t="shared" ref="F192" si="106">F108*1.4</f>
        <v>21</v>
      </c>
      <c r="G192" s="14">
        <f t="shared" ref="G192:G210" si="107">F192*C192</f>
        <v>0</v>
      </c>
      <c r="K192" s="13">
        <v>230</v>
      </c>
      <c r="L192" s="14">
        <f t="shared" ref="L192:L210" si="108">ROUND(K192*C192,0)</f>
        <v>0</v>
      </c>
      <c r="M192" s="5">
        <f>ROUND(L192/产出与消耗!T5,4)</f>
        <v>0</v>
      </c>
      <c r="N192" s="13">
        <v>335</v>
      </c>
      <c r="O192" s="14">
        <f t="shared" ref="O192:O210" si="109">ROUND(N192*C192,0)</f>
        <v>0</v>
      </c>
      <c r="P192" s="5">
        <f>ROUND(O192/产出与消耗!T27,4)</f>
        <v>0</v>
      </c>
      <c r="Q192" s="13">
        <v>410</v>
      </c>
      <c r="R192" s="14">
        <f t="shared" ref="R192:R210" si="110">ROUND(Q192*C192,0)</f>
        <v>0</v>
      </c>
      <c r="S192" s="5">
        <f>ROUND(R192/产出与消耗!T49,4)</f>
        <v>0</v>
      </c>
      <c r="T192" s="9">
        <f t="shared" ref="T192" si="111">M192+P192+S192</f>
        <v>0</v>
      </c>
      <c r="U192"/>
      <c r="V192"/>
      <c r="W192"/>
    </row>
    <row r="193" spans="1:23">
      <c r="B193">
        <v>3</v>
      </c>
      <c r="C193">
        <f>MAX(ROUND(C194-(C195-C194)/(产出与消耗!$K$8-产出与消耗!$K$7)*(产出与消耗!$K$7-产出与消耗!$K$6)*1.048,0),0)</f>
        <v>0</v>
      </c>
      <c r="D193" s="13">
        <v>9</v>
      </c>
      <c r="E193">
        <f>ROUND(D193*C193/3600/(建筑!G88*基本公式!$B$153),2)</f>
        <v>0</v>
      </c>
      <c r="F193" s="13">
        <f t="shared" ref="F193:F210" si="112">F109*1.4</f>
        <v>21</v>
      </c>
      <c r="G193" s="14">
        <f t="shared" si="107"/>
        <v>0</v>
      </c>
      <c r="K193" s="13">
        <v>230</v>
      </c>
      <c r="L193" s="14">
        <f t="shared" si="108"/>
        <v>0</v>
      </c>
      <c r="M193" s="5">
        <f>ROUND(L193/产出与消耗!T6,4)</f>
        <v>0</v>
      </c>
      <c r="N193" s="13">
        <v>335</v>
      </c>
      <c r="O193" s="14">
        <f t="shared" si="109"/>
        <v>0</v>
      </c>
      <c r="P193" s="5">
        <f>ROUND(O193/产出与消耗!T28,4)</f>
        <v>0</v>
      </c>
      <c r="Q193" s="13">
        <v>410</v>
      </c>
      <c r="R193" s="14">
        <f t="shared" si="110"/>
        <v>0</v>
      </c>
      <c r="S193" s="5">
        <f>ROUND(R193/产出与消耗!T50,4)</f>
        <v>0</v>
      </c>
      <c r="T193" s="9">
        <f t="shared" ref="T193:T210" si="113">M193+P193+S193</f>
        <v>0</v>
      </c>
      <c r="U193"/>
      <c r="V193"/>
      <c r="W193"/>
    </row>
    <row r="194" spans="1:23">
      <c r="B194">
        <v>4</v>
      </c>
      <c r="C194">
        <f>MAX(ROUND(C195-(C196-C195)/(产出与消耗!$K$9-产出与消耗!$K$8)*(产出与消耗!$K$8-产出与消耗!$K$7)*1.048,0),0)</f>
        <v>0</v>
      </c>
      <c r="D194" s="13">
        <v>9</v>
      </c>
      <c r="E194">
        <f>ROUND(D194*C194/3600/(建筑!G89*基本公式!$B$153),2)</f>
        <v>0</v>
      </c>
      <c r="F194" s="13">
        <f t="shared" si="112"/>
        <v>21</v>
      </c>
      <c r="G194" s="14">
        <f t="shared" si="107"/>
        <v>0</v>
      </c>
      <c r="K194" s="13">
        <v>230</v>
      </c>
      <c r="L194" s="14">
        <f t="shared" si="108"/>
        <v>0</v>
      </c>
      <c r="M194" s="5">
        <f>ROUND(L194/产出与消耗!T7,4)</f>
        <v>0</v>
      </c>
      <c r="N194" s="13">
        <v>335</v>
      </c>
      <c r="O194" s="14">
        <f t="shared" si="109"/>
        <v>0</v>
      </c>
      <c r="P194" s="5">
        <f>ROUND(O194/产出与消耗!T29,4)</f>
        <v>0</v>
      </c>
      <c r="Q194" s="13">
        <v>410</v>
      </c>
      <c r="R194" s="14">
        <f t="shared" si="110"/>
        <v>0</v>
      </c>
      <c r="S194" s="5">
        <f>ROUND(R194/产出与消耗!T51,4)</f>
        <v>0</v>
      </c>
      <c r="T194" s="9">
        <f t="shared" si="113"/>
        <v>0</v>
      </c>
      <c r="U194"/>
      <c r="V194"/>
      <c r="W194"/>
    </row>
    <row r="195" spans="1:23">
      <c r="B195">
        <v>5</v>
      </c>
      <c r="C195">
        <f>MAX(ROUND(C196-(C197-C196)/(产出与消耗!$K$10-产出与消耗!$K$9)*(产出与消耗!$K$9-产出与消耗!$K$8)*1.048,0),0)</f>
        <v>0</v>
      </c>
      <c r="D195" s="13">
        <v>9</v>
      </c>
      <c r="E195">
        <f>ROUND(D195*C195/3600/(建筑!G90*基本公式!$B$153),2)</f>
        <v>0</v>
      </c>
      <c r="F195" s="13">
        <f t="shared" si="112"/>
        <v>21</v>
      </c>
      <c r="G195" s="14">
        <f t="shared" si="107"/>
        <v>0</v>
      </c>
      <c r="K195" s="13">
        <v>230</v>
      </c>
      <c r="L195" s="14">
        <f t="shared" si="108"/>
        <v>0</v>
      </c>
      <c r="M195" s="5">
        <f>ROUND(L195/产出与消耗!T8,4)</f>
        <v>0</v>
      </c>
      <c r="N195" s="13">
        <v>335</v>
      </c>
      <c r="O195" s="14">
        <f t="shared" si="109"/>
        <v>0</v>
      </c>
      <c r="P195" s="5">
        <f>ROUND(O195/产出与消耗!T30,4)</f>
        <v>0</v>
      </c>
      <c r="Q195" s="13">
        <v>410</v>
      </c>
      <c r="R195" s="14">
        <f t="shared" si="110"/>
        <v>0</v>
      </c>
      <c r="S195" s="5">
        <f>ROUND(R195/产出与消耗!T52,4)</f>
        <v>0</v>
      </c>
      <c r="T195" s="9">
        <f t="shared" si="113"/>
        <v>0</v>
      </c>
      <c r="U195"/>
      <c r="V195"/>
      <c r="W195"/>
    </row>
    <row r="196" spans="1:23">
      <c r="B196">
        <v>6</v>
      </c>
      <c r="C196">
        <f>MAX(ROUND(C197-(C198-C197)/(产出与消耗!$K$11-产出与消耗!$K$10)*(产出与消耗!$K$10-产出与消耗!$K$9)*1.048,0),0)</f>
        <v>0</v>
      </c>
      <c r="D196" s="13">
        <v>9</v>
      </c>
      <c r="E196">
        <f>ROUND(D196*C196/3600/(建筑!G91*基本公式!$B$153),2)</f>
        <v>0</v>
      </c>
      <c r="F196" s="13">
        <f t="shared" si="112"/>
        <v>21</v>
      </c>
      <c r="G196" s="14">
        <f t="shared" si="107"/>
        <v>0</v>
      </c>
      <c r="K196" s="13">
        <v>230</v>
      </c>
      <c r="L196" s="14">
        <f t="shared" si="108"/>
        <v>0</v>
      </c>
      <c r="M196" s="5">
        <f>ROUND(L196/产出与消耗!T9,4)</f>
        <v>0</v>
      </c>
      <c r="N196" s="13">
        <v>335</v>
      </c>
      <c r="O196" s="14">
        <f t="shared" si="109"/>
        <v>0</v>
      </c>
      <c r="P196" s="5">
        <f>ROUND(O196/产出与消耗!T31,4)</f>
        <v>0</v>
      </c>
      <c r="Q196" s="13">
        <v>410</v>
      </c>
      <c r="R196" s="14">
        <f t="shared" si="110"/>
        <v>0</v>
      </c>
      <c r="S196" s="5">
        <f>ROUND(R196/产出与消耗!T53,4)</f>
        <v>0</v>
      </c>
      <c r="T196" s="9">
        <f t="shared" si="113"/>
        <v>0</v>
      </c>
      <c r="U196"/>
      <c r="V196"/>
      <c r="W196"/>
    </row>
    <row r="197" spans="1:23">
      <c r="B197">
        <v>7</v>
      </c>
      <c r="C197">
        <f>MAX(ROUND(C198-(C199-C198)/(产出与消耗!$K$12-产出与消耗!$K$11)*(产出与消耗!$K$11-产出与消耗!$K$10)*1.048,0),0)</f>
        <v>0</v>
      </c>
      <c r="D197" s="13">
        <v>9</v>
      </c>
      <c r="E197">
        <f>ROUND(D197*C197/3600/(建筑!G92*基本公式!$B$153),2)</f>
        <v>0</v>
      </c>
      <c r="F197" s="13">
        <f t="shared" si="112"/>
        <v>21</v>
      </c>
      <c r="G197" s="14">
        <f t="shared" si="107"/>
        <v>0</v>
      </c>
      <c r="K197" s="13">
        <v>230</v>
      </c>
      <c r="L197" s="14">
        <f t="shared" si="108"/>
        <v>0</v>
      </c>
      <c r="M197" s="5">
        <f>ROUND(L197/产出与消耗!T10,4)</f>
        <v>0</v>
      </c>
      <c r="N197" s="13">
        <v>335</v>
      </c>
      <c r="O197" s="14">
        <f t="shared" si="109"/>
        <v>0</v>
      </c>
      <c r="P197" s="5">
        <f>ROUND(O197/产出与消耗!T32,4)</f>
        <v>0</v>
      </c>
      <c r="Q197" s="13">
        <v>410</v>
      </c>
      <c r="R197" s="14">
        <f t="shared" si="110"/>
        <v>0</v>
      </c>
      <c r="S197" s="5">
        <f>ROUND(R197/产出与消耗!T54,4)</f>
        <v>0</v>
      </c>
      <c r="T197" s="9">
        <f t="shared" si="113"/>
        <v>0</v>
      </c>
      <c r="U197"/>
      <c r="V197"/>
      <c r="W197"/>
    </row>
    <row r="198" spans="1:23">
      <c r="A198" s="16"/>
      <c r="B198">
        <v>8</v>
      </c>
      <c r="C198">
        <f>MAX(ROUND(C199-(C200-C199)/(产出与消耗!$K$13-产出与消耗!$K$12)*(产出与消耗!$K$12-产出与消耗!$K$11)*1.048,0),0)</f>
        <v>0</v>
      </c>
      <c r="D198" s="13">
        <v>9</v>
      </c>
      <c r="E198">
        <f>ROUND(D198*C198/3600/(建筑!G93*基本公式!$B$153),2)</f>
        <v>0</v>
      </c>
      <c r="F198" s="13">
        <f t="shared" si="112"/>
        <v>21</v>
      </c>
      <c r="G198" s="14">
        <f t="shared" si="107"/>
        <v>0</v>
      </c>
      <c r="K198" s="13">
        <v>230</v>
      </c>
      <c r="L198" s="14">
        <f t="shared" si="108"/>
        <v>0</v>
      </c>
      <c r="M198" s="5">
        <f>ROUND(L198/产出与消耗!T11,4)</f>
        <v>0</v>
      </c>
      <c r="N198" s="13">
        <v>335</v>
      </c>
      <c r="O198" s="14">
        <f t="shared" si="109"/>
        <v>0</v>
      </c>
      <c r="P198" s="5">
        <f>ROUND(O198/产出与消耗!T33,4)</f>
        <v>0</v>
      </c>
      <c r="Q198" s="13">
        <v>410</v>
      </c>
      <c r="R198" s="14">
        <f t="shared" si="110"/>
        <v>0</v>
      </c>
      <c r="S198" s="5">
        <f>ROUND(R198/产出与消耗!T55,4)</f>
        <v>0</v>
      </c>
      <c r="T198" s="9">
        <f t="shared" si="113"/>
        <v>0</v>
      </c>
      <c r="U198"/>
      <c r="V198"/>
      <c r="W198"/>
    </row>
    <row r="199" spans="1:23">
      <c r="B199">
        <v>9</v>
      </c>
      <c r="C199">
        <f>MAX(ROUND(C200-(C201-C200)/(产出与消耗!$K$14-产出与消耗!$K$13)*(产出与消耗!$K$13-产出与消耗!$K$12)*1.048,0),0)</f>
        <v>0</v>
      </c>
      <c r="D199" s="13">
        <v>9</v>
      </c>
      <c r="E199">
        <f>ROUND(D199*C199/3600/(建筑!G94*基本公式!$B$153),2)</f>
        <v>0</v>
      </c>
      <c r="F199" s="13">
        <f t="shared" si="112"/>
        <v>21</v>
      </c>
      <c r="G199" s="14">
        <f t="shared" si="107"/>
        <v>0</v>
      </c>
      <c r="K199" s="13">
        <v>230</v>
      </c>
      <c r="L199" s="14">
        <f t="shared" si="108"/>
        <v>0</v>
      </c>
      <c r="M199" s="5">
        <f>ROUND(L199/产出与消耗!T12,4)</f>
        <v>0</v>
      </c>
      <c r="N199" s="13">
        <v>335</v>
      </c>
      <c r="O199" s="14">
        <f t="shared" si="109"/>
        <v>0</v>
      </c>
      <c r="P199" s="5">
        <f>ROUND(O199/产出与消耗!T34,4)</f>
        <v>0</v>
      </c>
      <c r="Q199" s="13">
        <v>410</v>
      </c>
      <c r="R199" s="14">
        <f t="shared" si="110"/>
        <v>0</v>
      </c>
      <c r="S199" s="5">
        <f>ROUND(R199/产出与消耗!T56,4)</f>
        <v>0</v>
      </c>
      <c r="T199" s="9">
        <f t="shared" si="113"/>
        <v>0</v>
      </c>
      <c r="U199"/>
      <c r="V199"/>
      <c r="W199"/>
    </row>
    <row r="200" spans="1:23">
      <c r="A200" s="21" t="s">
        <v>209</v>
      </c>
      <c r="B200">
        <v>10</v>
      </c>
      <c r="C200">
        <f>MAX(ROUND(C201-(C202-C201)/(产出与消耗!$K$15-产出与消耗!$K$14)*(产出与消耗!$K$14-产出与消耗!$K$13)*1.048,0),0)</f>
        <v>151</v>
      </c>
      <c r="D200" s="13">
        <v>9</v>
      </c>
      <c r="E200">
        <f>ROUND(D200*C200/3600/(建筑!G95*基本公式!$B$153),2)</f>
        <v>0.09</v>
      </c>
      <c r="F200" s="13">
        <f t="shared" si="112"/>
        <v>21</v>
      </c>
      <c r="G200" s="14">
        <f t="shared" si="107"/>
        <v>3171</v>
      </c>
      <c r="K200" s="13">
        <v>230</v>
      </c>
      <c r="L200" s="14">
        <f t="shared" si="108"/>
        <v>34730</v>
      </c>
      <c r="M200" s="5">
        <f>ROUND(L200/产出与消耗!T13,4)</f>
        <v>8.8999999999999999E-3</v>
      </c>
      <c r="N200" s="13">
        <v>335</v>
      </c>
      <c r="O200" s="14">
        <f t="shared" si="109"/>
        <v>50585</v>
      </c>
      <c r="P200" s="5">
        <f>ROUND(O200/产出与消耗!T35,4)</f>
        <v>1.2999999999999999E-2</v>
      </c>
      <c r="Q200" s="13">
        <v>410</v>
      </c>
      <c r="R200" s="14">
        <f t="shared" si="110"/>
        <v>61910</v>
      </c>
      <c r="S200" s="5">
        <f>ROUND(R200/产出与消耗!T57,4)</f>
        <v>2.3800000000000002E-2</v>
      </c>
      <c r="T200" s="9">
        <f t="shared" si="113"/>
        <v>4.5699999999999998E-2</v>
      </c>
      <c r="U200"/>
      <c r="V200"/>
      <c r="W200"/>
    </row>
    <row r="201" spans="1:23">
      <c r="B201">
        <v>11</v>
      </c>
      <c r="C201">
        <f>MAX(ROUND(C202-(C203-C202)/(产出与消耗!$K$16-产出与消耗!$K$15)*(产出与消耗!$K$15-产出与消耗!$K$14)*1.048,0),0)</f>
        <v>2381</v>
      </c>
      <c r="D201" s="13">
        <v>9</v>
      </c>
      <c r="E201">
        <f>ROUND(D201*C201/3600/(建筑!G96*基本公式!$B$153),2)</f>
        <v>1.49</v>
      </c>
      <c r="F201" s="13">
        <f t="shared" si="112"/>
        <v>21</v>
      </c>
      <c r="G201" s="14">
        <f t="shared" si="107"/>
        <v>50001</v>
      </c>
      <c r="K201" s="13">
        <v>230</v>
      </c>
      <c r="L201" s="14">
        <f t="shared" si="108"/>
        <v>547630</v>
      </c>
      <c r="M201" s="5">
        <f>ROUND(L201/产出与消耗!T14,4)</f>
        <v>6.9000000000000006E-2</v>
      </c>
      <c r="N201" s="13">
        <v>335</v>
      </c>
      <c r="O201" s="14">
        <f t="shared" si="109"/>
        <v>797635</v>
      </c>
      <c r="P201" s="5">
        <f>ROUND(O201/产出与消耗!T36,4)</f>
        <v>0.10050000000000001</v>
      </c>
      <c r="Q201" s="13">
        <v>410</v>
      </c>
      <c r="R201" s="14">
        <f t="shared" si="110"/>
        <v>976210</v>
      </c>
      <c r="S201" s="5">
        <f>ROUND(R201/产出与消耗!T58,4)</f>
        <v>0.1845</v>
      </c>
      <c r="T201" s="9">
        <f t="shared" si="113"/>
        <v>0.35399999999999998</v>
      </c>
      <c r="U201"/>
      <c r="V201"/>
      <c r="W201"/>
    </row>
    <row r="202" spans="1:23">
      <c r="B202">
        <v>12</v>
      </c>
      <c r="C202">
        <f>MAX(ROUND(C203-(C204-C203)/(产出与消耗!$K$17-产出与消耗!$K$16)*(产出与消耗!$K$16-产出与消耗!$K$15)*1.048,0),0)</f>
        <v>7947</v>
      </c>
      <c r="D202" s="13">
        <v>9</v>
      </c>
      <c r="E202">
        <f>ROUND(D202*C202/3600/(建筑!G97*基本公式!$B$153),2)</f>
        <v>3.31</v>
      </c>
      <c r="F202" s="13">
        <f t="shared" si="112"/>
        <v>21</v>
      </c>
      <c r="G202" s="14">
        <f t="shared" si="107"/>
        <v>166887</v>
      </c>
      <c r="K202" s="13">
        <v>230</v>
      </c>
      <c r="L202" s="14">
        <f t="shared" si="108"/>
        <v>1827810</v>
      </c>
      <c r="M202" s="5">
        <f>ROUND(L202/产出与消耗!T15,4)</f>
        <v>0.1032</v>
      </c>
      <c r="N202" s="13">
        <v>335</v>
      </c>
      <c r="O202" s="14">
        <f t="shared" si="109"/>
        <v>2662245</v>
      </c>
      <c r="P202" s="5">
        <f>ROUND(O202/产出与消耗!T37,4)</f>
        <v>0.15040000000000001</v>
      </c>
      <c r="Q202" s="13">
        <v>410</v>
      </c>
      <c r="R202" s="14">
        <f t="shared" si="110"/>
        <v>3258270</v>
      </c>
      <c r="S202" s="5">
        <f>ROUND(R202/产出与消耗!T59,4)</f>
        <v>0.27600000000000002</v>
      </c>
      <c r="T202" s="9">
        <f t="shared" si="113"/>
        <v>0.52959999999999996</v>
      </c>
      <c r="U202"/>
      <c r="V202"/>
      <c r="W202"/>
    </row>
    <row r="203" spans="1:23">
      <c r="A203" s="16"/>
      <c r="B203">
        <v>13</v>
      </c>
      <c r="C203">
        <f>MAX(ROUND(C204-(C205-C204)/(产出与消耗!$K$18-产出与消耗!$K$17)*(产出与消耗!$K$17-产出与消耗!$K$16)*1.048,0),0)</f>
        <v>12477</v>
      </c>
      <c r="D203" s="13">
        <v>9</v>
      </c>
      <c r="E203">
        <f>ROUND(D203*C203/3600/(建筑!G98*基本公式!$B$153),2)</f>
        <v>5.2</v>
      </c>
      <c r="F203" s="13">
        <f t="shared" si="112"/>
        <v>21</v>
      </c>
      <c r="G203" s="14">
        <f t="shared" si="107"/>
        <v>262017</v>
      </c>
      <c r="K203" s="13">
        <v>230</v>
      </c>
      <c r="L203" s="14">
        <f t="shared" si="108"/>
        <v>2869710</v>
      </c>
      <c r="M203" s="5">
        <f>ROUND(L203/产出与消耗!T16,4)</f>
        <v>8.3599999999999994E-2</v>
      </c>
      <c r="N203" s="13">
        <v>335</v>
      </c>
      <c r="O203" s="14">
        <f t="shared" si="109"/>
        <v>4179795</v>
      </c>
      <c r="P203" s="5">
        <f>ROUND(O203/产出与消耗!T38,4)</f>
        <v>0.1217</v>
      </c>
      <c r="Q203" s="13">
        <v>410</v>
      </c>
      <c r="R203" s="14">
        <f t="shared" si="110"/>
        <v>5115570</v>
      </c>
      <c r="S203" s="5">
        <f>ROUND(R203/产出与消耗!T60,4)</f>
        <v>0.2235</v>
      </c>
      <c r="T203" s="9">
        <f t="shared" si="113"/>
        <v>0.42880000000000001</v>
      </c>
      <c r="U203"/>
      <c r="V203"/>
      <c r="W203"/>
    </row>
    <row r="204" spans="1:23">
      <c r="A204" s="21" t="s">
        <v>210</v>
      </c>
      <c r="B204">
        <v>14</v>
      </c>
      <c r="C204">
        <f>MAX(ROUND(C205-(C206-C205)/(产出与消耗!$K$19-产出与消耗!$K$18)*(产出与消耗!$K$18-产出与消耗!$K$17)*1.048,0),0)</f>
        <v>16352</v>
      </c>
      <c r="D204" s="13">
        <v>9</v>
      </c>
      <c r="E204">
        <f>ROUND(D204*C204/3600/(建筑!G99*基本公式!$B$153),2)</f>
        <v>6.81</v>
      </c>
      <c r="F204" s="13">
        <f t="shared" si="112"/>
        <v>21</v>
      </c>
      <c r="G204" s="14">
        <f t="shared" si="107"/>
        <v>343392</v>
      </c>
      <c r="K204" s="13">
        <v>230</v>
      </c>
      <c r="L204" s="14">
        <f t="shared" si="108"/>
        <v>3760960</v>
      </c>
      <c r="M204" s="5">
        <f>ROUND(L204/产出与消耗!T17,4)</f>
        <v>6.3500000000000001E-2</v>
      </c>
      <c r="N204" s="13">
        <v>335</v>
      </c>
      <c r="O204" s="14">
        <f t="shared" si="109"/>
        <v>5477920</v>
      </c>
      <c r="P204" s="5">
        <f>ROUND(O204/产出与消耗!T39,4)</f>
        <v>9.2499999999999999E-2</v>
      </c>
      <c r="Q204" s="13">
        <v>410</v>
      </c>
      <c r="R204" s="14">
        <f t="shared" si="110"/>
        <v>6704320</v>
      </c>
      <c r="S204" s="5">
        <f>ROUND(R204/产出与消耗!T61,4)</f>
        <v>0.16980000000000001</v>
      </c>
      <c r="T204" s="9">
        <f t="shared" si="113"/>
        <v>0.32579999999999998</v>
      </c>
      <c r="U204"/>
      <c r="V204"/>
      <c r="W204"/>
    </row>
    <row r="205" spans="1:23">
      <c r="B205">
        <v>15</v>
      </c>
      <c r="C205">
        <f>MAX(ROUND(C206-(C207-C206)/(产出与消耗!$K$20-产出与消耗!$K$19)*(产出与消耗!$K$19-产出与消耗!$K$18)*1.048,0),0)</f>
        <v>20618</v>
      </c>
      <c r="D205" s="13">
        <v>9</v>
      </c>
      <c r="E205">
        <f>ROUND(D205*C205/3600/(建筑!G100*基本公式!$B$153),2)</f>
        <v>8.59</v>
      </c>
      <c r="F205" s="13">
        <f t="shared" si="112"/>
        <v>21</v>
      </c>
      <c r="G205" s="14">
        <f t="shared" si="107"/>
        <v>432978</v>
      </c>
      <c r="K205" s="13">
        <v>230</v>
      </c>
      <c r="L205" s="14">
        <f t="shared" si="108"/>
        <v>4742140</v>
      </c>
      <c r="M205" s="5">
        <f>ROUND(L205/产出与消耗!T18,4)</f>
        <v>4.8800000000000003E-2</v>
      </c>
      <c r="N205" s="13">
        <v>335</v>
      </c>
      <c r="O205" s="14">
        <f t="shared" si="109"/>
        <v>6907030</v>
      </c>
      <c r="P205" s="5">
        <f>ROUND(O205/产出与消耗!T40,4)</f>
        <v>7.1099999999999997E-2</v>
      </c>
      <c r="Q205" s="13">
        <v>410</v>
      </c>
      <c r="R205" s="14">
        <f t="shared" si="110"/>
        <v>8453380</v>
      </c>
      <c r="S205" s="5">
        <f>ROUND(R205/产出与消耗!T62,4)</f>
        <v>0.1305</v>
      </c>
      <c r="T205" s="9">
        <f t="shared" si="113"/>
        <v>0.25040000000000001</v>
      </c>
      <c r="U205"/>
      <c r="V205"/>
      <c r="W205"/>
    </row>
    <row r="206" spans="1:23">
      <c r="B206">
        <v>16</v>
      </c>
      <c r="C206">
        <f>MAX(ROUND(C207-(C208-C207)/(产出与消耗!$K$21-产出与消耗!$K$20)*(产出与消耗!$K$20-产出与消耗!$K$19)*1.048,0),0)</f>
        <v>24689</v>
      </c>
      <c r="D206" s="13">
        <v>9</v>
      </c>
      <c r="E206">
        <f>ROUND(D206*C206/3600/(建筑!G101*基本公式!$B$153),2)</f>
        <v>7.72</v>
      </c>
      <c r="F206" s="13">
        <f t="shared" si="112"/>
        <v>21</v>
      </c>
      <c r="G206" s="14">
        <f t="shared" si="107"/>
        <v>518469</v>
      </c>
      <c r="K206" s="13">
        <v>230</v>
      </c>
      <c r="L206" s="14">
        <f t="shared" si="108"/>
        <v>5678470</v>
      </c>
      <c r="M206" s="5">
        <f>ROUND(L206/产出与消耗!T19,4)</f>
        <v>3.78E-2</v>
      </c>
      <c r="N206" s="13">
        <v>335</v>
      </c>
      <c r="O206" s="14">
        <f t="shared" si="109"/>
        <v>8270815</v>
      </c>
      <c r="P206" s="5">
        <f>ROUND(O206/产出与消耗!T41,4)</f>
        <v>5.5E-2</v>
      </c>
      <c r="Q206" s="13">
        <v>410</v>
      </c>
      <c r="R206" s="14">
        <f t="shared" si="110"/>
        <v>10122490</v>
      </c>
      <c r="S206" s="5">
        <f>ROUND(R206/产出与消耗!T63,4)</f>
        <v>0.10100000000000001</v>
      </c>
      <c r="T206" s="9">
        <f t="shared" si="113"/>
        <v>0.1938</v>
      </c>
      <c r="U206"/>
      <c r="V206"/>
      <c r="W206"/>
    </row>
    <row r="207" spans="1:23">
      <c r="B207">
        <v>17</v>
      </c>
      <c r="C207">
        <f>MAX(ROUND(C208-(C209-C208)/(产出与消耗!$K$22-产出与消耗!$K$21)*(产出与消耗!$K$21-产出与消耗!$K$20)*1.048,0),0)</f>
        <v>28962</v>
      </c>
      <c r="D207" s="13">
        <v>9</v>
      </c>
      <c r="E207">
        <f>ROUND(D207*C207/3600/(建筑!G102*基本公式!$B$153),2)</f>
        <v>9.0500000000000007</v>
      </c>
      <c r="F207" s="13">
        <f t="shared" si="112"/>
        <v>21</v>
      </c>
      <c r="G207" s="14">
        <f t="shared" si="107"/>
        <v>608202</v>
      </c>
      <c r="K207" s="13">
        <v>230</v>
      </c>
      <c r="L207" s="14">
        <f t="shared" si="108"/>
        <v>6661260</v>
      </c>
      <c r="M207" s="5">
        <f>ROUND(L207/产出与消耗!T20,4)</f>
        <v>2.9700000000000001E-2</v>
      </c>
      <c r="N207" s="13">
        <v>335</v>
      </c>
      <c r="O207" s="14">
        <f t="shared" si="109"/>
        <v>9702270</v>
      </c>
      <c r="P207" s="5">
        <f>ROUND(O207/产出与消耗!T42,4)</f>
        <v>4.3200000000000002E-2</v>
      </c>
      <c r="Q207" s="13">
        <v>410</v>
      </c>
      <c r="R207" s="14">
        <f t="shared" si="110"/>
        <v>11874420</v>
      </c>
      <c r="S207" s="5">
        <f>ROUND(R207/产出与消耗!T64,4)</f>
        <v>7.9299999999999995E-2</v>
      </c>
      <c r="T207" s="9">
        <f t="shared" si="113"/>
        <v>0.1522</v>
      </c>
      <c r="U207"/>
      <c r="V207"/>
      <c r="W207"/>
    </row>
    <row r="208" spans="1:23">
      <c r="B208">
        <v>18</v>
      </c>
      <c r="C208">
        <f>MAX(ROUND(C209-(C210-C209)/(产出与消耗!$K$23-产出与消耗!$K$22)*(产出与消耗!$K$22-产出与消耗!$K$21)*1.048,0),0)</f>
        <v>33534</v>
      </c>
      <c r="D208" s="13">
        <v>9</v>
      </c>
      <c r="E208">
        <f>ROUND(D208*C208/3600/(建筑!G103*基本公式!$B$153),2)</f>
        <v>10.48</v>
      </c>
      <c r="F208" s="13">
        <f t="shared" si="112"/>
        <v>21</v>
      </c>
      <c r="G208" s="14">
        <f t="shared" si="107"/>
        <v>704214</v>
      </c>
      <c r="K208" s="13">
        <v>230</v>
      </c>
      <c r="L208" s="14">
        <f t="shared" si="108"/>
        <v>7712820</v>
      </c>
      <c r="M208" s="5">
        <f>ROUND(L208/产出与消耗!T21,4)</f>
        <v>2.3599999999999999E-2</v>
      </c>
      <c r="N208" s="13">
        <v>335</v>
      </c>
      <c r="O208" s="14">
        <f t="shared" si="109"/>
        <v>11233890</v>
      </c>
      <c r="P208" s="5">
        <f>ROUND(O208/产出与消耗!T43,4)</f>
        <v>3.44E-2</v>
      </c>
      <c r="Q208" s="13">
        <v>410</v>
      </c>
      <c r="R208" s="14">
        <f t="shared" si="110"/>
        <v>13748940</v>
      </c>
      <c r="S208" s="5">
        <f>ROUND(R208/产出与消耗!T65,4)</f>
        <v>6.3100000000000003E-2</v>
      </c>
      <c r="T208" s="9">
        <f t="shared" si="113"/>
        <v>0.1211</v>
      </c>
      <c r="U208"/>
      <c r="V208"/>
      <c r="W208"/>
    </row>
    <row r="209" spans="1:23">
      <c r="A209" s="22" t="s">
        <v>211</v>
      </c>
      <c r="B209">
        <v>19</v>
      </c>
      <c r="C209">
        <f>ROUND(产出与消耗!$K$22*C210/产出与消耗!$K$23,0)</f>
        <v>38250</v>
      </c>
      <c r="D209" s="13">
        <v>9</v>
      </c>
      <c r="E209">
        <f>ROUND(D209*C209/3600/(建筑!G104*基本公式!$B$153),2)</f>
        <v>11.95</v>
      </c>
      <c r="F209" s="13">
        <f t="shared" si="112"/>
        <v>21</v>
      </c>
      <c r="G209" s="14">
        <f t="shared" si="107"/>
        <v>803250</v>
      </c>
      <c r="K209" s="13">
        <v>230</v>
      </c>
      <c r="L209" s="14">
        <f t="shared" si="108"/>
        <v>8797500</v>
      </c>
      <c r="M209" s="5">
        <f>ROUND(L209/产出与消耗!T22,4)</f>
        <v>1.9E-2</v>
      </c>
      <c r="N209" s="13">
        <v>335</v>
      </c>
      <c r="O209" s="14">
        <f t="shared" si="109"/>
        <v>12813750</v>
      </c>
      <c r="P209" s="5">
        <f>ROUND(O209/产出与消耗!T44,4)</f>
        <v>2.7699999999999999E-2</v>
      </c>
      <c r="Q209" s="13">
        <v>410</v>
      </c>
      <c r="R209" s="14">
        <f t="shared" si="110"/>
        <v>15682500</v>
      </c>
      <c r="S209" s="5">
        <f>ROUND(R209/产出与消耗!T66,4)</f>
        <v>5.0900000000000001E-2</v>
      </c>
      <c r="T209" s="9">
        <f t="shared" si="113"/>
        <v>9.7600000000000006E-2</v>
      </c>
      <c r="U209"/>
      <c r="V209"/>
      <c r="W209"/>
    </row>
    <row r="210" spans="1:23">
      <c r="B210">
        <v>20</v>
      </c>
      <c r="C210">
        <v>45000</v>
      </c>
      <c r="D210" s="13">
        <v>9</v>
      </c>
      <c r="E210">
        <f>ROUND(D210*C210/3600/(建筑!G105*基本公式!$B$153),2)</f>
        <v>11.25</v>
      </c>
      <c r="F210" s="13">
        <f t="shared" si="112"/>
        <v>21</v>
      </c>
      <c r="G210" s="14">
        <f t="shared" si="107"/>
        <v>945000</v>
      </c>
      <c r="K210" s="13">
        <v>230</v>
      </c>
      <c r="L210" s="14">
        <f t="shared" si="108"/>
        <v>10350000</v>
      </c>
      <c r="M210" s="5">
        <f>ROUND(L210/产出与消耗!T23,4)</f>
        <v>1.55E-2</v>
      </c>
      <c r="N210" s="13">
        <v>335</v>
      </c>
      <c r="O210" s="14">
        <f t="shared" si="109"/>
        <v>15075000</v>
      </c>
      <c r="P210" s="5">
        <f>ROUND(O210/产出与消耗!T45,4)</f>
        <v>2.2499999999999999E-2</v>
      </c>
      <c r="Q210" s="13">
        <v>410</v>
      </c>
      <c r="R210" s="14">
        <f t="shared" si="110"/>
        <v>18450000</v>
      </c>
      <c r="S210" s="5">
        <f>ROUND(R210/产出与消耗!T67,4)</f>
        <v>4.1399999999999999E-2</v>
      </c>
      <c r="T210" s="9">
        <f t="shared" si="113"/>
        <v>7.9399999999999998E-2</v>
      </c>
      <c r="U210"/>
      <c r="V210"/>
      <c r="W210"/>
    </row>
    <row r="211" spans="1:23">
      <c r="K211"/>
      <c r="M211"/>
      <c r="N211"/>
      <c r="P211"/>
      <c r="Q211"/>
      <c r="S211"/>
      <c r="T211"/>
      <c r="U211"/>
      <c r="V211"/>
      <c r="W211"/>
    </row>
    <row r="212" spans="1:23">
      <c r="A212" t="s">
        <v>180</v>
      </c>
      <c r="B212">
        <v>1</v>
      </c>
      <c r="C212">
        <f>MAX(ROUND(C213-(C214-C213)/(产出与消耗!$K$6-产出与消耗!$K$5)*(产出与消耗!$K$5-产出与消耗!$K$4)*1.048,0),0)</f>
        <v>0</v>
      </c>
      <c r="D212" s="13">
        <v>5</v>
      </c>
      <c r="E212">
        <f>ROUND(D212*C212/3600/(建筑!G86*基本公式!$B$153),2)</f>
        <v>0</v>
      </c>
      <c r="F212" s="13">
        <v>25</v>
      </c>
      <c r="G212" s="14">
        <f t="shared" ref="G212" si="114">F212*C212</f>
        <v>0</v>
      </c>
      <c r="K212" s="13">
        <v>570</v>
      </c>
      <c r="L212" s="14">
        <f t="shared" ref="L212" si="115">ROUND(K212*C212,0)</f>
        <v>0</v>
      </c>
      <c r="M212" s="5">
        <f>ROUND(L212/产出与消耗!T4,4)</f>
        <v>0</v>
      </c>
      <c r="N212" s="13">
        <v>190</v>
      </c>
      <c r="O212" s="14">
        <f t="shared" ref="O212" si="116">ROUND(N212*C212,0)</f>
        <v>0</v>
      </c>
      <c r="P212" s="5">
        <f>ROUND(O212/产出与消耗!T26,4)</f>
        <v>0</v>
      </c>
      <c r="Q212" s="13">
        <v>280</v>
      </c>
      <c r="R212" s="14">
        <f t="shared" ref="R212" si="117">ROUND(Q212*C212,0)</f>
        <v>0</v>
      </c>
      <c r="S212" s="5">
        <f>ROUND(R212/产出与消耗!T48,4)</f>
        <v>0</v>
      </c>
      <c r="T212" s="9">
        <f>M212+P212+S212</f>
        <v>0</v>
      </c>
      <c r="U212"/>
      <c r="V212"/>
      <c r="W212"/>
    </row>
    <row r="213" spans="1:23">
      <c r="B213">
        <v>2</v>
      </c>
      <c r="C213">
        <f>MAX(ROUND(C214-(C215-C214)/(产出与消耗!$K$7-产出与消耗!$K$6)*(产出与消耗!$K$6-产出与消耗!$K$5)*1.048,0),0)</f>
        <v>0</v>
      </c>
      <c r="D213" s="13">
        <v>5</v>
      </c>
      <c r="E213">
        <f>ROUND(D213*C213/3600/(建筑!G87*基本公式!$B$153),2)</f>
        <v>0</v>
      </c>
      <c r="F213" s="13">
        <v>25</v>
      </c>
      <c r="G213" s="14">
        <f t="shared" ref="G213:G231" si="118">F213*C213</f>
        <v>0</v>
      </c>
      <c r="K213" s="13">
        <v>570</v>
      </c>
      <c r="L213" s="14">
        <f t="shared" ref="L213:L231" si="119">ROUND(K213*C213,0)</f>
        <v>0</v>
      </c>
      <c r="M213" s="5">
        <f>ROUND(L213/产出与消耗!T5,4)</f>
        <v>0</v>
      </c>
      <c r="N213" s="13">
        <v>190</v>
      </c>
      <c r="O213" s="14">
        <f t="shared" ref="O213:O231" si="120">ROUND(N213*C213,0)</f>
        <v>0</v>
      </c>
      <c r="P213" s="5">
        <f>ROUND(O213/产出与消耗!T27,4)</f>
        <v>0</v>
      </c>
      <c r="Q213" s="13">
        <v>280</v>
      </c>
      <c r="R213" s="14">
        <f t="shared" ref="R213:R231" si="121">ROUND(Q213*C213,0)</f>
        <v>0</v>
      </c>
      <c r="S213" s="5">
        <f>ROUND(R213/产出与消耗!T49,4)</f>
        <v>0</v>
      </c>
      <c r="T213" s="9">
        <f t="shared" ref="T213" si="122">M213+P213+S213</f>
        <v>0</v>
      </c>
      <c r="U213"/>
      <c r="V213"/>
      <c r="W213"/>
    </row>
    <row r="214" spans="1:23">
      <c r="B214">
        <v>3</v>
      </c>
      <c r="C214">
        <f>MAX(ROUND(C215-(C216-C215)/(产出与消耗!$K$8-产出与消耗!$K$7)*(产出与消耗!$K$7-产出与消耗!$K$6)*1.048,0),0)</f>
        <v>0</v>
      </c>
      <c r="D214" s="13">
        <v>5</v>
      </c>
      <c r="E214">
        <f>ROUND(D214*C214/3600/(建筑!G88*基本公式!$B$153),2)</f>
        <v>0</v>
      </c>
      <c r="F214" s="13">
        <v>25</v>
      </c>
      <c r="G214" s="14">
        <f t="shared" si="118"/>
        <v>0</v>
      </c>
      <c r="K214" s="13">
        <v>570</v>
      </c>
      <c r="L214" s="14">
        <f t="shared" si="119"/>
        <v>0</v>
      </c>
      <c r="M214" s="5">
        <f>ROUND(L214/产出与消耗!T6,4)</f>
        <v>0</v>
      </c>
      <c r="N214" s="13">
        <v>190</v>
      </c>
      <c r="O214" s="14">
        <f t="shared" si="120"/>
        <v>0</v>
      </c>
      <c r="P214" s="5">
        <f>ROUND(O214/产出与消耗!T28,4)</f>
        <v>0</v>
      </c>
      <c r="Q214" s="13">
        <v>280</v>
      </c>
      <c r="R214" s="14">
        <f t="shared" si="121"/>
        <v>0</v>
      </c>
      <c r="S214" s="5">
        <f>ROUND(R214/产出与消耗!T50,4)</f>
        <v>0</v>
      </c>
      <c r="T214" s="9">
        <f t="shared" ref="T214:T231" si="123">M214+P214+S214</f>
        <v>0</v>
      </c>
      <c r="U214"/>
      <c r="V214"/>
      <c r="W214"/>
    </row>
    <row r="215" spans="1:23">
      <c r="B215">
        <v>4</v>
      </c>
      <c r="C215">
        <f>MAX(ROUND(C216-(C217-C216)/(产出与消耗!$K$9-产出与消耗!$K$8)*(产出与消耗!$K$8-产出与消耗!$K$7)*1.048,0),0)</f>
        <v>0</v>
      </c>
      <c r="D215" s="13">
        <v>5</v>
      </c>
      <c r="E215">
        <f>ROUND(D215*C215/3600/(建筑!G89*基本公式!$B$153),2)</f>
        <v>0</v>
      </c>
      <c r="F215" s="13">
        <v>25</v>
      </c>
      <c r="G215" s="14">
        <f t="shared" si="118"/>
        <v>0</v>
      </c>
      <c r="K215" s="13">
        <v>570</v>
      </c>
      <c r="L215" s="14">
        <f t="shared" si="119"/>
        <v>0</v>
      </c>
      <c r="M215" s="5">
        <f>ROUND(L215/产出与消耗!T7,4)</f>
        <v>0</v>
      </c>
      <c r="N215" s="13">
        <v>190</v>
      </c>
      <c r="O215" s="14">
        <f t="shared" si="120"/>
        <v>0</v>
      </c>
      <c r="P215" s="5">
        <f>ROUND(O215/产出与消耗!T29,4)</f>
        <v>0</v>
      </c>
      <c r="Q215" s="13">
        <v>280</v>
      </c>
      <c r="R215" s="14">
        <f t="shared" si="121"/>
        <v>0</v>
      </c>
      <c r="S215" s="5">
        <f>ROUND(R215/产出与消耗!T51,4)</f>
        <v>0</v>
      </c>
      <c r="T215" s="9">
        <f t="shared" si="123"/>
        <v>0</v>
      </c>
      <c r="U215"/>
      <c r="V215"/>
      <c r="W215"/>
    </row>
    <row r="216" spans="1:23">
      <c r="B216">
        <v>5</v>
      </c>
      <c r="C216">
        <f>MAX(ROUND(C217-(C218-C217)/(产出与消耗!$K$10-产出与消耗!$K$9)*(产出与消耗!$K$9-产出与消耗!$K$8)*1.048,0),0)</f>
        <v>0</v>
      </c>
      <c r="D216" s="13">
        <v>5</v>
      </c>
      <c r="E216">
        <f>ROUND(D216*C216/3600/(建筑!G90*基本公式!$B$153),2)</f>
        <v>0</v>
      </c>
      <c r="F216" s="13">
        <v>25</v>
      </c>
      <c r="G216" s="14">
        <f t="shared" si="118"/>
        <v>0</v>
      </c>
      <c r="K216" s="13">
        <v>570</v>
      </c>
      <c r="L216" s="14">
        <f t="shared" si="119"/>
        <v>0</v>
      </c>
      <c r="M216" s="5">
        <f>ROUND(L216/产出与消耗!T8,4)</f>
        <v>0</v>
      </c>
      <c r="N216" s="13">
        <v>190</v>
      </c>
      <c r="O216" s="14">
        <f t="shared" si="120"/>
        <v>0</v>
      </c>
      <c r="P216" s="5">
        <f>ROUND(O216/产出与消耗!T30,4)</f>
        <v>0</v>
      </c>
      <c r="Q216" s="13">
        <v>280</v>
      </c>
      <c r="R216" s="14">
        <f t="shared" si="121"/>
        <v>0</v>
      </c>
      <c r="S216" s="5">
        <f>ROUND(R216/产出与消耗!T52,4)</f>
        <v>0</v>
      </c>
      <c r="T216" s="9">
        <f t="shared" si="123"/>
        <v>0</v>
      </c>
      <c r="U216"/>
      <c r="V216"/>
      <c r="W216"/>
    </row>
    <row r="217" spans="1:23">
      <c r="B217">
        <v>6</v>
      </c>
      <c r="C217">
        <f>MAX(ROUND(C218-(C219-C218)/(产出与消耗!$K$11-产出与消耗!$K$10)*(产出与消耗!$K$10-产出与消耗!$K$9)*1.048,0),0)</f>
        <v>0</v>
      </c>
      <c r="D217" s="13">
        <v>5</v>
      </c>
      <c r="E217">
        <f>ROUND(D217*C217/3600/(建筑!G91*基本公式!$B$153),2)</f>
        <v>0</v>
      </c>
      <c r="F217" s="13">
        <v>25</v>
      </c>
      <c r="G217" s="14">
        <f t="shared" si="118"/>
        <v>0</v>
      </c>
      <c r="K217" s="13">
        <v>570</v>
      </c>
      <c r="L217" s="14">
        <f t="shared" si="119"/>
        <v>0</v>
      </c>
      <c r="M217" s="5">
        <f>ROUND(L217/产出与消耗!T9,4)</f>
        <v>0</v>
      </c>
      <c r="N217" s="13">
        <v>190</v>
      </c>
      <c r="O217" s="14">
        <f t="shared" si="120"/>
        <v>0</v>
      </c>
      <c r="P217" s="5">
        <f>ROUND(O217/产出与消耗!T31,4)</f>
        <v>0</v>
      </c>
      <c r="Q217" s="13">
        <v>280</v>
      </c>
      <c r="R217" s="14">
        <f t="shared" si="121"/>
        <v>0</v>
      </c>
      <c r="S217" s="5">
        <f>ROUND(R217/产出与消耗!T53,4)</f>
        <v>0</v>
      </c>
      <c r="T217" s="9">
        <f t="shared" si="123"/>
        <v>0</v>
      </c>
      <c r="U217"/>
      <c r="V217"/>
      <c r="W217"/>
    </row>
    <row r="218" spans="1:23">
      <c r="B218">
        <v>7</v>
      </c>
      <c r="C218">
        <f>MAX(ROUND(C219-(C220-C219)/(产出与消耗!$K$12-产出与消耗!$K$11)*(产出与消耗!$K$11-产出与消耗!$K$10)*1.048,0),0)</f>
        <v>0</v>
      </c>
      <c r="D218" s="13">
        <v>5</v>
      </c>
      <c r="E218">
        <f>ROUND(D218*C218/3600/(建筑!G92*基本公式!$B$153),2)</f>
        <v>0</v>
      </c>
      <c r="F218" s="13">
        <v>25</v>
      </c>
      <c r="G218" s="14">
        <f t="shared" si="118"/>
        <v>0</v>
      </c>
      <c r="K218" s="13">
        <v>570</v>
      </c>
      <c r="L218" s="14">
        <f t="shared" si="119"/>
        <v>0</v>
      </c>
      <c r="M218" s="5">
        <f>ROUND(L218/产出与消耗!T10,4)</f>
        <v>0</v>
      </c>
      <c r="N218" s="13">
        <v>190</v>
      </c>
      <c r="O218" s="14">
        <f t="shared" si="120"/>
        <v>0</v>
      </c>
      <c r="P218" s="5">
        <f>ROUND(O218/产出与消耗!T32,4)</f>
        <v>0</v>
      </c>
      <c r="Q218" s="13">
        <v>280</v>
      </c>
      <c r="R218" s="14">
        <f t="shared" si="121"/>
        <v>0</v>
      </c>
      <c r="S218" s="5">
        <f>ROUND(R218/产出与消耗!T54,4)</f>
        <v>0</v>
      </c>
      <c r="T218" s="9">
        <f t="shared" si="123"/>
        <v>0</v>
      </c>
      <c r="U218"/>
      <c r="V218"/>
      <c r="W218"/>
    </row>
    <row r="219" spans="1:23">
      <c r="A219" s="16"/>
      <c r="B219">
        <v>8</v>
      </c>
      <c r="C219">
        <f>MAX(ROUND(C220-(C221-C220)/(产出与消耗!$K$13-产出与消耗!$K$12)*(产出与消耗!$K$12-产出与消耗!$K$11)*1.048,0),0)</f>
        <v>0</v>
      </c>
      <c r="D219" s="13">
        <v>5</v>
      </c>
      <c r="E219">
        <f>ROUND(D219*C219/3600/(建筑!G93*基本公式!$B$153),2)</f>
        <v>0</v>
      </c>
      <c r="F219" s="13">
        <v>25</v>
      </c>
      <c r="G219" s="14">
        <f t="shared" si="118"/>
        <v>0</v>
      </c>
      <c r="K219" s="13">
        <v>570</v>
      </c>
      <c r="L219" s="14">
        <f t="shared" si="119"/>
        <v>0</v>
      </c>
      <c r="M219" s="5">
        <f>ROUND(L219/产出与消耗!T11,4)</f>
        <v>0</v>
      </c>
      <c r="N219" s="13">
        <v>190</v>
      </c>
      <c r="O219" s="14">
        <f t="shared" si="120"/>
        <v>0</v>
      </c>
      <c r="P219" s="5">
        <f>ROUND(O219/产出与消耗!T33,4)</f>
        <v>0</v>
      </c>
      <c r="Q219" s="13">
        <v>280</v>
      </c>
      <c r="R219" s="14">
        <f t="shared" si="121"/>
        <v>0</v>
      </c>
      <c r="S219" s="5">
        <f>ROUND(R219/产出与消耗!T55,4)</f>
        <v>0</v>
      </c>
      <c r="T219" s="9">
        <f t="shared" si="123"/>
        <v>0</v>
      </c>
      <c r="U219"/>
      <c r="V219"/>
      <c r="W219"/>
    </row>
    <row r="220" spans="1:23">
      <c r="B220">
        <v>9</v>
      </c>
      <c r="C220">
        <f>MAX(ROUND(C221-(C222-C221)/(产出与消耗!$K$14-产出与消耗!$K$13)*(产出与消耗!$K$13-产出与消耗!$K$12)*1.048,0),0)</f>
        <v>0</v>
      </c>
      <c r="D220" s="13">
        <v>5</v>
      </c>
      <c r="E220">
        <f>ROUND(D220*C220/3600/(建筑!G94*基本公式!$B$153),2)</f>
        <v>0</v>
      </c>
      <c r="F220" s="13">
        <v>25</v>
      </c>
      <c r="G220" s="14">
        <f t="shared" si="118"/>
        <v>0</v>
      </c>
      <c r="K220" s="13">
        <v>570</v>
      </c>
      <c r="L220" s="14">
        <f t="shared" si="119"/>
        <v>0</v>
      </c>
      <c r="M220" s="5">
        <f>ROUND(L220/产出与消耗!T12,4)</f>
        <v>0</v>
      </c>
      <c r="N220" s="13">
        <v>190</v>
      </c>
      <c r="O220" s="14">
        <f t="shared" si="120"/>
        <v>0</v>
      </c>
      <c r="P220" s="5">
        <f>ROUND(O220/产出与消耗!T34,4)</f>
        <v>0</v>
      </c>
      <c r="Q220" s="13">
        <v>280</v>
      </c>
      <c r="R220" s="14">
        <f t="shared" si="121"/>
        <v>0</v>
      </c>
      <c r="S220" s="5">
        <f>ROUND(R220/产出与消耗!T56,4)</f>
        <v>0</v>
      </c>
      <c r="T220" s="9">
        <f t="shared" si="123"/>
        <v>0</v>
      </c>
      <c r="U220"/>
      <c r="V220"/>
      <c r="W220"/>
    </row>
    <row r="221" spans="1:23">
      <c r="A221" s="21" t="s">
        <v>209</v>
      </c>
      <c r="B221">
        <v>10</v>
      </c>
      <c r="C221">
        <f>MAX(ROUND(C222-(C223-C222)/(产出与消耗!$K$15-产出与消耗!$K$14)*(产出与消耗!$K$14-产出与消耗!$K$13)*1.048,0),0)</f>
        <v>151</v>
      </c>
      <c r="D221" s="13">
        <v>5</v>
      </c>
      <c r="E221">
        <f>ROUND(D221*C221/3600/(建筑!G95*基本公式!$B$153),2)</f>
        <v>0.05</v>
      </c>
      <c r="F221" s="13">
        <v>25</v>
      </c>
      <c r="G221" s="14">
        <f t="shared" si="118"/>
        <v>3775</v>
      </c>
      <c r="K221" s="13">
        <v>570</v>
      </c>
      <c r="L221" s="14">
        <f t="shared" si="119"/>
        <v>86070</v>
      </c>
      <c r="M221" s="5">
        <f>ROUND(L221/产出与消耗!T13,4)</f>
        <v>2.2100000000000002E-2</v>
      </c>
      <c r="N221" s="13">
        <v>190</v>
      </c>
      <c r="O221" s="14">
        <f t="shared" si="120"/>
        <v>28690</v>
      </c>
      <c r="P221" s="5">
        <f>ROUND(O221/产出与消耗!T35,4)</f>
        <v>7.4000000000000003E-3</v>
      </c>
      <c r="Q221" s="13">
        <v>280</v>
      </c>
      <c r="R221" s="14">
        <f t="shared" si="121"/>
        <v>42280</v>
      </c>
      <c r="S221" s="5">
        <f>ROUND(R221/产出与消耗!T57,4)</f>
        <v>1.6199999999999999E-2</v>
      </c>
      <c r="T221" s="9">
        <f t="shared" si="123"/>
        <v>4.5699999999999998E-2</v>
      </c>
      <c r="U221"/>
      <c r="V221"/>
      <c r="W221"/>
    </row>
    <row r="222" spans="1:23">
      <c r="B222">
        <v>11</v>
      </c>
      <c r="C222">
        <f>MAX(ROUND(C223-(C224-C223)/(产出与消耗!$K$16-产出与消耗!$K$15)*(产出与消耗!$K$15-产出与消耗!$K$14)*1.048,0),0)</f>
        <v>2381</v>
      </c>
      <c r="D222" s="13">
        <v>5</v>
      </c>
      <c r="E222">
        <f>ROUND(D222*C222/3600/(建筑!G96*基本公式!$B$153),2)</f>
        <v>0.83</v>
      </c>
      <c r="F222" s="13">
        <v>25</v>
      </c>
      <c r="G222" s="14">
        <f t="shared" si="118"/>
        <v>59525</v>
      </c>
      <c r="K222" s="13">
        <v>570</v>
      </c>
      <c r="L222" s="14">
        <f t="shared" si="119"/>
        <v>1357170</v>
      </c>
      <c r="M222" s="5">
        <f>ROUND(L222/产出与消耗!T14,4)</f>
        <v>0.17100000000000001</v>
      </c>
      <c r="N222" s="13">
        <v>190</v>
      </c>
      <c r="O222" s="14">
        <f t="shared" si="120"/>
        <v>452390</v>
      </c>
      <c r="P222" s="5">
        <f>ROUND(O222/产出与消耗!T36,4)</f>
        <v>5.7000000000000002E-2</v>
      </c>
      <c r="Q222" s="13">
        <v>280</v>
      </c>
      <c r="R222" s="14">
        <f t="shared" si="121"/>
        <v>666680</v>
      </c>
      <c r="S222" s="5">
        <f>ROUND(R222/产出与消耗!T58,4)</f>
        <v>0.126</v>
      </c>
      <c r="T222" s="9">
        <f t="shared" si="123"/>
        <v>0.35399999999999998</v>
      </c>
      <c r="U222"/>
      <c r="V222"/>
      <c r="W222"/>
    </row>
    <row r="223" spans="1:23">
      <c r="B223">
        <v>12</v>
      </c>
      <c r="C223">
        <f>MAX(ROUND(C224-(C225-C224)/(产出与消耗!$K$17-产出与消耗!$K$16)*(产出与消耗!$K$16-产出与消耗!$K$15)*1.048,0),0)</f>
        <v>7947</v>
      </c>
      <c r="D223" s="13">
        <v>5</v>
      </c>
      <c r="E223">
        <f>ROUND(D223*C223/3600/(建筑!G97*基本公式!$B$153),2)</f>
        <v>1.84</v>
      </c>
      <c r="F223" s="13">
        <v>25</v>
      </c>
      <c r="G223" s="14">
        <f t="shared" si="118"/>
        <v>198675</v>
      </c>
      <c r="K223" s="13">
        <v>570</v>
      </c>
      <c r="L223" s="14">
        <f t="shared" si="119"/>
        <v>4529790</v>
      </c>
      <c r="M223" s="5">
        <f>ROUND(L223/产出与消耗!T15,4)</f>
        <v>0.25580000000000003</v>
      </c>
      <c r="N223" s="13">
        <v>190</v>
      </c>
      <c r="O223" s="14">
        <f t="shared" si="120"/>
        <v>1509930</v>
      </c>
      <c r="P223" s="5">
        <f>ROUND(O223/产出与消耗!T37,4)</f>
        <v>8.5300000000000001E-2</v>
      </c>
      <c r="Q223" s="13">
        <v>280</v>
      </c>
      <c r="R223" s="14">
        <f t="shared" si="121"/>
        <v>2225160</v>
      </c>
      <c r="S223" s="5">
        <f>ROUND(R223/产出与消耗!T59,4)</f>
        <v>0.1885</v>
      </c>
      <c r="T223" s="9">
        <f t="shared" si="123"/>
        <v>0.52959999999999996</v>
      </c>
      <c r="U223"/>
      <c r="V223"/>
      <c r="W223"/>
    </row>
    <row r="224" spans="1:23">
      <c r="A224" s="16"/>
      <c r="B224">
        <v>13</v>
      </c>
      <c r="C224">
        <f>MAX(ROUND(C225-(C226-C225)/(产出与消耗!$K$18-产出与消耗!$K$17)*(产出与消耗!$K$17-产出与消耗!$K$16)*1.048,0),0)</f>
        <v>12477</v>
      </c>
      <c r="D224" s="13">
        <v>5</v>
      </c>
      <c r="E224">
        <f>ROUND(D224*C224/3600/(建筑!G98*基本公式!$B$153),2)</f>
        <v>2.89</v>
      </c>
      <c r="F224" s="13">
        <v>25</v>
      </c>
      <c r="G224" s="14">
        <f t="shared" si="118"/>
        <v>311925</v>
      </c>
      <c r="K224" s="13">
        <v>570</v>
      </c>
      <c r="L224" s="14">
        <f t="shared" si="119"/>
        <v>7111890</v>
      </c>
      <c r="M224" s="5">
        <f>ROUND(L224/产出与消耗!T16,4)</f>
        <v>0.20710000000000001</v>
      </c>
      <c r="N224" s="13">
        <v>190</v>
      </c>
      <c r="O224" s="14">
        <f t="shared" si="120"/>
        <v>2370630</v>
      </c>
      <c r="P224" s="5">
        <f>ROUND(O224/产出与消耗!T38,4)</f>
        <v>6.9000000000000006E-2</v>
      </c>
      <c r="Q224" s="13">
        <v>280</v>
      </c>
      <c r="R224" s="14">
        <f t="shared" si="121"/>
        <v>3493560</v>
      </c>
      <c r="S224" s="5">
        <f>ROUND(R224/产出与消耗!T60,4)</f>
        <v>0.15260000000000001</v>
      </c>
      <c r="T224" s="9">
        <f t="shared" si="123"/>
        <v>0.42870000000000003</v>
      </c>
      <c r="U224"/>
      <c r="V224"/>
      <c r="W224"/>
    </row>
    <row r="225" spans="1:23">
      <c r="A225" s="21" t="s">
        <v>210</v>
      </c>
      <c r="B225">
        <v>14</v>
      </c>
      <c r="C225">
        <f>MAX(ROUND(C226-(C227-C226)/(产出与消耗!$K$19-产出与消耗!$K$18)*(产出与消耗!$K$18-产出与消耗!$K$17)*1.048,0),0)</f>
        <v>16352</v>
      </c>
      <c r="D225" s="13">
        <v>5</v>
      </c>
      <c r="E225">
        <f>ROUND(D225*C225/3600/(建筑!G99*基本公式!$B$153),2)</f>
        <v>3.79</v>
      </c>
      <c r="F225" s="13">
        <v>25</v>
      </c>
      <c r="G225" s="14">
        <f t="shared" si="118"/>
        <v>408800</v>
      </c>
      <c r="K225" s="13">
        <v>570</v>
      </c>
      <c r="L225" s="14">
        <f t="shared" si="119"/>
        <v>9320640</v>
      </c>
      <c r="M225" s="5">
        <f>ROUND(L225/产出与消耗!T17,4)</f>
        <v>0.15740000000000001</v>
      </c>
      <c r="N225" s="13">
        <v>190</v>
      </c>
      <c r="O225" s="14">
        <f t="shared" si="120"/>
        <v>3106880</v>
      </c>
      <c r="P225" s="5">
        <f>ROUND(O225/产出与消耗!T39,4)</f>
        <v>5.2499999999999998E-2</v>
      </c>
      <c r="Q225" s="13">
        <v>280</v>
      </c>
      <c r="R225" s="14">
        <f t="shared" si="121"/>
        <v>4578560</v>
      </c>
      <c r="S225" s="5">
        <f>ROUND(R225/产出与消耗!T61,4)</f>
        <v>0.11600000000000001</v>
      </c>
      <c r="T225" s="9">
        <f t="shared" si="123"/>
        <v>0.32590000000000002</v>
      </c>
      <c r="U225"/>
      <c r="V225"/>
      <c r="W225"/>
    </row>
    <row r="226" spans="1:23">
      <c r="B226">
        <v>15</v>
      </c>
      <c r="C226">
        <f>MAX(ROUND(C227-(C228-C227)/(产出与消耗!$K$20-产出与消耗!$K$19)*(产出与消耗!$K$19-产出与消耗!$K$18)*1.048,0),0)</f>
        <v>20618</v>
      </c>
      <c r="D226" s="13">
        <v>5</v>
      </c>
      <c r="E226">
        <f>ROUND(D226*C226/3600/(建筑!G100*基本公式!$B$153),2)</f>
        <v>4.7699999999999996</v>
      </c>
      <c r="F226" s="13">
        <v>25</v>
      </c>
      <c r="G226" s="14">
        <f t="shared" si="118"/>
        <v>515450</v>
      </c>
      <c r="K226" s="13">
        <v>570</v>
      </c>
      <c r="L226" s="14">
        <f t="shared" si="119"/>
        <v>11752260</v>
      </c>
      <c r="M226" s="5">
        <f>ROUND(L226/产出与消耗!T18,4)</f>
        <v>0.12089999999999999</v>
      </c>
      <c r="N226" s="13">
        <v>190</v>
      </c>
      <c r="O226" s="14">
        <f t="shared" si="120"/>
        <v>3917420</v>
      </c>
      <c r="P226" s="5">
        <f>ROUND(O226/产出与消耗!T40,4)</f>
        <v>4.0300000000000002E-2</v>
      </c>
      <c r="Q226" s="13">
        <v>280</v>
      </c>
      <c r="R226" s="14">
        <f t="shared" si="121"/>
        <v>5773040</v>
      </c>
      <c r="S226" s="5">
        <f>ROUND(R226/产出与消耗!T62,4)</f>
        <v>8.9099999999999999E-2</v>
      </c>
      <c r="T226" s="9">
        <f t="shared" si="123"/>
        <v>0.25030000000000002</v>
      </c>
      <c r="U226"/>
      <c r="V226"/>
      <c r="W226"/>
    </row>
    <row r="227" spans="1:23">
      <c r="B227">
        <v>16</v>
      </c>
      <c r="C227">
        <f>MAX(ROUND(C228-(C229-C228)/(产出与消耗!$K$21-产出与消耗!$K$20)*(产出与消耗!$K$20-产出与消耗!$K$19)*1.048,0),0)</f>
        <v>24689</v>
      </c>
      <c r="D227" s="13">
        <v>5</v>
      </c>
      <c r="E227">
        <f>ROUND(D227*C227/3600/(建筑!G101*基本公式!$B$153),2)</f>
        <v>4.29</v>
      </c>
      <c r="F227" s="13">
        <v>25</v>
      </c>
      <c r="G227" s="14">
        <f t="shared" si="118"/>
        <v>617225</v>
      </c>
      <c r="K227" s="13">
        <v>570</v>
      </c>
      <c r="L227" s="14">
        <f t="shared" si="119"/>
        <v>14072730</v>
      </c>
      <c r="M227" s="5">
        <f>ROUND(L227/产出与消耗!T19,4)</f>
        <v>9.3600000000000003E-2</v>
      </c>
      <c r="N227" s="13">
        <v>190</v>
      </c>
      <c r="O227" s="14">
        <f t="shared" si="120"/>
        <v>4690910</v>
      </c>
      <c r="P227" s="5">
        <f>ROUND(O227/产出与消耗!T41,4)</f>
        <v>3.1199999999999999E-2</v>
      </c>
      <c r="Q227" s="13">
        <v>280</v>
      </c>
      <c r="R227" s="14">
        <f t="shared" si="121"/>
        <v>6912920</v>
      </c>
      <c r="S227" s="5">
        <f>ROUND(R227/产出与消耗!T63,4)</f>
        <v>6.9000000000000006E-2</v>
      </c>
      <c r="T227" s="9">
        <f t="shared" si="123"/>
        <v>0.1938</v>
      </c>
      <c r="U227"/>
      <c r="V227"/>
      <c r="W227"/>
    </row>
    <row r="228" spans="1:23">
      <c r="B228">
        <v>17</v>
      </c>
      <c r="C228">
        <f>MAX(ROUND(C229-(C230-C229)/(产出与消耗!$K$22-产出与消耗!$K$21)*(产出与消耗!$K$21-产出与消耗!$K$20)*1.048,0),0)</f>
        <v>28962</v>
      </c>
      <c r="D228" s="13">
        <v>5</v>
      </c>
      <c r="E228">
        <f>ROUND(D228*C228/3600/(建筑!G102*基本公式!$B$153),2)</f>
        <v>5.03</v>
      </c>
      <c r="F228" s="13">
        <v>25</v>
      </c>
      <c r="G228" s="14">
        <f t="shared" si="118"/>
        <v>724050</v>
      </c>
      <c r="K228" s="13">
        <v>570</v>
      </c>
      <c r="L228" s="14">
        <f t="shared" si="119"/>
        <v>16508340</v>
      </c>
      <c r="M228" s="5">
        <f>ROUND(L228/产出与消耗!T20,4)</f>
        <v>7.3499999999999996E-2</v>
      </c>
      <c r="N228" s="13">
        <v>190</v>
      </c>
      <c r="O228" s="14">
        <f t="shared" si="120"/>
        <v>5502780</v>
      </c>
      <c r="P228" s="5">
        <f>ROUND(O228/产出与消耗!T42,4)</f>
        <v>2.4500000000000001E-2</v>
      </c>
      <c r="Q228" s="13">
        <v>280</v>
      </c>
      <c r="R228" s="14">
        <f t="shared" si="121"/>
        <v>8109360</v>
      </c>
      <c r="S228" s="5">
        <f>ROUND(R228/产出与消耗!T64,4)</f>
        <v>5.4199999999999998E-2</v>
      </c>
      <c r="T228" s="9">
        <f t="shared" si="123"/>
        <v>0.1522</v>
      </c>
      <c r="U228"/>
      <c r="V228"/>
      <c r="W228"/>
    </row>
    <row r="229" spans="1:23">
      <c r="B229">
        <v>18</v>
      </c>
      <c r="C229">
        <f>MAX(ROUND(C230-(C231-C230)/(产出与消耗!$K$23-产出与消耗!$K$22)*(产出与消耗!$K$22-产出与消耗!$K$21)*1.048,0),0)</f>
        <v>33534</v>
      </c>
      <c r="D229" s="13">
        <v>5</v>
      </c>
      <c r="E229">
        <f>ROUND(D229*C229/3600/(建筑!G103*基本公式!$B$153),2)</f>
        <v>5.82</v>
      </c>
      <c r="F229" s="13">
        <v>25</v>
      </c>
      <c r="G229" s="14">
        <f t="shared" si="118"/>
        <v>838350</v>
      </c>
      <c r="K229" s="13">
        <v>570</v>
      </c>
      <c r="L229" s="14">
        <f t="shared" si="119"/>
        <v>19114380</v>
      </c>
      <c r="M229" s="5">
        <f>ROUND(L229/产出与消耗!T21,4)</f>
        <v>5.8500000000000003E-2</v>
      </c>
      <c r="N229" s="13">
        <v>190</v>
      </c>
      <c r="O229" s="14">
        <f t="shared" si="120"/>
        <v>6371460</v>
      </c>
      <c r="P229" s="5">
        <f>ROUND(O229/产出与消耗!T43,4)</f>
        <v>1.95E-2</v>
      </c>
      <c r="Q229" s="13">
        <v>280</v>
      </c>
      <c r="R229" s="14">
        <f t="shared" si="121"/>
        <v>9389520</v>
      </c>
      <c r="S229" s="5">
        <f>ROUND(R229/产出与消耗!T65,4)</f>
        <v>4.3099999999999999E-2</v>
      </c>
      <c r="T229" s="9">
        <f t="shared" si="123"/>
        <v>0.1211</v>
      </c>
      <c r="U229"/>
      <c r="V229"/>
      <c r="W229"/>
    </row>
    <row r="230" spans="1:23">
      <c r="A230" s="22" t="s">
        <v>211</v>
      </c>
      <c r="B230">
        <v>19</v>
      </c>
      <c r="C230">
        <f>ROUND(产出与消耗!$K$22*C231/产出与消耗!$K$23,0)</f>
        <v>38250</v>
      </c>
      <c r="D230" s="13">
        <v>5</v>
      </c>
      <c r="E230">
        <f>ROUND(D230*C230/3600/(建筑!G104*基本公式!$B$153),2)</f>
        <v>6.64</v>
      </c>
      <c r="F230" s="13">
        <v>25</v>
      </c>
      <c r="G230" s="14">
        <f t="shared" si="118"/>
        <v>956250</v>
      </c>
      <c r="K230" s="13">
        <v>570</v>
      </c>
      <c r="L230" s="14">
        <f t="shared" si="119"/>
        <v>21802500</v>
      </c>
      <c r="M230" s="5">
        <f>ROUND(L230/产出与消耗!T22,4)</f>
        <v>4.7100000000000003E-2</v>
      </c>
      <c r="N230" s="13">
        <v>190</v>
      </c>
      <c r="O230" s="14">
        <f t="shared" si="120"/>
        <v>7267500</v>
      </c>
      <c r="P230" s="5">
        <f>ROUND(O230/产出与消耗!T44,4)</f>
        <v>1.5699999999999999E-2</v>
      </c>
      <c r="Q230" s="13">
        <v>280</v>
      </c>
      <c r="R230" s="14">
        <f t="shared" si="121"/>
        <v>10710000</v>
      </c>
      <c r="S230" s="5">
        <f>ROUND(R230/产出与消耗!T66,4)</f>
        <v>3.4700000000000002E-2</v>
      </c>
      <c r="T230" s="9">
        <f t="shared" si="123"/>
        <v>9.7500000000000003E-2</v>
      </c>
      <c r="U230"/>
      <c r="V230"/>
      <c r="W230"/>
    </row>
    <row r="231" spans="1:23">
      <c r="B231">
        <v>20</v>
      </c>
      <c r="C231">
        <v>45000</v>
      </c>
      <c r="D231" s="13">
        <v>5</v>
      </c>
      <c r="E231">
        <f>ROUND(D231*C231/3600/(建筑!G105*基本公式!$B$153),2)</f>
        <v>6.25</v>
      </c>
      <c r="F231" s="13">
        <v>25</v>
      </c>
      <c r="G231" s="14">
        <f t="shared" si="118"/>
        <v>1125000</v>
      </c>
      <c r="K231" s="13">
        <v>570</v>
      </c>
      <c r="L231" s="14">
        <f t="shared" si="119"/>
        <v>25650000</v>
      </c>
      <c r="M231" s="5">
        <f>ROUND(L231/产出与消耗!T23,4)</f>
        <v>3.8399999999999997E-2</v>
      </c>
      <c r="N231" s="13">
        <v>190</v>
      </c>
      <c r="O231" s="14">
        <f t="shared" si="120"/>
        <v>8550000</v>
      </c>
      <c r="P231" s="5">
        <f>ROUND(O231/产出与消耗!T45,4)</f>
        <v>1.2800000000000001E-2</v>
      </c>
      <c r="Q231" s="13">
        <v>280</v>
      </c>
      <c r="R231" s="14">
        <f t="shared" si="121"/>
        <v>12600000</v>
      </c>
      <c r="S231" s="5">
        <f>ROUND(R231/产出与消耗!T67,4)</f>
        <v>2.8299999999999999E-2</v>
      </c>
      <c r="T231" s="9">
        <f t="shared" si="123"/>
        <v>7.9500000000000001E-2</v>
      </c>
      <c r="U231"/>
      <c r="V231"/>
      <c r="W231"/>
    </row>
    <row r="232" spans="1:23">
      <c r="K232"/>
      <c r="M232"/>
      <c r="N232"/>
      <c r="P232"/>
      <c r="Q232"/>
      <c r="S232"/>
      <c r="T232"/>
      <c r="U232"/>
      <c r="V232"/>
      <c r="W232"/>
    </row>
    <row r="233" spans="1:23">
      <c r="A233" t="s">
        <v>184</v>
      </c>
      <c r="B233">
        <v>1</v>
      </c>
      <c r="C233">
        <f>MAX(ROUND(C234-(C235-C234)/(产出与消耗!$K$6-产出与消耗!$K$5)*(产出与消耗!$K$5-产出与消耗!$K$4)*1.048,0),0)</f>
        <v>0</v>
      </c>
      <c r="D233" s="13">
        <v>12</v>
      </c>
      <c r="E233">
        <f>ROUND(D233*C233/3600/建筑!I128,2)</f>
        <v>0</v>
      </c>
      <c r="F233" s="13">
        <v>13</v>
      </c>
      <c r="G233" s="14">
        <f t="shared" ref="G233" si="124">F233*C233</f>
        <v>0</v>
      </c>
      <c r="K233" s="13">
        <v>470</v>
      </c>
      <c r="L233" s="14">
        <f t="shared" ref="L233" si="125">ROUND(K233*C233,0)</f>
        <v>0</v>
      </c>
      <c r="M233" s="5">
        <f>ROUND(L233/产出与消耗!T4,4)</f>
        <v>0</v>
      </c>
      <c r="N233" s="13">
        <v>475</v>
      </c>
      <c r="O233" s="14">
        <f t="shared" ref="O233" si="126">ROUND(N233*C233,0)</f>
        <v>0</v>
      </c>
      <c r="P233" s="5">
        <f>ROUND(O233/产出与消耗!T26,4)</f>
        <v>0</v>
      </c>
      <c r="Q233" s="13">
        <v>160</v>
      </c>
      <c r="R233" s="14">
        <f t="shared" ref="R233" si="127">ROUND(Q233*C233,0)</f>
        <v>0</v>
      </c>
      <c r="S233" s="5">
        <f>ROUND(R233/产出与消耗!T48,4)</f>
        <v>0</v>
      </c>
      <c r="T233" s="9">
        <f>M233+P233+S233</f>
        <v>0</v>
      </c>
      <c r="U233"/>
      <c r="V233"/>
      <c r="W233"/>
    </row>
    <row r="234" spans="1:23">
      <c r="B234">
        <v>2</v>
      </c>
      <c r="C234">
        <f>MAX(ROUND(C235-(C236-C235)/(产出与消耗!$K$7-产出与消耗!$K$6)*(产出与消耗!$K$6-产出与消耗!$K$5)*1.048,0),0)</f>
        <v>0</v>
      </c>
      <c r="D234" s="13">
        <v>12</v>
      </c>
      <c r="E234">
        <f>ROUND(D234*C234/3600/建筑!I129,2)</f>
        <v>0</v>
      </c>
      <c r="F234" s="13">
        <v>13</v>
      </c>
      <c r="G234" s="14">
        <f t="shared" ref="G234:G252" si="128">F234*C234</f>
        <v>0</v>
      </c>
      <c r="K234" s="13">
        <v>470</v>
      </c>
      <c r="L234" s="14">
        <f t="shared" ref="L234:L252" si="129">ROUND(K234*C234,0)</f>
        <v>0</v>
      </c>
      <c r="M234" s="5">
        <f>ROUND(L234/产出与消耗!T5,4)</f>
        <v>0</v>
      </c>
      <c r="N234" s="13">
        <v>475</v>
      </c>
      <c r="O234" s="14">
        <f t="shared" ref="O234:O252" si="130">ROUND(N234*C234,0)</f>
        <v>0</v>
      </c>
      <c r="P234" s="5">
        <f>ROUND(O234/产出与消耗!T27,4)</f>
        <v>0</v>
      </c>
      <c r="Q234" s="13">
        <v>160</v>
      </c>
      <c r="R234" s="14">
        <f t="shared" ref="R234:R252" si="131">ROUND(Q234*C234,0)</f>
        <v>0</v>
      </c>
      <c r="S234" s="5">
        <f>ROUND(R234/产出与消耗!T49,4)</f>
        <v>0</v>
      </c>
      <c r="T234" s="9">
        <f t="shared" ref="T234" si="132">M234+P234+S234</f>
        <v>0</v>
      </c>
    </row>
    <row r="235" spans="1:23">
      <c r="B235">
        <v>3</v>
      </c>
      <c r="C235">
        <f>MAX(ROUND(C236-(C237-C236)/(产出与消耗!$K$8-产出与消耗!$K$7)*(产出与消耗!$K$7-产出与消耗!$K$6)*1.048,0),0)</f>
        <v>0</v>
      </c>
      <c r="D235" s="13">
        <v>12</v>
      </c>
      <c r="E235">
        <f>ROUND(D235*C235/3600/建筑!I130,2)</f>
        <v>0</v>
      </c>
      <c r="F235" s="13">
        <v>13</v>
      </c>
      <c r="G235" s="14">
        <f t="shared" si="128"/>
        <v>0</v>
      </c>
      <c r="K235" s="13">
        <v>470</v>
      </c>
      <c r="L235" s="14">
        <f t="shared" si="129"/>
        <v>0</v>
      </c>
      <c r="M235" s="5">
        <f>ROUND(L235/产出与消耗!T6,4)</f>
        <v>0</v>
      </c>
      <c r="N235" s="13">
        <v>475</v>
      </c>
      <c r="O235" s="14">
        <f t="shared" si="130"/>
        <v>0</v>
      </c>
      <c r="P235" s="5">
        <f>ROUND(O235/产出与消耗!T28,4)</f>
        <v>0</v>
      </c>
      <c r="Q235" s="13">
        <v>160</v>
      </c>
      <c r="R235" s="14">
        <f t="shared" si="131"/>
        <v>0</v>
      </c>
      <c r="S235" s="5">
        <f>ROUND(R235/产出与消耗!T50,4)</f>
        <v>0</v>
      </c>
      <c r="T235" s="9">
        <f t="shared" ref="T235:T252" si="133">M235+P235+S235</f>
        <v>0</v>
      </c>
    </row>
    <row r="236" spans="1:23">
      <c r="B236">
        <v>4</v>
      </c>
      <c r="C236">
        <f>MAX(ROUND(C237-(C238-C237)/(产出与消耗!$K$9-产出与消耗!$K$8)*(产出与消耗!$K$8-产出与消耗!$K$7)*1.048,0),0)</f>
        <v>0</v>
      </c>
      <c r="D236" s="13">
        <v>12</v>
      </c>
      <c r="E236">
        <f>ROUND(D236*C236/3600/建筑!I131,2)</f>
        <v>0</v>
      </c>
      <c r="F236" s="13">
        <v>13</v>
      </c>
      <c r="G236" s="14">
        <f t="shared" si="128"/>
        <v>0</v>
      </c>
      <c r="K236" s="13">
        <v>470</v>
      </c>
      <c r="L236" s="14">
        <f t="shared" si="129"/>
        <v>0</v>
      </c>
      <c r="M236" s="5">
        <f>ROUND(L236/产出与消耗!T7,4)</f>
        <v>0</v>
      </c>
      <c r="N236" s="13">
        <v>475</v>
      </c>
      <c r="O236" s="14">
        <f t="shared" si="130"/>
        <v>0</v>
      </c>
      <c r="P236" s="5">
        <f>ROUND(O236/产出与消耗!T29,4)</f>
        <v>0</v>
      </c>
      <c r="Q236" s="13">
        <v>160</v>
      </c>
      <c r="R236" s="14">
        <f t="shared" si="131"/>
        <v>0</v>
      </c>
      <c r="S236" s="5">
        <f>ROUND(R236/产出与消耗!T51,4)</f>
        <v>0</v>
      </c>
      <c r="T236" s="9">
        <f t="shared" si="133"/>
        <v>0</v>
      </c>
    </row>
    <row r="237" spans="1:23">
      <c r="B237">
        <v>5</v>
      </c>
      <c r="C237">
        <f>MAX(ROUND(C238-(C239-C238)/(产出与消耗!$K$10-产出与消耗!$K$9)*(产出与消耗!$K$9-产出与消耗!$K$8)*1.048,0),0)</f>
        <v>0</v>
      </c>
      <c r="D237" s="13">
        <v>12</v>
      </c>
      <c r="E237">
        <f>ROUND(D237*C237/3600/建筑!I132,2)</f>
        <v>0</v>
      </c>
      <c r="F237" s="13">
        <v>13</v>
      </c>
      <c r="G237" s="14">
        <f t="shared" si="128"/>
        <v>0</v>
      </c>
      <c r="K237" s="13">
        <v>470</v>
      </c>
      <c r="L237" s="14">
        <f t="shared" si="129"/>
        <v>0</v>
      </c>
      <c r="M237" s="5">
        <f>ROUND(L237/产出与消耗!T8,4)</f>
        <v>0</v>
      </c>
      <c r="N237" s="13">
        <v>475</v>
      </c>
      <c r="O237" s="14">
        <f t="shared" si="130"/>
        <v>0</v>
      </c>
      <c r="P237" s="5">
        <f>ROUND(O237/产出与消耗!T30,4)</f>
        <v>0</v>
      </c>
      <c r="Q237" s="13">
        <v>160</v>
      </c>
      <c r="R237" s="14">
        <f t="shared" si="131"/>
        <v>0</v>
      </c>
      <c r="S237" s="5">
        <f>ROUND(R237/产出与消耗!T52,4)</f>
        <v>0</v>
      </c>
      <c r="T237" s="9">
        <f t="shared" si="133"/>
        <v>0</v>
      </c>
    </row>
    <row r="238" spans="1:23">
      <c r="B238">
        <v>6</v>
      </c>
      <c r="C238">
        <f>MAX(ROUND(C239-(C240-C239)/(产出与消耗!$K$11-产出与消耗!$K$10)*(产出与消耗!$K$10-产出与消耗!$K$9)*1.048,0),0)</f>
        <v>0</v>
      </c>
      <c r="D238" s="13">
        <v>12</v>
      </c>
      <c r="E238">
        <f>ROUND(D238*C238/3600/建筑!I133,2)</f>
        <v>0</v>
      </c>
      <c r="F238" s="13">
        <v>13</v>
      </c>
      <c r="G238" s="14">
        <f t="shared" si="128"/>
        <v>0</v>
      </c>
      <c r="K238" s="13">
        <v>470</v>
      </c>
      <c r="L238" s="14">
        <f t="shared" si="129"/>
        <v>0</v>
      </c>
      <c r="M238" s="5">
        <f>ROUND(L238/产出与消耗!T9,4)</f>
        <v>0</v>
      </c>
      <c r="N238" s="13">
        <v>475</v>
      </c>
      <c r="O238" s="14">
        <f t="shared" si="130"/>
        <v>0</v>
      </c>
      <c r="P238" s="5">
        <f>ROUND(O238/产出与消耗!T31,4)</f>
        <v>0</v>
      </c>
      <c r="Q238" s="13">
        <v>160</v>
      </c>
      <c r="R238" s="14">
        <f t="shared" si="131"/>
        <v>0</v>
      </c>
      <c r="S238" s="5">
        <f>ROUND(R238/产出与消耗!T53,4)</f>
        <v>0</v>
      </c>
      <c r="T238" s="9">
        <f t="shared" si="133"/>
        <v>0</v>
      </c>
    </row>
    <row r="239" spans="1:23">
      <c r="B239">
        <v>7</v>
      </c>
      <c r="C239">
        <f>MAX(ROUND(C240-(C241-C240)/(产出与消耗!$K$12-产出与消耗!$K$11)*(产出与消耗!$K$11-产出与消耗!$K$10)*1.048,0),0)</f>
        <v>0</v>
      </c>
      <c r="D239" s="13">
        <v>12</v>
      </c>
      <c r="E239">
        <f>ROUND(D239*C239/3600/建筑!I134,2)</f>
        <v>0</v>
      </c>
      <c r="F239" s="13">
        <v>13</v>
      </c>
      <c r="G239" s="14">
        <f t="shared" si="128"/>
        <v>0</v>
      </c>
      <c r="K239" s="13">
        <v>470</v>
      </c>
      <c r="L239" s="14">
        <f t="shared" si="129"/>
        <v>0</v>
      </c>
      <c r="M239" s="5">
        <f>ROUND(L239/产出与消耗!T10,4)</f>
        <v>0</v>
      </c>
      <c r="N239" s="13">
        <v>475</v>
      </c>
      <c r="O239" s="14">
        <f t="shared" si="130"/>
        <v>0</v>
      </c>
      <c r="P239" s="5">
        <f>ROUND(O239/产出与消耗!T32,4)</f>
        <v>0</v>
      </c>
      <c r="Q239" s="13">
        <v>160</v>
      </c>
      <c r="R239" s="14">
        <f t="shared" si="131"/>
        <v>0</v>
      </c>
      <c r="S239" s="5">
        <f>ROUND(R239/产出与消耗!T54,4)</f>
        <v>0</v>
      </c>
      <c r="T239" s="9">
        <f t="shared" si="133"/>
        <v>0</v>
      </c>
    </row>
    <row r="240" spans="1:23">
      <c r="A240" s="16"/>
      <c r="B240">
        <v>8</v>
      </c>
      <c r="C240">
        <f>MAX(ROUND(C241-(C242-C241)/(产出与消耗!$K$13-产出与消耗!$K$12)*(产出与消耗!$K$12-产出与消耗!$K$11)*1.048,0),0)</f>
        <v>0</v>
      </c>
      <c r="D240" s="13">
        <v>12</v>
      </c>
      <c r="E240">
        <f>ROUND(D240*C240/3600/建筑!I135,2)</f>
        <v>0</v>
      </c>
      <c r="F240" s="13">
        <v>13</v>
      </c>
      <c r="G240" s="14">
        <f t="shared" si="128"/>
        <v>0</v>
      </c>
      <c r="K240" s="13">
        <v>470</v>
      </c>
      <c r="L240" s="14">
        <f t="shared" si="129"/>
        <v>0</v>
      </c>
      <c r="M240" s="5">
        <f>ROUND(L240/产出与消耗!T11,4)</f>
        <v>0</v>
      </c>
      <c r="N240" s="13">
        <v>475</v>
      </c>
      <c r="O240" s="14">
        <f t="shared" si="130"/>
        <v>0</v>
      </c>
      <c r="P240" s="5">
        <f>ROUND(O240/产出与消耗!T33,4)</f>
        <v>0</v>
      </c>
      <c r="Q240" s="13">
        <v>160</v>
      </c>
      <c r="R240" s="14">
        <f t="shared" si="131"/>
        <v>0</v>
      </c>
      <c r="S240" s="5">
        <f>ROUND(R240/产出与消耗!T55,4)</f>
        <v>0</v>
      </c>
      <c r="T240" s="9">
        <f t="shared" si="133"/>
        <v>0</v>
      </c>
    </row>
    <row r="241" spans="1:20">
      <c r="B241">
        <v>9</v>
      </c>
      <c r="C241">
        <f>MAX(ROUND(C242-(C243-C242)/(产出与消耗!$K$14-产出与消耗!$K$13)*(产出与消耗!$K$13-产出与消耗!$K$12)*1.048,0),0)</f>
        <v>0</v>
      </c>
      <c r="D241" s="13">
        <v>12</v>
      </c>
      <c r="E241">
        <f>ROUND(D241*C241/3600/建筑!I136,2)</f>
        <v>0</v>
      </c>
      <c r="F241" s="13">
        <v>13</v>
      </c>
      <c r="G241" s="14">
        <f t="shared" si="128"/>
        <v>0</v>
      </c>
      <c r="K241" s="13">
        <v>470</v>
      </c>
      <c r="L241" s="14">
        <f t="shared" si="129"/>
        <v>0</v>
      </c>
      <c r="M241" s="5">
        <f>ROUND(L241/产出与消耗!T12,4)</f>
        <v>0</v>
      </c>
      <c r="N241" s="13">
        <v>475</v>
      </c>
      <c r="O241" s="14">
        <f t="shared" si="130"/>
        <v>0</v>
      </c>
      <c r="P241" s="5">
        <f>ROUND(O241/产出与消耗!T34,4)</f>
        <v>0</v>
      </c>
      <c r="Q241" s="13">
        <v>160</v>
      </c>
      <c r="R241" s="14">
        <f t="shared" si="131"/>
        <v>0</v>
      </c>
      <c r="S241" s="5">
        <f>ROUND(R241/产出与消耗!T56,4)</f>
        <v>0</v>
      </c>
      <c r="T241" s="9">
        <f t="shared" si="133"/>
        <v>0</v>
      </c>
    </row>
    <row r="242" spans="1:20">
      <c r="A242" s="21" t="s">
        <v>209</v>
      </c>
      <c r="B242">
        <v>10</v>
      </c>
      <c r="C242">
        <f>MAX(ROUND(C243-(C244-C243)/(产出与消耗!$K$15-产出与消耗!$K$14)*(产出与消耗!$K$14-产出与消耗!$K$13)*1.048,0),0)</f>
        <v>151</v>
      </c>
      <c r="D242" s="13">
        <v>12</v>
      </c>
      <c r="E242">
        <f>ROUND(D242*C242/3600/建筑!I137,2)</f>
        <v>0.25</v>
      </c>
      <c r="F242" s="13">
        <v>13</v>
      </c>
      <c r="G242" s="14">
        <f t="shared" si="128"/>
        <v>1963</v>
      </c>
      <c r="K242" s="13">
        <v>470</v>
      </c>
      <c r="L242" s="14">
        <f t="shared" si="129"/>
        <v>70970</v>
      </c>
      <c r="M242" s="5">
        <f>ROUND(L242/产出与消耗!T13,4)</f>
        <v>1.8200000000000001E-2</v>
      </c>
      <c r="N242" s="13">
        <v>475</v>
      </c>
      <c r="O242" s="14">
        <f t="shared" si="130"/>
        <v>71725</v>
      </c>
      <c r="P242" s="5">
        <f>ROUND(O242/产出与消耗!T35,4)</f>
        <v>1.84E-2</v>
      </c>
      <c r="Q242" s="13">
        <v>160</v>
      </c>
      <c r="R242" s="14">
        <f t="shared" si="131"/>
        <v>24160</v>
      </c>
      <c r="S242" s="5">
        <f>ROUND(R242/产出与消耗!T57,4)</f>
        <v>9.2999999999999992E-3</v>
      </c>
      <c r="T242" s="9">
        <f t="shared" si="133"/>
        <v>4.5900000000000003E-2</v>
      </c>
    </row>
    <row r="243" spans="1:20">
      <c r="B243">
        <v>11</v>
      </c>
      <c r="C243">
        <f>MAX(ROUND(C244-(C245-C244)/(产出与消耗!$K$16-产出与消耗!$K$15)*(产出与消耗!$K$15-产出与消耗!$K$14)*1.048,0),0)</f>
        <v>2381</v>
      </c>
      <c r="D243" s="13">
        <v>12</v>
      </c>
      <c r="E243">
        <f>ROUND(D243*C243/3600/建筑!I138,2)</f>
        <v>3.97</v>
      </c>
      <c r="F243" s="13">
        <v>13</v>
      </c>
      <c r="G243" s="14">
        <f t="shared" si="128"/>
        <v>30953</v>
      </c>
      <c r="K243" s="13">
        <v>470</v>
      </c>
      <c r="L243" s="14">
        <f t="shared" si="129"/>
        <v>1119070</v>
      </c>
      <c r="M243" s="5">
        <f>ROUND(L243/产出与消耗!T14,4)</f>
        <v>0.14099999999999999</v>
      </c>
      <c r="N243" s="13">
        <v>475</v>
      </c>
      <c r="O243" s="14">
        <f t="shared" si="130"/>
        <v>1130975</v>
      </c>
      <c r="P243" s="5">
        <f>ROUND(O243/产出与消耗!T36,4)</f>
        <v>0.14249999999999999</v>
      </c>
      <c r="Q243" s="13">
        <v>160</v>
      </c>
      <c r="R243" s="14">
        <f t="shared" si="131"/>
        <v>380960</v>
      </c>
      <c r="S243" s="5">
        <f>ROUND(R243/产出与消耗!T58,4)</f>
        <v>7.1999999999999995E-2</v>
      </c>
      <c r="T243" s="9">
        <f t="shared" si="133"/>
        <v>0.35549999999999998</v>
      </c>
    </row>
    <row r="244" spans="1:20">
      <c r="B244">
        <v>12</v>
      </c>
      <c r="C244">
        <f>MAX(ROUND(C245-(C246-C245)/(产出与消耗!$K$17-产出与消耗!$K$16)*(产出与消耗!$K$16-产出与消耗!$K$15)*1.048,0),0)</f>
        <v>7947</v>
      </c>
      <c r="D244" s="13">
        <v>12</v>
      </c>
      <c r="E244">
        <f>ROUND(D244*C244/3600/建筑!I139,2)</f>
        <v>8.83</v>
      </c>
      <c r="F244" s="13">
        <v>13</v>
      </c>
      <c r="G244" s="14">
        <f t="shared" si="128"/>
        <v>103311</v>
      </c>
      <c r="K244" s="13">
        <v>470</v>
      </c>
      <c r="L244" s="14">
        <f t="shared" si="129"/>
        <v>3735090</v>
      </c>
      <c r="M244" s="5">
        <f>ROUND(L244/产出与消耗!T15,4)</f>
        <v>0.21099999999999999</v>
      </c>
      <c r="N244" s="13">
        <v>475</v>
      </c>
      <c r="O244" s="14">
        <f t="shared" si="130"/>
        <v>3774825</v>
      </c>
      <c r="P244" s="5">
        <f>ROUND(O244/产出与消耗!T37,4)</f>
        <v>0.2132</v>
      </c>
      <c r="Q244" s="13">
        <v>160</v>
      </c>
      <c r="R244" s="14">
        <f t="shared" si="131"/>
        <v>1271520</v>
      </c>
      <c r="S244" s="5">
        <f>ROUND(R244/产出与消耗!T59,4)</f>
        <v>0.1077</v>
      </c>
      <c r="T244" s="9">
        <f t="shared" si="133"/>
        <v>0.53190000000000004</v>
      </c>
    </row>
    <row r="245" spans="1:20">
      <c r="A245" s="16"/>
      <c r="B245">
        <v>13</v>
      </c>
      <c r="C245">
        <f>MAX(ROUND(C246-(C247-C246)/(产出与消耗!$K$18-产出与消耗!$K$17)*(产出与消耗!$K$17-产出与消耗!$K$16)*1.048,0),0)</f>
        <v>12477</v>
      </c>
      <c r="D245" s="13">
        <v>12</v>
      </c>
      <c r="E245">
        <f>ROUND(D245*C245/3600/建筑!I140,2)</f>
        <v>13.86</v>
      </c>
      <c r="F245" s="13">
        <v>13</v>
      </c>
      <c r="G245" s="14">
        <f t="shared" si="128"/>
        <v>162201</v>
      </c>
      <c r="K245" s="13">
        <v>470</v>
      </c>
      <c r="L245" s="14">
        <f t="shared" si="129"/>
        <v>5864190</v>
      </c>
      <c r="M245" s="5">
        <f>ROUND(L245/产出与消耗!T16,4)</f>
        <v>0.17080000000000001</v>
      </c>
      <c r="N245" s="13">
        <v>475</v>
      </c>
      <c r="O245" s="14">
        <f t="shared" si="130"/>
        <v>5926575</v>
      </c>
      <c r="P245" s="5">
        <f>ROUND(O245/产出与消耗!T38,4)</f>
        <v>0.1726</v>
      </c>
      <c r="Q245" s="13">
        <v>160</v>
      </c>
      <c r="R245" s="14">
        <f t="shared" si="131"/>
        <v>1996320</v>
      </c>
      <c r="S245" s="5">
        <f>ROUND(R245/产出与消耗!T60,4)</f>
        <v>8.72E-2</v>
      </c>
      <c r="T245" s="9">
        <f t="shared" si="133"/>
        <v>0.43059999999999998</v>
      </c>
    </row>
    <row r="246" spans="1:20">
      <c r="A246" s="21" t="s">
        <v>210</v>
      </c>
      <c r="B246">
        <v>14</v>
      </c>
      <c r="C246">
        <f>MAX(ROUND(C247-(C248-C247)/(产出与消耗!$K$19-产出与消耗!$K$18)*(产出与消耗!$K$18-产出与消耗!$K$17)*1.048,0),0)</f>
        <v>16352</v>
      </c>
      <c r="D246" s="13">
        <v>12</v>
      </c>
      <c r="E246">
        <f>ROUND(D246*C246/3600/建筑!I141,2)</f>
        <v>18.170000000000002</v>
      </c>
      <c r="F246" s="13">
        <v>13</v>
      </c>
      <c r="G246" s="14">
        <f t="shared" si="128"/>
        <v>212576</v>
      </c>
      <c r="K246" s="13">
        <v>470</v>
      </c>
      <c r="L246" s="14">
        <f t="shared" si="129"/>
        <v>7685440</v>
      </c>
      <c r="M246" s="5">
        <f>ROUND(L246/产出与消耗!T17,4)</f>
        <v>0.1298</v>
      </c>
      <c r="N246" s="13">
        <v>475</v>
      </c>
      <c r="O246" s="14">
        <f t="shared" si="130"/>
        <v>7767200</v>
      </c>
      <c r="P246" s="5">
        <f>ROUND(O246/产出与消耗!T39,4)</f>
        <v>0.13120000000000001</v>
      </c>
      <c r="Q246" s="13">
        <v>160</v>
      </c>
      <c r="R246" s="14">
        <f t="shared" si="131"/>
        <v>2616320</v>
      </c>
      <c r="S246" s="5">
        <f>ROUND(R246/产出与消耗!T61,4)</f>
        <v>6.6299999999999998E-2</v>
      </c>
      <c r="T246" s="9">
        <f t="shared" si="133"/>
        <v>0.32729999999999998</v>
      </c>
    </row>
    <row r="247" spans="1:20">
      <c r="B247">
        <v>15</v>
      </c>
      <c r="C247">
        <f>MAX(ROUND(C248-(C249-C248)/(产出与消耗!$K$20-产出与消耗!$K$19)*(产出与消耗!$K$19-产出与消耗!$K$18)*1.048,0),0)</f>
        <v>20618</v>
      </c>
      <c r="D247" s="13">
        <v>12</v>
      </c>
      <c r="E247">
        <f>ROUND(D247*C247/3600/建筑!I142,2)</f>
        <v>22.91</v>
      </c>
      <c r="F247" s="13">
        <v>13</v>
      </c>
      <c r="G247" s="14">
        <f t="shared" si="128"/>
        <v>268034</v>
      </c>
      <c r="K247" s="13">
        <v>470</v>
      </c>
      <c r="L247" s="14">
        <f t="shared" si="129"/>
        <v>9690460</v>
      </c>
      <c r="M247" s="5">
        <f>ROUND(L247/产出与消耗!T18,4)</f>
        <v>9.9699999999999997E-2</v>
      </c>
      <c r="N247" s="13">
        <v>475</v>
      </c>
      <c r="O247" s="14">
        <f t="shared" si="130"/>
        <v>9793550</v>
      </c>
      <c r="P247" s="5">
        <f>ROUND(O247/产出与消耗!T40,4)</f>
        <v>0.1008</v>
      </c>
      <c r="Q247" s="13">
        <v>160</v>
      </c>
      <c r="R247" s="14">
        <f t="shared" si="131"/>
        <v>3298880</v>
      </c>
      <c r="S247" s="5">
        <f>ROUND(R247/产出与消耗!T62,4)</f>
        <v>5.0900000000000001E-2</v>
      </c>
      <c r="T247" s="9">
        <f t="shared" si="133"/>
        <v>0.25140000000000001</v>
      </c>
    </row>
    <row r="248" spans="1:20">
      <c r="B248">
        <v>16</v>
      </c>
      <c r="C248">
        <f>MAX(ROUND(C249-(C250-C249)/(产出与消耗!$K$21-产出与消耗!$K$20)*(产出与消耗!$K$20-产出与消耗!$K$19)*1.048,0),0)</f>
        <v>24689</v>
      </c>
      <c r="D248" s="13">
        <v>12</v>
      </c>
      <c r="E248">
        <f>ROUND(D248*C248/3600/建筑!I143,2)</f>
        <v>20.57</v>
      </c>
      <c r="F248" s="13">
        <v>13</v>
      </c>
      <c r="G248" s="14">
        <f t="shared" si="128"/>
        <v>320957</v>
      </c>
      <c r="K248" s="13">
        <v>470</v>
      </c>
      <c r="L248" s="14">
        <f t="shared" si="129"/>
        <v>11603830</v>
      </c>
      <c r="M248" s="5">
        <f>ROUND(L248/产出与消耗!T19,4)</f>
        <v>7.7200000000000005E-2</v>
      </c>
      <c r="N248" s="13">
        <v>475</v>
      </c>
      <c r="O248" s="14">
        <f t="shared" si="130"/>
        <v>11727275</v>
      </c>
      <c r="P248" s="5">
        <f>ROUND(O248/产出与消耗!T41,4)</f>
        <v>7.8E-2</v>
      </c>
      <c r="Q248" s="13">
        <v>160</v>
      </c>
      <c r="R248" s="14">
        <f t="shared" si="131"/>
        <v>3950240</v>
      </c>
      <c r="S248" s="5">
        <f>ROUND(R248/产出与消耗!T63,4)</f>
        <v>3.9399999999999998E-2</v>
      </c>
      <c r="T248" s="9">
        <f t="shared" si="133"/>
        <v>0.1946</v>
      </c>
    </row>
    <row r="249" spans="1:20">
      <c r="B249">
        <v>17</v>
      </c>
      <c r="C249">
        <f>MAX(ROUND(C250-(C251-C250)/(产出与消耗!$K$22-产出与消耗!$K$21)*(产出与消耗!$K$21-产出与消耗!$K$20)*1.048,0),0)</f>
        <v>28962</v>
      </c>
      <c r="D249" s="13">
        <v>12</v>
      </c>
      <c r="E249">
        <f>ROUND(D249*C249/3600/建筑!I144,2)</f>
        <v>24.14</v>
      </c>
      <c r="F249" s="13">
        <v>13</v>
      </c>
      <c r="G249" s="14">
        <f t="shared" si="128"/>
        <v>376506</v>
      </c>
      <c r="K249" s="13">
        <v>470</v>
      </c>
      <c r="L249" s="14">
        <f t="shared" si="129"/>
        <v>13612140</v>
      </c>
      <c r="M249" s="5">
        <f>ROUND(L249/产出与消耗!T20,4)</f>
        <v>6.0600000000000001E-2</v>
      </c>
      <c r="N249" s="13">
        <v>475</v>
      </c>
      <c r="O249" s="14">
        <f t="shared" si="130"/>
        <v>13756950</v>
      </c>
      <c r="P249" s="5">
        <f>ROUND(O249/产出与消耗!T42,4)</f>
        <v>6.13E-2</v>
      </c>
      <c r="Q249" s="13">
        <v>160</v>
      </c>
      <c r="R249" s="14">
        <f t="shared" si="131"/>
        <v>4633920</v>
      </c>
      <c r="S249" s="5">
        <f>ROUND(R249/产出与消耗!T64,4)</f>
        <v>3.1E-2</v>
      </c>
      <c r="T249" s="9">
        <f t="shared" si="133"/>
        <v>0.15290000000000001</v>
      </c>
    </row>
    <row r="250" spans="1:20">
      <c r="B250">
        <v>18</v>
      </c>
      <c r="C250">
        <f>MAX(ROUND(C251-(C252-C251)/(产出与消耗!$K$23-产出与消耗!$K$22)*(产出与消耗!$K$22-产出与消耗!$K$21)*1.048,0),0)</f>
        <v>33534</v>
      </c>
      <c r="D250" s="13">
        <v>12</v>
      </c>
      <c r="E250">
        <f>ROUND(D250*C250/3600/建筑!I145,2)</f>
        <v>27.95</v>
      </c>
      <c r="F250" s="13">
        <v>13</v>
      </c>
      <c r="G250" s="14">
        <f t="shared" si="128"/>
        <v>435942</v>
      </c>
      <c r="K250" s="13">
        <v>470</v>
      </c>
      <c r="L250" s="14">
        <f t="shared" si="129"/>
        <v>15760980</v>
      </c>
      <c r="M250" s="5">
        <f>ROUND(L250/产出与消耗!T21,4)</f>
        <v>4.8300000000000003E-2</v>
      </c>
      <c r="N250" s="13">
        <v>475</v>
      </c>
      <c r="O250" s="14">
        <f t="shared" si="130"/>
        <v>15928650</v>
      </c>
      <c r="P250" s="5">
        <f>ROUND(O250/产出与消耗!T43,4)</f>
        <v>4.8800000000000003E-2</v>
      </c>
      <c r="Q250" s="13">
        <v>160</v>
      </c>
      <c r="R250" s="14">
        <f t="shared" si="131"/>
        <v>5365440</v>
      </c>
      <c r="S250" s="5">
        <f>ROUND(R250/产出与消耗!T65,4)</f>
        <v>2.46E-2</v>
      </c>
      <c r="T250" s="9">
        <f t="shared" si="133"/>
        <v>0.1217</v>
      </c>
    </row>
    <row r="251" spans="1:20">
      <c r="A251" s="22" t="s">
        <v>211</v>
      </c>
      <c r="B251">
        <v>19</v>
      </c>
      <c r="C251">
        <f>ROUND(产出与消耗!$K$22*C252/产出与消耗!$K$23,0)</f>
        <v>38250</v>
      </c>
      <c r="D251" s="13">
        <v>12</v>
      </c>
      <c r="E251">
        <f>ROUND(D251*C251/3600/建筑!I146,2)</f>
        <v>31.88</v>
      </c>
      <c r="F251" s="13">
        <v>13</v>
      </c>
      <c r="G251" s="14">
        <f t="shared" si="128"/>
        <v>497250</v>
      </c>
      <c r="K251" s="13">
        <v>470</v>
      </c>
      <c r="L251" s="14">
        <f t="shared" si="129"/>
        <v>17977500</v>
      </c>
      <c r="M251" s="5">
        <f>ROUND(L251/产出与消耗!T22,4)</f>
        <v>3.8899999999999997E-2</v>
      </c>
      <c r="N251" s="13">
        <v>475</v>
      </c>
      <c r="O251" s="14">
        <f t="shared" si="130"/>
        <v>18168750</v>
      </c>
      <c r="P251" s="5">
        <f>ROUND(O251/产出与消耗!T44,4)</f>
        <v>3.9300000000000002E-2</v>
      </c>
      <c r="Q251" s="13">
        <v>160</v>
      </c>
      <c r="R251" s="14">
        <f t="shared" si="131"/>
        <v>6120000</v>
      </c>
      <c r="S251" s="5">
        <f>ROUND(R251/产出与消耗!T66,4)</f>
        <v>1.9800000000000002E-2</v>
      </c>
      <c r="T251" s="9">
        <f t="shared" si="133"/>
        <v>9.8000000000000004E-2</v>
      </c>
    </row>
    <row r="252" spans="1:20">
      <c r="B252">
        <v>20</v>
      </c>
      <c r="C252">
        <v>45000</v>
      </c>
      <c r="D252" s="13">
        <v>12</v>
      </c>
      <c r="E252">
        <f>ROUND(D252*C252/3600/建筑!I147,2)</f>
        <v>30</v>
      </c>
      <c r="F252" s="13">
        <v>13</v>
      </c>
      <c r="G252" s="14">
        <f t="shared" si="128"/>
        <v>585000</v>
      </c>
      <c r="K252" s="13">
        <v>470</v>
      </c>
      <c r="L252" s="14">
        <f t="shared" si="129"/>
        <v>21150000</v>
      </c>
      <c r="M252" s="5">
        <f>ROUND(L252/产出与消耗!T23,4)</f>
        <v>3.1600000000000003E-2</v>
      </c>
      <c r="N252" s="13">
        <v>475</v>
      </c>
      <c r="O252" s="14">
        <f t="shared" si="130"/>
        <v>21375000</v>
      </c>
      <c r="P252" s="5">
        <f>ROUND(O252/产出与消耗!T45,4)</f>
        <v>3.2000000000000001E-2</v>
      </c>
      <c r="Q252" s="13">
        <v>160</v>
      </c>
      <c r="R252" s="14">
        <f t="shared" si="131"/>
        <v>7200000</v>
      </c>
      <c r="S252" s="5">
        <f>ROUND(R252/产出与消耗!T67,4)</f>
        <v>1.61E-2</v>
      </c>
      <c r="T252" s="9">
        <f t="shared" si="133"/>
        <v>7.9699999999999993E-2</v>
      </c>
    </row>
  </sheetData>
  <phoneticPr fontId="8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defaultColWidth="9" defaultRowHeight="13.5"/>
  <sheetData/>
  <phoneticPr fontId="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5"/>
  <sheetViews>
    <sheetView tabSelected="1" workbookViewId="0">
      <pane xSplit="2" ySplit="1" topLeftCell="C362" activePane="bottomRight" state="frozen"/>
      <selection pane="topRight"/>
      <selection pane="bottomLeft"/>
      <selection pane="bottomRight" activeCell="C319" sqref="C319"/>
    </sheetView>
  </sheetViews>
  <sheetFormatPr defaultColWidth="9" defaultRowHeight="13.5"/>
  <cols>
    <col min="2" max="2" width="10.625" customWidth="1"/>
    <col min="7" max="7" width="7.5" customWidth="1"/>
    <col min="9" max="9" width="10.5" customWidth="1"/>
    <col min="15" max="15" width="8.625" customWidth="1"/>
  </cols>
  <sheetData>
    <row r="1" spans="1:17" s="7" customFormat="1" ht="27">
      <c r="A1" s="7" t="s">
        <v>276</v>
      </c>
      <c r="B1" s="7" t="s">
        <v>104</v>
      </c>
      <c r="C1" s="7" t="s">
        <v>277</v>
      </c>
      <c r="D1" s="7" t="s">
        <v>278</v>
      </c>
      <c r="E1" s="7" t="s">
        <v>279</v>
      </c>
      <c r="F1" s="7" t="s">
        <v>457</v>
      </c>
      <c r="G1" s="7" t="s">
        <v>472</v>
      </c>
      <c r="H1" s="7" t="s">
        <v>280</v>
      </c>
      <c r="I1" s="7" t="s">
        <v>281</v>
      </c>
      <c r="J1" s="7" t="s">
        <v>282</v>
      </c>
      <c r="K1" s="7" t="s">
        <v>283</v>
      </c>
      <c r="L1" s="7" t="s">
        <v>284</v>
      </c>
      <c r="M1" s="7" t="s">
        <v>460</v>
      </c>
      <c r="N1" s="7" t="s">
        <v>420</v>
      </c>
      <c r="O1" s="7" t="s">
        <v>430</v>
      </c>
      <c r="P1" s="7" t="s">
        <v>285</v>
      </c>
    </row>
    <row r="2" spans="1:17" s="7" customFormat="1" ht="27">
      <c r="B2" s="7" t="s">
        <v>286</v>
      </c>
      <c r="C2" s="7" t="s">
        <v>287</v>
      </c>
      <c r="D2" s="7" t="s">
        <v>288</v>
      </c>
      <c r="E2" s="7" t="s">
        <v>289</v>
      </c>
      <c r="H2" s="7" t="s">
        <v>290</v>
      </c>
      <c r="I2" s="7" t="s">
        <v>291</v>
      </c>
      <c r="J2" s="7" t="s">
        <v>292</v>
      </c>
      <c r="K2" s="7" t="s">
        <v>293</v>
      </c>
      <c r="L2" s="7" t="s">
        <v>294</v>
      </c>
      <c r="P2" s="7" t="s">
        <v>295</v>
      </c>
      <c r="Q2" s="7" t="s">
        <v>296</v>
      </c>
    </row>
    <row r="3" spans="1:17">
      <c r="B3">
        <v>1</v>
      </c>
      <c r="C3" s="9">
        <f>其他表格!$AA$2</f>
        <v>0.6</v>
      </c>
      <c r="D3" s="9">
        <f>其他表格!$AB$2+建筑!H44</f>
        <v>0.33999999999999997</v>
      </c>
      <c r="E3" s="9">
        <f>其他表格!$AC$2+建筑!I44</f>
        <v>6.8000000000000005E-2</v>
      </c>
      <c r="F3" s="9"/>
      <c r="G3" s="9"/>
      <c r="H3" s="9">
        <f>其他表格!$AD$2+建筑!J44</f>
        <v>0.03</v>
      </c>
      <c r="I3" s="9">
        <f>其他表格!$AE$2+建筑!K44</f>
        <v>2E-3</v>
      </c>
      <c r="J3" s="5">
        <f t="shared" ref="J3" si="0">ROUND(C3/SUM(C3:I3),4)</f>
        <v>0.57689999999999997</v>
      </c>
      <c r="K3" s="5">
        <f t="shared" ref="K3" si="1">ROUND(D3/SUM(C3:I3),4)</f>
        <v>0.32690000000000002</v>
      </c>
      <c r="L3" s="5">
        <f t="shared" ref="L3" si="2">ROUND(E3/SUM(C3:I3),4)</f>
        <v>6.54E-2</v>
      </c>
      <c r="M3" s="5"/>
      <c r="N3" s="5"/>
      <c r="O3" s="5"/>
      <c r="P3" s="5">
        <f t="shared" ref="P3" si="3">ROUND(H3/SUM(C3:I3),4)</f>
        <v>2.8799999999999999E-2</v>
      </c>
      <c r="Q3" s="5">
        <f t="shared" ref="Q3" si="4">ROUND(I3/SUM(C3:I3),4)</f>
        <v>1.9E-3</v>
      </c>
    </row>
    <row r="4" spans="1:17">
      <c r="B4">
        <v>2</v>
      </c>
      <c r="C4" s="9">
        <f>其他表格!$AA$2</f>
        <v>0.6</v>
      </c>
      <c r="D4" s="9">
        <f>其他表格!$AB$2+建筑!H45</f>
        <v>0.37</v>
      </c>
      <c r="E4" s="9">
        <f>其他表格!$AC$2+建筑!I45</f>
        <v>6.8000000000000005E-2</v>
      </c>
      <c r="F4" s="9"/>
      <c r="G4" s="9"/>
      <c r="H4" s="9">
        <f>其他表格!$AD$2+建筑!J45</f>
        <v>0.03</v>
      </c>
      <c r="I4" s="9">
        <f>其他表格!$AE$2+建筑!K45</f>
        <v>2E-3</v>
      </c>
      <c r="J4" s="5">
        <f t="shared" ref="J4:J22" si="5">ROUND(C4/SUM(C4:I4),4)</f>
        <v>0.56069999999999998</v>
      </c>
      <c r="K4" s="5">
        <f t="shared" ref="K4:K22" si="6">ROUND(D4/SUM(C4:I4),4)</f>
        <v>0.3458</v>
      </c>
      <c r="L4" s="5">
        <f t="shared" ref="L4:L22" si="7">ROUND(E4/SUM(C4:I4),4)</f>
        <v>6.3600000000000004E-2</v>
      </c>
      <c r="M4" s="5"/>
      <c r="N4" s="5"/>
      <c r="O4" s="5"/>
      <c r="P4" s="5">
        <f t="shared" ref="P4:P22" si="8">ROUND(H4/SUM(C4:I4),4)</f>
        <v>2.8000000000000001E-2</v>
      </c>
      <c r="Q4" s="5">
        <f t="shared" ref="Q4:Q22" si="9">ROUND(I4/SUM(C4:I4),4)</f>
        <v>1.9E-3</v>
      </c>
    </row>
    <row r="5" spans="1:17">
      <c r="B5">
        <v>3</v>
      </c>
      <c r="C5" s="9">
        <f>其他表格!$AA$2</f>
        <v>0.6</v>
      </c>
      <c r="D5" s="9">
        <f>其他表格!$AB$2+建筑!H46</f>
        <v>0.4</v>
      </c>
      <c r="E5" s="9">
        <f>其他表格!$AC$2+建筑!I46</f>
        <v>7.8E-2</v>
      </c>
      <c r="F5" s="9"/>
      <c r="G5" s="9"/>
      <c r="H5" s="9">
        <f>其他表格!$AD$2+建筑!J46</f>
        <v>0.03</v>
      </c>
      <c r="I5" s="9">
        <f>其他表格!$AE$2+建筑!K46</f>
        <v>2E-3</v>
      </c>
      <c r="J5" s="5">
        <f t="shared" si="5"/>
        <v>0.54049999999999998</v>
      </c>
      <c r="K5" s="5">
        <f t="shared" si="6"/>
        <v>0.3604</v>
      </c>
      <c r="L5" s="5">
        <f t="shared" si="7"/>
        <v>7.0300000000000001E-2</v>
      </c>
      <c r="M5" s="5"/>
      <c r="N5" s="5"/>
      <c r="O5" s="5"/>
      <c r="P5" s="5">
        <f t="shared" si="8"/>
        <v>2.7E-2</v>
      </c>
      <c r="Q5" s="5">
        <f t="shared" si="9"/>
        <v>1.8E-3</v>
      </c>
    </row>
    <row r="6" spans="1:17">
      <c r="B6">
        <v>4</v>
      </c>
      <c r="C6" s="9">
        <f>其他表格!$AA$2</f>
        <v>0.6</v>
      </c>
      <c r="D6" s="9">
        <f>其他表格!$AB$2+建筑!H47</f>
        <v>0.44999999999999996</v>
      </c>
      <c r="E6" s="9">
        <f>其他表格!$AC$2+建筑!I47</f>
        <v>7.8E-2</v>
      </c>
      <c r="F6" s="9"/>
      <c r="G6" s="9"/>
      <c r="H6" s="9">
        <f>其他表格!$AD$2+建筑!J47</f>
        <v>0.03</v>
      </c>
      <c r="I6" s="9">
        <f>其他表格!$AE$2+建筑!K47</f>
        <v>2E-3</v>
      </c>
      <c r="J6" s="5">
        <f t="shared" si="5"/>
        <v>0.51719999999999999</v>
      </c>
      <c r="K6" s="5">
        <f t="shared" si="6"/>
        <v>0.38790000000000002</v>
      </c>
      <c r="L6" s="5">
        <f t="shared" si="7"/>
        <v>6.7199999999999996E-2</v>
      </c>
      <c r="M6" s="5"/>
      <c r="N6" s="5"/>
      <c r="O6" s="5"/>
      <c r="P6" s="5">
        <f t="shared" si="8"/>
        <v>2.5899999999999999E-2</v>
      </c>
      <c r="Q6" s="5">
        <f t="shared" si="9"/>
        <v>1.6999999999999999E-3</v>
      </c>
    </row>
    <row r="7" spans="1:17">
      <c r="B7">
        <v>5</v>
      </c>
      <c r="C7" s="9">
        <f>其他表格!$AA$2</f>
        <v>0.6</v>
      </c>
      <c r="D7" s="9">
        <f>其他表格!$AB$2+建筑!H48</f>
        <v>0.5</v>
      </c>
      <c r="E7" s="9">
        <f>其他表格!$AC$2+建筑!I48</f>
        <v>8.8000000000000009E-2</v>
      </c>
      <c r="F7" s="9"/>
      <c r="G7" s="9"/>
      <c r="H7" s="9">
        <f>其他表格!$AD$2+建筑!J48</f>
        <v>0.03</v>
      </c>
      <c r="I7" s="9">
        <f>其他表格!$AE$2+建筑!K48</f>
        <v>2E-3</v>
      </c>
      <c r="J7" s="5">
        <f t="shared" si="5"/>
        <v>0.49180000000000001</v>
      </c>
      <c r="K7" s="5">
        <f t="shared" si="6"/>
        <v>0.4098</v>
      </c>
      <c r="L7" s="5">
        <f t="shared" si="7"/>
        <v>7.2099999999999997E-2</v>
      </c>
      <c r="M7" s="5"/>
      <c r="N7" s="5"/>
      <c r="O7" s="5"/>
      <c r="P7" s="5">
        <f t="shared" si="8"/>
        <v>2.46E-2</v>
      </c>
      <c r="Q7" s="5">
        <f t="shared" si="9"/>
        <v>1.6000000000000001E-3</v>
      </c>
    </row>
    <row r="8" spans="1:17">
      <c r="B8">
        <v>6</v>
      </c>
      <c r="C8" s="9">
        <f>其他表格!$AA$2</f>
        <v>0.6</v>
      </c>
      <c r="D8" s="9">
        <f>其他表格!$AB$2+建筑!H49</f>
        <v>0.55000000000000004</v>
      </c>
      <c r="E8" s="9">
        <f>其他表格!$AC$2+建筑!I49</f>
        <v>9.8000000000000004E-2</v>
      </c>
      <c r="F8" s="9"/>
      <c r="G8" s="9"/>
      <c r="H8" s="9">
        <f>其他表格!$AD$2+建筑!J49</f>
        <v>0.03</v>
      </c>
      <c r="I8" s="9">
        <f>其他表格!$AE$2+建筑!K49</f>
        <v>2E-3</v>
      </c>
      <c r="J8" s="5">
        <f t="shared" si="5"/>
        <v>0.46879999999999999</v>
      </c>
      <c r="K8" s="5">
        <f t="shared" si="6"/>
        <v>0.42970000000000003</v>
      </c>
      <c r="L8" s="5">
        <f t="shared" si="7"/>
        <v>7.6600000000000001E-2</v>
      </c>
      <c r="M8" s="5"/>
      <c r="N8" s="5"/>
      <c r="O8" s="5"/>
      <c r="P8" s="5">
        <f t="shared" si="8"/>
        <v>2.3400000000000001E-2</v>
      </c>
      <c r="Q8" s="5">
        <f t="shared" si="9"/>
        <v>1.6000000000000001E-3</v>
      </c>
    </row>
    <row r="9" spans="1:17">
      <c r="B9">
        <v>7</v>
      </c>
      <c r="C9" s="9">
        <f>其他表格!$AA$2</f>
        <v>0.6</v>
      </c>
      <c r="D9" s="9">
        <f>其他表格!$AB$2+建筑!H50</f>
        <v>0.5</v>
      </c>
      <c r="E9" s="9">
        <f>其他表格!$AC$2+建筑!I50</f>
        <v>0.10800000000000001</v>
      </c>
      <c r="F9" s="9"/>
      <c r="G9" s="9"/>
      <c r="H9" s="9">
        <f>其他表格!$AD$2+建筑!J50</f>
        <v>0.03</v>
      </c>
      <c r="I9" s="9">
        <f>其他表格!$AE$2+建筑!K50</f>
        <v>2E-3</v>
      </c>
      <c r="J9" s="5">
        <f t="shared" si="5"/>
        <v>0.4839</v>
      </c>
      <c r="K9" s="5">
        <f t="shared" si="6"/>
        <v>0.4032</v>
      </c>
      <c r="L9" s="5">
        <f t="shared" si="7"/>
        <v>8.7099999999999997E-2</v>
      </c>
      <c r="M9" s="5"/>
      <c r="N9" s="5"/>
      <c r="O9" s="5"/>
      <c r="P9" s="5">
        <f t="shared" si="8"/>
        <v>2.4199999999999999E-2</v>
      </c>
      <c r="Q9" s="5">
        <f t="shared" si="9"/>
        <v>1.6000000000000001E-3</v>
      </c>
    </row>
    <row r="10" spans="1:17">
      <c r="B10">
        <v>8</v>
      </c>
      <c r="C10" s="9">
        <f>其他表格!$AA$2</f>
        <v>0.6</v>
      </c>
      <c r="D10" s="9">
        <f>其他表格!$AB$2+建筑!H51</f>
        <v>0.44999999999999996</v>
      </c>
      <c r="E10" s="9">
        <f>其他表格!$AC$2+建筑!I51</f>
        <v>0.11800000000000001</v>
      </c>
      <c r="F10" s="9"/>
      <c r="G10" s="9"/>
      <c r="H10" s="9">
        <f>其他表格!$AD$2+建筑!J51</f>
        <v>0.03</v>
      </c>
      <c r="I10" s="9">
        <f>其他表格!$AE$2+建筑!K51</f>
        <v>2E-3</v>
      </c>
      <c r="J10" s="5">
        <f t="shared" si="5"/>
        <v>0.5</v>
      </c>
      <c r="K10" s="5">
        <f t="shared" si="6"/>
        <v>0.375</v>
      </c>
      <c r="L10" s="5">
        <f t="shared" si="7"/>
        <v>9.8299999999999998E-2</v>
      </c>
      <c r="M10" s="5"/>
      <c r="N10" s="5"/>
      <c r="O10" s="5"/>
      <c r="P10" s="5">
        <f t="shared" si="8"/>
        <v>2.5000000000000001E-2</v>
      </c>
      <c r="Q10" s="5">
        <f t="shared" si="9"/>
        <v>1.6999999999999999E-3</v>
      </c>
    </row>
    <row r="11" spans="1:17">
      <c r="B11">
        <v>9</v>
      </c>
      <c r="C11" s="9">
        <f>其他表格!$AA$2</f>
        <v>0.6</v>
      </c>
      <c r="D11" s="9">
        <f>其他表格!$AB$2+建筑!H52</f>
        <v>0.4</v>
      </c>
      <c r="E11" s="9">
        <f>其他表格!$AC$2+建筑!I52</f>
        <v>0.128</v>
      </c>
      <c r="F11" s="9"/>
      <c r="G11" s="9"/>
      <c r="H11" s="9">
        <f>其他表格!$AD$2+建筑!J52</f>
        <v>0.04</v>
      </c>
      <c r="I11" s="9">
        <f>其他表格!$AE$2+建筑!K52</f>
        <v>2E-3</v>
      </c>
      <c r="J11" s="5">
        <f t="shared" si="5"/>
        <v>0.51280000000000003</v>
      </c>
      <c r="K11" s="5">
        <f t="shared" si="6"/>
        <v>0.34189999999999998</v>
      </c>
      <c r="L11" s="5">
        <f t="shared" si="7"/>
        <v>0.1094</v>
      </c>
      <c r="M11" s="5"/>
      <c r="N11" s="5"/>
      <c r="O11" s="5"/>
      <c r="P11" s="5">
        <f t="shared" si="8"/>
        <v>3.4200000000000001E-2</v>
      </c>
      <c r="Q11" s="5">
        <f t="shared" si="9"/>
        <v>1.6999999999999999E-3</v>
      </c>
    </row>
    <row r="12" spans="1:17">
      <c r="B12">
        <v>10</v>
      </c>
      <c r="C12" s="9">
        <f>其他表格!$AA$2</f>
        <v>0.6</v>
      </c>
      <c r="D12" s="9">
        <f>其他表格!$AB$2+建筑!H53</f>
        <v>0.4</v>
      </c>
      <c r="E12" s="9">
        <f>其他表格!$AC$2+建筑!I53</f>
        <v>0.14800000000000002</v>
      </c>
      <c r="F12" s="9"/>
      <c r="G12" s="9"/>
      <c r="H12" s="9">
        <f>其他表格!$AD$2+建筑!J53</f>
        <v>0.05</v>
      </c>
      <c r="I12" s="9">
        <f>其他表格!$AE$2+建筑!K53</f>
        <v>2E-3</v>
      </c>
      <c r="J12" s="5">
        <f t="shared" si="5"/>
        <v>0.5</v>
      </c>
      <c r="K12" s="5">
        <f t="shared" si="6"/>
        <v>0.33329999999999999</v>
      </c>
      <c r="L12" s="5">
        <f t="shared" si="7"/>
        <v>0.12330000000000001</v>
      </c>
      <c r="M12" s="5"/>
      <c r="N12" s="5"/>
      <c r="O12" s="5"/>
      <c r="P12" s="5">
        <f t="shared" si="8"/>
        <v>4.1700000000000001E-2</v>
      </c>
      <c r="Q12" s="5">
        <f t="shared" si="9"/>
        <v>1.6999999999999999E-3</v>
      </c>
    </row>
    <row r="13" spans="1:17">
      <c r="B13">
        <v>11</v>
      </c>
      <c r="C13" s="9">
        <f>其他表格!$AA$2</f>
        <v>0.6</v>
      </c>
      <c r="D13" s="9">
        <f>其他表格!$AB$2+建筑!H54</f>
        <v>0.4</v>
      </c>
      <c r="E13" s="9">
        <f>其他表格!$AC$2+建筑!I54</f>
        <v>0.16800000000000001</v>
      </c>
      <c r="F13" s="9"/>
      <c r="G13" s="9"/>
      <c r="H13" s="9">
        <f>其他表格!$AD$2+建筑!J54</f>
        <v>0.06</v>
      </c>
      <c r="I13" s="9">
        <f>其他表格!$AE$2+建筑!K54</f>
        <v>2E-3</v>
      </c>
      <c r="J13" s="5">
        <f t="shared" si="5"/>
        <v>0.48780000000000001</v>
      </c>
      <c r="K13" s="5">
        <f t="shared" si="6"/>
        <v>0.32519999999999999</v>
      </c>
      <c r="L13" s="5">
        <f t="shared" si="7"/>
        <v>0.1366</v>
      </c>
      <c r="M13" s="5"/>
      <c r="N13" s="5"/>
      <c r="O13" s="5"/>
      <c r="P13" s="5">
        <f t="shared" si="8"/>
        <v>4.8800000000000003E-2</v>
      </c>
      <c r="Q13" s="5">
        <f t="shared" si="9"/>
        <v>1.6000000000000001E-3</v>
      </c>
    </row>
    <row r="14" spans="1:17">
      <c r="B14">
        <v>12</v>
      </c>
      <c r="C14" s="9">
        <f>其他表格!$AA$2</f>
        <v>0.6</v>
      </c>
      <c r="D14" s="9">
        <f>其他表格!$AB$2+建筑!H55</f>
        <v>0.4</v>
      </c>
      <c r="E14" s="9">
        <f>其他表格!$AC$2+建筑!I55</f>
        <v>0.188</v>
      </c>
      <c r="F14" s="9"/>
      <c r="G14" s="9"/>
      <c r="H14" s="9">
        <f>其他表格!$AD$2+建筑!J55</f>
        <v>7.0000000000000007E-2</v>
      </c>
      <c r="I14" s="9">
        <f>其他表格!$AE$2+建筑!K55</f>
        <v>2E-3</v>
      </c>
      <c r="J14" s="5">
        <f t="shared" si="5"/>
        <v>0.47620000000000001</v>
      </c>
      <c r="K14" s="5">
        <f t="shared" si="6"/>
        <v>0.3175</v>
      </c>
      <c r="L14" s="5">
        <f t="shared" si="7"/>
        <v>0.1492</v>
      </c>
      <c r="M14" s="5"/>
      <c r="N14" s="5"/>
      <c r="O14" s="5"/>
      <c r="P14" s="5">
        <f t="shared" si="8"/>
        <v>5.5599999999999997E-2</v>
      </c>
      <c r="Q14" s="5">
        <f t="shared" si="9"/>
        <v>1.6000000000000001E-3</v>
      </c>
    </row>
    <row r="15" spans="1:17">
      <c r="B15">
        <v>13</v>
      </c>
      <c r="C15" s="9">
        <f>其他表格!$AA$2</f>
        <v>0.6</v>
      </c>
      <c r="D15" s="9">
        <f>其他表格!$AB$2+建筑!H56</f>
        <v>0.4</v>
      </c>
      <c r="E15" s="9">
        <f>其他表格!$AC$2+建筑!I56</f>
        <v>0.20800000000000002</v>
      </c>
      <c r="F15" s="9"/>
      <c r="G15" s="9"/>
      <c r="H15" s="9">
        <f>其他表格!$AD$2+建筑!J56</f>
        <v>0.08</v>
      </c>
      <c r="I15" s="9">
        <f>其他表格!$AE$2+建筑!K56</f>
        <v>1.2E-2</v>
      </c>
      <c r="J15" s="5">
        <f t="shared" si="5"/>
        <v>0.46150000000000002</v>
      </c>
      <c r="K15" s="5">
        <f t="shared" si="6"/>
        <v>0.30769999999999997</v>
      </c>
      <c r="L15" s="5">
        <f t="shared" si="7"/>
        <v>0.16</v>
      </c>
      <c r="M15" s="5"/>
      <c r="N15" s="5"/>
      <c r="O15" s="5"/>
      <c r="P15" s="5">
        <f t="shared" si="8"/>
        <v>6.1499999999999999E-2</v>
      </c>
      <c r="Q15" s="5">
        <f t="shared" si="9"/>
        <v>9.1999999999999998E-3</v>
      </c>
    </row>
    <row r="16" spans="1:17">
      <c r="B16">
        <v>14</v>
      </c>
      <c r="C16" s="9">
        <f>其他表格!$AA$2</f>
        <v>0.6</v>
      </c>
      <c r="D16" s="9">
        <f>其他表格!$AB$2+建筑!H57</f>
        <v>0.4</v>
      </c>
      <c r="E16" s="9">
        <f>其他表格!$AC$2+建筑!I57</f>
        <v>0.22800000000000001</v>
      </c>
      <c r="F16" s="9"/>
      <c r="G16" s="9"/>
      <c r="H16" s="9">
        <f>其他表格!$AD$2+建筑!J57</f>
        <v>0.09</v>
      </c>
      <c r="I16" s="9">
        <f>其他表格!$AE$2+建筑!K57</f>
        <v>1.4E-2</v>
      </c>
      <c r="J16" s="5">
        <f t="shared" si="5"/>
        <v>0.45050000000000001</v>
      </c>
      <c r="K16" s="5">
        <f t="shared" si="6"/>
        <v>0.30030000000000001</v>
      </c>
      <c r="L16" s="5">
        <f t="shared" si="7"/>
        <v>0.17119999999999999</v>
      </c>
      <c r="M16" s="5"/>
      <c r="N16" s="5"/>
      <c r="O16" s="5"/>
      <c r="P16" s="5">
        <f t="shared" si="8"/>
        <v>6.7599999999999993E-2</v>
      </c>
      <c r="Q16" s="5">
        <f t="shared" si="9"/>
        <v>1.0500000000000001E-2</v>
      </c>
    </row>
    <row r="17" spans="1:17">
      <c r="B17">
        <v>15</v>
      </c>
      <c r="C17" s="9">
        <f>其他表格!$AA$2</f>
        <v>0.6</v>
      </c>
      <c r="D17" s="9">
        <f>其他表格!$AB$2+建筑!H58</f>
        <v>0.4</v>
      </c>
      <c r="E17" s="9">
        <f>其他表格!$AC$2+建筑!I58</f>
        <v>0.25800000000000001</v>
      </c>
      <c r="F17" s="9"/>
      <c r="G17" s="9"/>
      <c r="H17" s="9">
        <f>其他表格!$AD$2+建筑!J58</f>
        <v>0.1</v>
      </c>
      <c r="I17" s="9">
        <f>其他表格!$AE$2+建筑!K58</f>
        <v>1.6E-2</v>
      </c>
      <c r="J17" s="5">
        <f t="shared" si="5"/>
        <v>0.43669999999999998</v>
      </c>
      <c r="K17" s="5">
        <f t="shared" si="6"/>
        <v>0.29110000000000003</v>
      </c>
      <c r="L17" s="5">
        <f t="shared" si="7"/>
        <v>0.18779999999999999</v>
      </c>
      <c r="M17" s="5"/>
      <c r="N17" s="5"/>
      <c r="O17" s="5"/>
      <c r="P17" s="5">
        <f t="shared" si="8"/>
        <v>7.2800000000000004E-2</v>
      </c>
      <c r="Q17" s="5">
        <f t="shared" si="9"/>
        <v>1.1599999999999999E-2</v>
      </c>
    </row>
    <row r="18" spans="1:17">
      <c r="B18">
        <v>16</v>
      </c>
      <c r="C18" s="9">
        <f>其他表格!$AA$2</f>
        <v>0.6</v>
      </c>
      <c r="D18" s="9">
        <f>其他表格!$AB$2+建筑!H59</f>
        <v>0.4</v>
      </c>
      <c r="E18" s="9">
        <f>其他表格!$AC$2+建筑!I59</f>
        <v>0.28800000000000003</v>
      </c>
      <c r="F18" s="9"/>
      <c r="G18" s="9"/>
      <c r="H18" s="9">
        <f>其他表格!$AD$2+建筑!J59</f>
        <v>0.11</v>
      </c>
      <c r="I18" s="9">
        <f>其他表格!$AE$2+建筑!K59</f>
        <v>1.8000000000000002E-2</v>
      </c>
      <c r="J18" s="5">
        <f t="shared" si="5"/>
        <v>0.42370000000000002</v>
      </c>
      <c r="K18" s="5">
        <f t="shared" si="6"/>
        <v>0.28249999999999997</v>
      </c>
      <c r="L18" s="5">
        <f t="shared" si="7"/>
        <v>0.2034</v>
      </c>
      <c r="M18" s="5"/>
      <c r="N18" s="5"/>
      <c r="O18" s="5"/>
      <c r="P18" s="5">
        <f t="shared" si="8"/>
        <v>7.7700000000000005E-2</v>
      </c>
      <c r="Q18" s="5">
        <f t="shared" si="9"/>
        <v>1.2699999999999999E-2</v>
      </c>
    </row>
    <row r="19" spans="1:17">
      <c r="B19">
        <v>17</v>
      </c>
      <c r="C19" s="9">
        <f>其他表格!$AA$2</f>
        <v>0.6</v>
      </c>
      <c r="D19" s="9">
        <f>其他表格!$AB$2+建筑!H60</f>
        <v>0.4</v>
      </c>
      <c r="E19" s="9">
        <f>其他表格!$AC$2+建筑!I60</f>
        <v>0.318</v>
      </c>
      <c r="F19" s="9"/>
      <c r="G19" s="9"/>
      <c r="H19" s="9">
        <f>其他表格!$AD$2+建筑!J60</f>
        <v>0.12</v>
      </c>
      <c r="I19" s="9">
        <f>其他表格!$AE$2+建筑!K60</f>
        <v>1.9999999999999997E-2</v>
      </c>
      <c r="J19" s="5">
        <f t="shared" si="5"/>
        <v>0.41149999999999998</v>
      </c>
      <c r="K19" s="5">
        <f t="shared" si="6"/>
        <v>0.27429999999999999</v>
      </c>
      <c r="L19" s="5">
        <f t="shared" si="7"/>
        <v>0.21809999999999999</v>
      </c>
      <c r="M19" s="5"/>
      <c r="N19" s="5"/>
      <c r="O19" s="5"/>
      <c r="P19" s="5">
        <f t="shared" si="8"/>
        <v>8.2299999999999998E-2</v>
      </c>
      <c r="Q19" s="5">
        <f t="shared" si="9"/>
        <v>1.37E-2</v>
      </c>
    </row>
    <row r="20" spans="1:17">
      <c r="B20">
        <v>18</v>
      </c>
      <c r="C20" s="9">
        <f>其他表格!$AA$2</f>
        <v>0.6</v>
      </c>
      <c r="D20" s="9">
        <f>其他表格!$AB$2+建筑!H61</f>
        <v>0.4</v>
      </c>
      <c r="E20" s="9">
        <f>其他表格!$AC$2+建筑!I61</f>
        <v>0.34800000000000003</v>
      </c>
      <c r="F20" s="9"/>
      <c r="G20" s="9"/>
      <c r="H20" s="9">
        <f>其他表格!$AD$2+建筑!J61</f>
        <v>0.13</v>
      </c>
      <c r="I20" s="9">
        <f>其他表格!$AE$2+建筑!K61</f>
        <v>2.1999999999999999E-2</v>
      </c>
      <c r="J20" s="5">
        <f t="shared" si="5"/>
        <v>0.4</v>
      </c>
      <c r="K20" s="5">
        <f t="shared" si="6"/>
        <v>0.26669999999999999</v>
      </c>
      <c r="L20" s="5">
        <f t="shared" si="7"/>
        <v>0.23200000000000001</v>
      </c>
      <c r="M20" s="5"/>
      <c r="N20" s="5"/>
      <c r="O20" s="5"/>
      <c r="P20" s="5">
        <f t="shared" si="8"/>
        <v>8.6699999999999999E-2</v>
      </c>
      <c r="Q20" s="5">
        <f t="shared" si="9"/>
        <v>1.47E-2</v>
      </c>
    </row>
    <row r="21" spans="1:17">
      <c r="B21">
        <v>19</v>
      </c>
      <c r="C21" s="9">
        <f>其他表格!$AA$2</f>
        <v>0.6</v>
      </c>
      <c r="D21" s="9">
        <f>其他表格!$AB$2+建筑!H62</f>
        <v>0.4</v>
      </c>
      <c r="E21" s="9">
        <f>其他表格!$AC$2+建筑!I62</f>
        <v>0.378</v>
      </c>
      <c r="F21" s="9"/>
      <c r="G21" s="9"/>
      <c r="H21" s="9">
        <f>其他表格!$AD$2+建筑!J62</f>
        <v>0.14000000000000001</v>
      </c>
      <c r="I21" s="9">
        <f>其他表格!$AE$2+建筑!K62</f>
        <v>2.4E-2</v>
      </c>
      <c r="J21" s="5">
        <f t="shared" si="5"/>
        <v>0.3891</v>
      </c>
      <c r="K21" s="5">
        <f t="shared" si="6"/>
        <v>0.25940000000000002</v>
      </c>
      <c r="L21" s="5">
        <f t="shared" si="7"/>
        <v>0.24510000000000001</v>
      </c>
      <c r="M21" s="5"/>
      <c r="N21" s="5"/>
      <c r="O21" s="5"/>
      <c r="P21" s="5">
        <f t="shared" si="8"/>
        <v>9.0800000000000006E-2</v>
      </c>
      <c r="Q21" s="5">
        <f t="shared" si="9"/>
        <v>1.5599999999999999E-2</v>
      </c>
    </row>
    <row r="22" spans="1:17">
      <c r="B22">
        <v>20</v>
      </c>
      <c r="C22" s="9">
        <f>其他表格!$AA$2</f>
        <v>0.6</v>
      </c>
      <c r="D22" s="9">
        <f>其他表格!$AB$2+建筑!H63</f>
        <v>0.4</v>
      </c>
      <c r="E22" s="9">
        <f>其他表格!$AC$2+建筑!I63</f>
        <v>0.40800000000000003</v>
      </c>
      <c r="F22" s="9"/>
      <c r="G22" s="9"/>
      <c r="H22" s="9">
        <f>其他表格!$AD$2+建筑!J63</f>
        <v>0.15</v>
      </c>
      <c r="I22" s="9">
        <f>其他表格!$AE$2+建筑!K63</f>
        <v>2.6000000000000002E-2</v>
      </c>
      <c r="J22" s="5">
        <f t="shared" si="5"/>
        <v>0.37880000000000003</v>
      </c>
      <c r="K22" s="5">
        <f t="shared" si="6"/>
        <v>0.2525</v>
      </c>
      <c r="L22" s="5">
        <f t="shared" si="7"/>
        <v>0.2576</v>
      </c>
      <c r="M22" s="5"/>
      <c r="N22" s="5"/>
      <c r="O22" s="5"/>
      <c r="P22" s="5">
        <f t="shared" si="8"/>
        <v>9.4700000000000006E-2</v>
      </c>
      <c r="Q22" s="5">
        <f t="shared" si="9"/>
        <v>1.6400000000000001E-2</v>
      </c>
    </row>
    <row r="23" spans="1:17">
      <c r="A23" t="s">
        <v>297</v>
      </c>
      <c r="B23" s="10">
        <f>COUNT(A24:A450)</f>
        <v>352</v>
      </c>
    </row>
    <row r="24" spans="1:17" s="7" customFormat="1"/>
    <row r="25" spans="1:17" s="8" customFormat="1">
      <c r="B25" s="8" t="s">
        <v>418</v>
      </c>
    </row>
    <row r="26" spans="1:17">
      <c r="A26">
        <v>1</v>
      </c>
      <c r="B26" t="s">
        <v>451</v>
      </c>
      <c r="C26">
        <v>40</v>
      </c>
      <c r="D26">
        <v>70</v>
      </c>
      <c r="E26">
        <v>30</v>
      </c>
      <c r="F26">
        <v>50</v>
      </c>
      <c r="G26">
        <f t="shared" ref="G26:G52" si="10">SUM(C26:E26)</f>
        <v>140</v>
      </c>
      <c r="H26">
        <f t="shared" ref="H26:H52" si="11">SUM(C26:F26)</f>
        <v>190</v>
      </c>
      <c r="I26">
        <f>(K26+1)*基本公式!$B$187*4/2</f>
        <v>40</v>
      </c>
      <c r="P26" t="s">
        <v>452</v>
      </c>
    </row>
    <row r="27" spans="1:17">
      <c r="A27">
        <v>2</v>
      </c>
      <c r="B27" t="s">
        <v>453</v>
      </c>
      <c r="C27">
        <v>60</v>
      </c>
      <c r="D27">
        <v>40</v>
      </c>
      <c r="E27">
        <v>90</v>
      </c>
      <c r="F27">
        <v>70</v>
      </c>
      <c r="G27">
        <f t="shared" si="10"/>
        <v>190</v>
      </c>
      <c r="H27">
        <f t="shared" si="11"/>
        <v>260</v>
      </c>
      <c r="I27">
        <f>(K27+1)*基本公式!$B$187*4/2</f>
        <v>40</v>
      </c>
    </row>
    <row r="28" spans="1:17">
      <c r="A28">
        <v>3</v>
      </c>
      <c r="B28" t="s">
        <v>454</v>
      </c>
      <c r="C28">
        <v>40</v>
      </c>
      <c r="D28">
        <v>30</v>
      </c>
      <c r="E28">
        <v>70</v>
      </c>
      <c r="F28">
        <v>60</v>
      </c>
      <c r="G28">
        <f t="shared" si="10"/>
        <v>140</v>
      </c>
      <c r="H28">
        <f t="shared" si="11"/>
        <v>200</v>
      </c>
      <c r="I28">
        <f>(K28+1)*基本公式!$B$187*4/2</f>
        <v>40</v>
      </c>
      <c r="M28" t="s">
        <v>461</v>
      </c>
    </row>
    <row r="29" spans="1:17">
      <c r="A29">
        <v>4</v>
      </c>
      <c r="B29" s="11" t="s">
        <v>450</v>
      </c>
      <c r="C29">
        <v>80</v>
      </c>
      <c r="D29">
        <v>60</v>
      </c>
      <c r="E29">
        <v>50</v>
      </c>
      <c r="F29">
        <v>60</v>
      </c>
      <c r="G29">
        <f t="shared" si="10"/>
        <v>190</v>
      </c>
      <c r="H29">
        <f t="shared" si="11"/>
        <v>250</v>
      </c>
      <c r="I29">
        <f>(K29+1)*基本公式!$B$187*4/2</f>
        <v>40</v>
      </c>
      <c r="P29" t="s">
        <v>298</v>
      </c>
    </row>
    <row r="30" spans="1:17">
      <c r="A30">
        <v>5</v>
      </c>
      <c r="B30" t="s">
        <v>455</v>
      </c>
      <c r="C30">
        <v>50</v>
      </c>
      <c r="D30">
        <v>30</v>
      </c>
      <c r="E30">
        <v>70</v>
      </c>
      <c r="F30">
        <v>100</v>
      </c>
      <c r="G30">
        <f t="shared" si="10"/>
        <v>150</v>
      </c>
      <c r="H30">
        <f t="shared" si="11"/>
        <v>250</v>
      </c>
      <c r="I30">
        <f>(K30+1)*基本公式!$B$187*4/2</f>
        <v>40</v>
      </c>
    </row>
    <row r="31" spans="1:17">
      <c r="A31">
        <v>6</v>
      </c>
      <c r="B31" s="12" t="s">
        <v>471</v>
      </c>
      <c r="C31">
        <v>40</v>
      </c>
      <c r="D31">
        <v>40</v>
      </c>
      <c r="E31">
        <v>60</v>
      </c>
      <c r="F31">
        <v>70</v>
      </c>
      <c r="G31">
        <f t="shared" si="10"/>
        <v>140</v>
      </c>
      <c r="H31">
        <f t="shared" si="11"/>
        <v>210</v>
      </c>
      <c r="I31">
        <f>(K31+1)*基本公式!$B$187*4/2</f>
        <v>40</v>
      </c>
      <c r="P31" t="s">
        <v>299</v>
      </c>
    </row>
    <row r="32" spans="1:17">
      <c r="A32">
        <v>7</v>
      </c>
      <c r="B32" t="s">
        <v>300</v>
      </c>
      <c r="C32">
        <v>70</v>
      </c>
      <c r="D32">
        <v>90</v>
      </c>
      <c r="E32">
        <v>60</v>
      </c>
      <c r="F32">
        <v>60</v>
      </c>
      <c r="G32">
        <f t="shared" si="10"/>
        <v>220</v>
      </c>
      <c r="H32">
        <f t="shared" si="11"/>
        <v>280</v>
      </c>
      <c r="I32">
        <f>(K32+1)*基本公式!$B$187*4/2</f>
        <v>40</v>
      </c>
      <c r="P32" t="s">
        <v>301</v>
      </c>
    </row>
    <row r="33" spans="1:16">
      <c r="A33">
        <v>8</v>
      </c>
      <c r="B33" s="84" t="s">
        <v>470</v>
      </c>
      <c r="C33">
        <v>75</v>
      </c>
      <c r="D33">
        <v>80</v>
      </c>
      <c r="E33">
        <v>40</v>
      </c>
      <c r="F33">
        <v>60</v>
      </c>
      <c r="G33">
        <f t="shared" si="10"/>
        <v>195</v>
      </c>
      <c r="H33">
        <f t="shared" si="11"/>
        <v>255</v>
      </c>
      <c r="I33">
        <f>(K33+1)*基本公式!$B$187*4/2</f>
        <v>40</v>
      </c>
      <c r="O33" t="s">
        <v>432</v>
      </c>
      <c r="P33" t="s">
        <v>428</v>
      </c>
    </row>
    <row r="34" spans="1:16">
      <c r="A34">
        <v>9</v>
      </c>
      <c r="B34" s="12" t="s">
        <v>302</v>
      </c>
      <c r="C34">
        <v>85</v>
      </c>
      <c r="D34">
        <v>90</v>
      </c>
      <c r="E34">
        <v>50</v>
      </c>
      <c r="F34">
        <v>40</v>
      </c>
      <c r="G34">
        <f t="shared" si="10"/>
        <v>225</v>
      </c>
      <c r="H34">
        <f t="shared" si="11"/>
        <v>265</v>
      </c>
      <c r="I34">
        <f>(K34+1)*基本公式!$B$187*4/2</f>
        <v>40</v>
      </c>
      <c r="O34" t="s">
        <v>431</v>
      </c>
      <c r="P34" t="s">
        <v>429</v>
      </c>
    </row>
    <row r="35" spans="1:16">
      <c r="A35">
        <v>10</v>
      </c>
      <c r="B35" s="12" t="s">
        <v>303</v>
      </c>
      <c r="C35">
        <v>100</v>
      </c>
      <c r="D35">
        <v>40</v>
      </c>
      <c r="E35">
        <v>90</v>
      </c>
      <c r="F35">
        <v>130</v>
      </c>
      <c r="G35">
        <f t="shared" si="10"/>
        <v>230</v>
      </c>
      <c r="H35">
        <f t="shared" si="11"/>
        <v>360</v>
      </c>
      <c r="I35">
        <f>(K35+1)*基本公式!$B$187*4/2</f>
        <v>40</v>
      </c>
      <c r="O35" t="s">
        <v>449</v>
      </c>
      <c r="P35" t="s">
        <v>448</v>
      </c>
    </row>
    <row r="36" spans="1:16" s="16" customFormat="1">
      <c r="A36">
        <v>11</v>
      </c>
      <c r="B36" s="16" t="s">
        <v>422</v>
      </c>
      <c r="C36" s="16">
        <v>40</v>
      </c>
      <c r="D36" s="16">
        <v>50</v>
      </c>
      <c r="E36" s="16">
        <v>40</v>
      </c>
      <c r="F36" s="16">
        <v>30</v>
      </c>
      <c r="G36">
        <f t="shared" si="10"/>
        <v>130</v>
      </c>
      <c r="H36">
        <f t="shared" si="11"/>
        <v>160</v>
      </c>
      <c r="I36">
        <f>(K36+1)*基本公式!$B$187*4/2</f>
        <v>40</v>
      </c>
      <c r="P36" s="16" t="s">
        <v>421</v>
      </c>
    </row>
    <row r="37" spans="1:16" s="16" customFormat="1">
      <c r="A37">
        <v>12</v>
      </c>
      <c r="B37" s="16" t="s">
        <v>419</v>
      </c>
      <c r="C37" s="16">
        <v>80</v>
      </c>
      <c r="D37" s="16">
        <v>60</v>
      </c>
      <c r="E37" s="16">
        <v>60</v>
      </c>
      <c r="F37" s="16">
        <v>80</v>
      </c>
      <c r="G37">
        <f t="shared" si="10"/>
        <v>200</v>
      </c>
      <c r="H37">
        <f t="shared" si="11"/>
        <v>280</v>
      </c>
      <c r="I37">
        <f>(K37+1)*基本公式!$B$187*4/2</f>
        <v>40</v>
      </c>
      <c r="O37" s="16" t="s">
        <v>433</v>
      </c>
      <c r="P37" s="16" t="s">
        <v>424</v>
      </c>
    </row>
    <row r="38" spans="1:16" s="16" customFormat="1">
      <c r="A38">
        <v>13</v>
      </c>
      <c r="B38" s="16" t="s">
        <v>423</v>
      </c>
      <c r="C38" s="16">
        <v>60</v>
      </c>
      <c r="D38" s="16">
        <v>50</v>
      </c>
      <c r="E38" s="16">
        <v>85</v>
      </c>
      <c r="F38" s="16">
        <v>80</v>
      </c>
      <c r="G38">
        <f t="shared" si="10"/>
        <v>195</v>
      </c>
      <c r="H38">
        <f t="shared" si="11"/>
        <v>275</v>
      </c>
      <c r="I38">
        <f>(K38+1)*基本公式!$B$187*4/2</f>
        <v>40</v>
      </c>
      <c r="O38" s="16" t="s">
        <v>434</v>
      </c>
      <c r="P38" s="16" t="s">
        <v>425</v>
      </c>
    </row>
    <row r="39" spans="1:16" s="16" customFormat="1">
      <c r="A39">
        <v>14</v>
      </c>
      <c r="B39" s="16" t="s">
        <v>426</v>
      </c>
      <c r="C39" s="16">
        <v>75</v>
      </c>
      <c r="D39" s="16">
        <v>60</v>
      </c>
      <c r="E39" s="16">
        <v>80</v>
      </c>
      <c r="F39" s="16">
        <v>70</v>
      </c>
      <c r="G39">
        <f t="shared" si="10"/>
        <v>215</v>
      </c>
      <c r="H39">
        <f t="shared" si="11"/>
        <v>285</v>
      </c>
      <c r="I39">
        <f>(K39+1)*基本公式!$B$187*4/2</f>
        <v>40</v>
      </c>
      <c r="O39" s="16" t="s">
        <v>435</v>
      </c>
      <c r="P39" s="16" t="s">
        <v>427</v>
      </c>
    </row>
    <row r="40" spans="1:16" s="16" customFormat="1">
      <c r="A40">
        <v>15</v>
      </c>
      <c r="B40" s="16" t="s">
        <v>436</v>
      </c>
      <c r="C40" s="16">
        <v>80</v>
      </c>
      <c r="D40" s="16">
        <v>80</v>
      </c>
      <c r="E40" s="16">
        <v>40</v>
      </c>
      <c r="F40" s="16">
        <v>90</v>
      </c>
      <c r="G40">
        <f t="shared" si="10"/>
        <v>200</v>
      </c>
      <c r="H40">
        <f t="shared" si="11"/>
        <v>290</v>
      </c>
      <c r="I40">
        <f>(K40+1)*基本公式!$B$187*4/2</f>
        <v>40</v>
      </c>
      <c r="O40" s="16" t="s">
        <v>438</v>
      </c>
      <c r="P40" s="16" t="s">
        <v>437</v>
      </c>
    </row>
    <row r="41" spans="1:16" s="16" customFormat="1">
      <c r="A41">
        <v>16</v>
      </c>
      <c r="B41" s="16" t="s">
        <v>439</v>
      </c>
      <c r="C41" s="16">
        <v>80</v>
      </c>
      <c r="D41" s="16">
        <v>40</v>
      </c>
      <c r="E41" s="16">
        <v>80</v>
      </c>
      <c r="F41" s="16">
        <v>110</v>
      </c>
      <c r="G41">
        <f t="shared" si="10"/>
        <v>200</v>
      </c>
      <c r="H41">
        <f t="shared" si="11"/>
        <v>310</v>
      </c>
      <c r="I41">
        <f>(K41+1)*基本公式!$B$187*4/2</f>
        <v>40</v>
      </c>
      <c r="O41" s="16" t="s">
        <v>441</v>
      </c>
      <c r="P41" s="16" t="s">
        <v>440</v>
      </c>
    </row>
    <row r="42" spans="1:16" s="16" customFormat="1">
      <c r="A42">
        <v>17</v>
      </c>
      <c r="B42" s="16" t="s">
        <v>442</v>
      </c>
      <c r="C42" s="16">
        <v>100</v>
      </c>
      <c r="D42" s="16">
        <v>130</v>
      </c>
      <c r="E42" s="16">
        <v>60</v>
      </c>
      <c r="F42" s="16">
        <v>70</v>
      </c>
      <c r="G42">
        <f t="shared" si="10"/>
        <v>290</v>
      </c>
      <c r="H42">
        <f t="shared" si="11"/>
        <v>360</v>
      </c>
      <c r="I42">
        <f>(K42+1)*基本公式!$B$187*4/2</f>
        <v>40</v>
      </c>
      <c r="O42" s="16" t="s">
        <v>444</v>
      </c>
      <c r="P42" s="16" t="s">
        <v>443</v>
      </c>
    </row>
    <row r="43" spans="1:16" s="16" customFormat="1">
      <c r="A43">
        <v>18</v>
      </c>
      <c r="B43" s="16" t="s">
        <v>445</v>
      </c>
      <c r="C43" s="16">
        <v>100</v>
      </c>
      <c r="D43" s="16">
        <v>80</v>
      </c>
      <c r="E43" s="16">
        <v>80</v>
      </c>
      <c r="F43" s="16">
        <v>110</v>
      </c>
      <c r="G43">
        <f t="shared" si="10"/>
        <v>260</v>
      </c>
      <c r="H43">
        <f t="shared" si="11"/>
        <v>370</v>
      </c>
      <c r="I43">
        <f>(K43+1)*基本公式!$B$187*4/2</f>
        <v>40</v>
      </c>
      <c r="O43" s="16" t="s">
        <v>447</v>
      </c>
      <c r="P43" s="16" t="s">
        <v>446</v>
      </c>
    </row>
    <row r="44" spans="1:16" s="16" customFormat="1">
      <c r="A44">
        <v>19</v>
      </c>
      <c r="B44" s="16" t="s">
        <v>456</v>
      </c>
      <c r="C44" s="16">
        <v>60</v>
      </c>
      <c r="D44" s="16">
        <v>60</v>
      </c>
      <c r="E44" s="16">
        <v>100</v>
      </c>
      <c r="F44" s="16">
        <v>60</v>
      </c>
      <c r="G44">
        <f t="shared" si="10"/>
        <v>220</v>
      </c>
      <c r="H44">
        <f t="shared" si="11"/>
        <v>280</v>
      </c>
      <c r="I44">
        <f>(K44+1)*基本公式!$B$187*4/2</f>
        <v>40</v>
      </c>
    </row>
    <row r="45" spans="1:16" s="16" customFormat="1">
      <c r="A45">
        <v>20</v>
      </c>
      <c r="B45" s="16" t="s">
        <v>458</v>
      </c>
      <c r="C45" s="16">
        <v>65</v>
      </c>
      <c r="D45" s="16">
        <v>50</v>
      </c>
      <c r="E45" s="16">
        <v>95</v>
      </c>
      <c r="F45" s="16">
        <v>70</v>
      </c>
      <c r="G45">
        <f t="shared" si="10"/>
        <v>210</v>
      </c>
      <c r="H45">
        <f t="shared" si="11"/>
        <v>280</v>
      </c>
      <c r="I45">
        <f>(K45+1)*基本公式!$B$187*4/2</f>
        <v>40</v>
      </c>
    </row>
    <row r="46" spans="1:16" s="16" customFormat="1">
      <c r="A46">
        <v>21</v>
      </c>
      <c r="B46" s="16" t="s">
        <v>459</v>
      </c>
      <c r="C46" s="16">
        <v>40</v>
      </c>
      <c r="D46" s="16">
        <v>30</v>
      </c>
      <c r="E46" s="16">
        <v>110</v>
      </c>
      <c r="F46" s="16">
        <v>80</v>
      </c>
      <c r="G46">
        <f t="shared" si="10"/>
        <v>180</v>
      </c>
      <c r="H46">
        <f t="shared" si="11"/>
        <v>260</v>
      </c>
      <c r="I46">
        <f>(K46+1)*基本公式!$B$187*4/2</f>
        <v>40</v>
      </c>
      <c r="M46" s="16" t="s">
        <v>462</v>
      </c>
    </row>
    <row r="47" spans="1:16" s="16" customFormat="1">
      <c r="A47">
        <v>22</v>
      </c>
      <c r="B47" s="16" t="s">
        <v>463</v>
      </c>
      <c r="C47" s="16">
        <v>40</v>
      </c>
      <c r="D47" s="16">
        <v>40</v>
      </c>
      <c r="E47" s="16">
        <v>80</v>
      </c>
      <c r="F47" s="16">
        <v>70</v>
      </c>
      <c r="G47">
        <f t="shared" si="10"/>
        <v>160</v>
      </c>
      <c r="H47">
        <f t="shared" si="11"/>
        <v>230</v>
      </c>
      <c r="I47">
        <f>(K47+1)*基本公式!$B$187*4/2</f>
        <v>40</v>
      </c>
    </row>
    <row r="48" spans="1:16" s="16" customFormat="1">
      <c r="A48">
        <v>23</v>
      </c>
      <c r="B48" s="16" t="s">
        <v>464</v>
      </c>
      <c r="C48" s="16">
        <v>85</v>
      </c>
      <c r="D48" s="16">
        <v>60</v>
      </c>
      <c r="E48" s="16">
        <v>120</v>
      </c>
      <c r="F48" s="16">
        <v>90</v>
      </c>
      <c r="G48">
        <f t="shared" si="10"/>
        <v>265</v>
      </c>
      <c r="H48">
        <f t="shared" si="11"/>
        <v>355</v>
      </c>
      <c r="I48">
        <f>(K48+1)*基本公式!$B$187*4/2</f>
        <v>40</v>
      </c>
    </row>
    <row r="49" spans="1:16" s="16" customFormat="1">
      <c r="A49">
        <v>24</v>
      </c>
      <c r="B49" s="16" t="s">
        <v>465</v>
      </c>
      <c r="C49" s="16">
        <v>80</v>
      </c>
      <c r="D49" s="16">
        <v>90</v>
      </c>
      <c r="E49" s="16">
        <v>50</v>
      </c>
      <c r="F49" s="16">
        <v>80</v>
      </c>
      <c r="G49">
        <f t="shared" si="10"/>
        <v>220</v>
      </c>
      <c r="H49">
        <f t="shared" si="11"/>
        <v>300</v>
      </c>
      <c r="I49">
        <f>(K49+1)*基本公式!$B$187*4/2</f>
        <v>40</v>
      </c>
    </row>
    <row r="50" spans="1:16" s="16" customFormat="1">
      <c r="A50">
        <v>25</v>
      </c>
      <c r="B50" s="16" t="s">
        <v>466</v>
      </c>
      <c r="C50" s="16">
        <v>75</v>
      </c>
      <c r="D50" s="16">
        <v>70</v>
      </c>
      <c r="E50" s="16">
        <v>55</v>
      </c>
      <c r="F50" s="16">
        <v>70</v>
      </c>
      <c r="G50">
        <f t="shared" si="10"/>
        <v>200</v>
      </c>
      <c r="H50">
        <f t="shared" si="11"/>
        <v>270</v>
      </c>
      <c r="I50">
        <f>(K50+1)*基本公式!$B$187*4/2</f>
        <v>40</v>
      </c>
    </row>
    <row r="51" spans="1:16" s="16" customFormat="1">
      <c r="A51">
        <v>26</v>
      </c>
      <c r="B51" s="16" t="s">
        <v>467</v>
      </c>
      <c r="C51" s="16">
        <v>65</v>
      </c>
      <c r="D51" s="16">
        <v>50</v>
      </c>
      <c r="E51" s="16">
        <v>85</v>
      </c>
      <c r="F51" s="16">
        <v>60</v>
      </c>
      <c r="G51">
        <f t="shared" si="10"/>
        <v>200</v>
      </c>
      <c r="H51">
        <f t="shared" si="11"/>
        <v>260</v>
      </c>
      <c r="I51">
        <f>(K51+1)*基本公式!$B$187*4/2</f>
        <v>40</v>
      </c>
    </row>
    <row r="52" spans="1:16" s="16" customFormat="1">
      <c r="A52">
        <v>27</v>
      </c>
      <c r="B52" s="16" t="s">
        <v>520</v>
      </c>
      <c r="C52" s="16">
        <v>105</v>
      </c>
      <c r="D52" s="16">
        <v>85</v>
      </c>
      <c r="E52" s="16">
        <v>135</v>
      </c>
      <c r="F52" s="16">
        <v>80</v>
      </c>
      <c r="G52">
        <f t="shared" si="10"/>
        <v>325</v>
      </c>
      <c r="H52">
        <f t="shared" si="11"/>
        <v>405</v>
      </c>
      <c r="I52"/>
    </row>
    <row r="53" spans="1:16" s="8" customFormat="1">
      <c r="B53" s="8" t="s">
        <v>304</v>
      </c>
    </row>
    <row r="54" spans="1:16">
      <c r="A54">
        <v>1</v>
      </c>
      <c r="B54" s="16" t="s">
        <v>468</v>
      </c>
      <c r="C54" s="16">
        <v>70</v>
      </c>
      <c r="D54" s="16">
        <v>60</v>
      </c>
      <c r="E54" s="16">
        <v>50</v>
      </c>
      <c r="F54" s="16">
        <v>80</v>
      </c>
      <c r="G54">
        <f t="shared" ref="G54:G68" si="12">SUM(C54:E54)</f>
        <v>180</v>
      </c>
      <c r="H54">
        <f t="shared" ref="H54:H70" si="13">SUM(C54:F54)</f>
        <v>260</v>
      </c>
      <c r="I54">
        <f>(K54+1)*基本公式!$B$187*4/2</f>
        <v>40</v>
      </c>
    </row>
    <row r="55" spans="1:16">
      <c r="A55">
        <v>2</v>
      </c>
      <c r="B55" s="12" t="s">
        <v>305</v>
      </c>
      <c r="C55">
        <v>50</v>
      </c>
      <c r="D55">
        <v>80</v>
      </c>
      <c r="E55">
        <v>40</v>
      </c>
      <c r="F55">
        <v>50</v>
      </c>
      <c r="G55">
        <f t="shared" si="12"/>
        <v>170</v>
      </c>
      <c r="H55">
        <f t="shared" si="13"/>
        <v>220</v>
      </c>
      <c r="I55">
        <f>(K55+1)*基本公式!$B$187*4/2</f>
        <v>40</v>
      </c>
      <c r="P55" t="s">
        <v>477</v>
      </c>
    </row>
    <row r="56" spans="1:16">
      <c r="A56">
        <v>3</v>
      </c>
      <c r="B56" s="16" t="s">
        <v>469</v>
      </c>
      <c r="C56">
        <v>90</v>
      </c>
      <c r="D56">
        <v>95</v>
      </c>
      <c r="E56">
        <v>60</v>
      </c>
      <c r="F56">
        <v>75</v>
      </c>
      <c r="G56">
        <f t="shared" si="12"/>
        <v>245</v>
      </c>
      <c r="H56">
        <f t="shared" si="13"/>
        <v>320</v>
      </c>
      <c r="I56">
        <f>(K56+1)*基本公式!$B$187*4/2</f>
        <v>40</v>
      </c>
    </row>
    <row r="57" spans="1:16">
      <c r="A57">
        <v>4</v>
      </c>
      <c r="B57" s="12" t="s">
        <v>306</v>
      </c>
      <c r="C57">
        <v>55</v>
      </c>
      <c r="D57">
        <v>65</v>
      </c>
      <c r="E57">
        <v>60</v>
      </c>
      <c r="F57">
        <v>55</v>
      </c>
      <c r="G57">
        <f t="shared" si="12"/>
        <v>180</v>
      </c>
      <c r="H57">
        <f t="shared" si="13"/>
        <v>235</v>
      </c>
      <c r="I57">
        <f>(K57+1)*基本公式!$B$187*4/2</f>
        <v>40</v>
      </c>
      <c r="P57" t="s">
        <v>483</v>
      </c>
    </row>
    <row r="58" spans="1:16">
      <c r="A58">
        <v>5</v>
      </c>
      <c r="B58" t="s">
        <v>473</v>
      </c>
      <c r="C58">
        <v>75</v>
      </c>
      <c r="D58">
        <v>80</v>
      </c>
      <c r="E58">
        <v>50</v>
      </c>
      <c r="F58">
        <v>60</v>
      </c>
      <c r="G58">
        <f t="shared" si="12"/>
        <v>205</v>
      </c>
      <c r="H58">
        <f t="shared" si="13"/>
        <v>265</v>
      </c>
      <c r="I58">
        <f>(K58+1)*基本公式!$B$187*4/2</f>
        <v>40</v>
      </c>
      <c r="P58" t="s">
        <v>474</v>
      </c>
    </row>
    <row r="59" spans="1:16">
      <c r="A59">
        <v>6</v>
      </c>
      <c r="B59" s="12" t="s">
        <v>307</v>
      </c>
      <c r="C59">
        <v>85</v>
      </c>
      <c r="D59">
        <v>75</v>
      </c>
      <c r="E59">
        <v>40</v>
      </c>
      <c r="F59">
        <v>60</v>
      </c>
      <c r="G59">
        <f t="shared" si="12"/>
        <v>200</v>
      </c>
      <c r="H59">
        <f t="shared" si="13"/>
        <v>260</v>
      </c>
      <c r="I59">
        <f>(K59+1)*基本公式!$B$187*4/2</f>
        <v>40</v>
      </c>
      <c r="P59" t="s">
        <v>494</v>
      </c>
    </row>
    <row r="60" spans="1:16">
      <c r="A60">
        <v>7</v>
      </c>
      <c r="B60" s="12" t="s">
        <v>308</v>
      </c>
      <c r="C60">
        <v>75</v>
      </c>
      <c r="D60">
        <v>50</v>
      </c>
      <c r="E60">
        <v>70</v>
      </c>
      <c r="F60">
        <v>85</v>
      </c>
      <c r="G60">
        <f t="shared" si="12"/>
        <v>195</v>
      </c>
      <c r="H60">
        <f t="shared" si="13"/>
        <v>280</v>
      </c>
      <c r="I60">
        <f>(K60+1)*基本公式!$B$187*4/2</f>
        <v>40</v>
      </c>
      <c r="P60" t="s">
        <v>478</v>
      </c>
    </row>
    <row r="61" spans="1:16">
      <c r="A61">
        <v>8</v>
      </c>
      <c r="B61" s="12" t="s">
        <v>309</v>
      </c>
      <c r="C61">
        <v>100</v>
      </c>
      <c r="D61">
        <v>70</v>
      </c>
      <c r="E61">
        <v>65</v>
      </c>
      <c r="F61">
        <v>100</v>
      </c>
      <c r="G61">
        <f t="shared" si="12"/>
        <v>235</v>
      </c>
      <c r="H61">
        <f t="shared" si="13"/>
        <v>335</v>
      </c>
      <c r="I61">
        <f>(K61+1)*基本公式!$B$187*4/2</f>
        <v>40</v>
      </c>
    </row>
    <row r="62" spans="1:16" s="16" customFormat="1">
      <c r="A62">
        <v>9</v>
      </c>
      <c r="B62" s="16" t="s">
        <v>475</v>
      </c>
      <c r="C62" s="16">
        <v>75</v>
      </c>
      <c r="D62" s="16">
        <v>50</v>
      </c>
      <c r="E62" s="16">
        <v>85</v>
      </c>
      <c r="F62" s="16">
        <v>95</v>
      </c>
      <c r="G62">
        <f t="shared" si="12"/>
        <v>210</v>
      </c>
      <c r="H62">
        <f t="shared" si="13"/>
        <v>305</v>
      </c>
      <c r="I62">
        <f>(K62+1)*基本公式!$B$187*4/2</f>
        <v>40</v>
      </c>
      <c r="P62" s="16" t="s">
        <v>476</v>
      </c>
    </row>
    <row r="63" spans="1:16" s="16" customFormat="1">
      <c r="A63">
        <v>10</v>
      </c>
      <c r="B63" s="16" t="s">
        <v>479</v>
      </c>
      <c r="C63" s="16">
        <v>65</v>
      </c>
      <c r="D63" s="16">
        <v>60</v>
      </c>
      <c r="E63" s="16">
        <v>90</v>
      </c>
      <c r="F63" s="16">
        <v>70</v>
      </c>
      <c r="G63">
        <f t="shared" si="12"/>
        <v>215</v>
      </c>
      <c r="H63">
        <f t="shared" si="13"/>
        <v>285</v>
      </c>
      <c r="I63">
        <f>(K63+1)*基本公式!$B$187*4/2</f>
        <v>40</v>
      </c>
      <c r="P63" s="16" t="s">
        <v>480</v>
      </c>
    </row>
    <row r="64" spans="1:16" s="16" customFormat="1">
      <c r="A64">
        <v>11</v>
      </c>
      <c r="B64" s="16" t="s">
        <v>481</v>
      </c>
      <c r="C64" s="16">
        <v>60</v>
      </c>
      <c r="D64" s="16">
        <v>60</v>
      </c>
      <c r="E64" s="16">
        <v>60</v>
      </c>
      <c r="F64" s="16">
        <v>65</v>
      </c>
      <c r="G64">
        <f t="shared" si="12"/>
        <v>180</v>
      </c>
      <c r="H64">
        <f t="shared" si="13"/>
        <v>245</v>
      </c>
      <c r="I64">
        <f>(K64+1)*基本公式!$B$187*4/2</f>
        <v>40</v>
      </c>
      <c r="P64" s="16" t="s">
        <v>482</v>
      </c>
    </row>
    <row r="65" spans="1:16" s="16" customFormat="1">
      <c r="A65">
        <v>12</v>
      </c>
      <c r="B65" s="16" t="s">
        <v>484</v>
      </c>
      <c r="C65" s="16">
        <v>65</v>
      </c>
      <c r="D65" s="16">
        <v>80</v>
      </c>
      <c r="E65" s="16">
        <v>55</v>
      </c>
      <c r="F65" s="16">
        <v>55</v>
      </c>
      <c r="G65">
        <f t="shared" si="12"/>
        <v>200</v>
      </c>
      <c r="H65">
        <f t="shared" si="13"/>
        <v>255</v>
      </c>
      <c r="I65">
        <f>(K65+1)*基本公式!$B$187*4/2</f>
        <v>40</v>
      </c>
      <c r="P65" s="16" t="s">
        <v>486</v>
      </c>
    </row>
    <row r="66" spans="1:16" s="16" customFormat="1">
      <c r="A66">
        <v>13</v>
      </c>
      <c r="B66" s="16" t="s">
        <v>485</v>
      </c>
      <c r="C66" s="16">
        <v>80</v>
      </c>
      <c r="D66" s="16">
        <v>70</v>
      </c>
      <c r="E66" s="16">
        <v>60</v>
      </c>
      <c r="F66" s="16">
        <v>55</v>
      </c>
      <c r="G66">
        <f t="shared" si="12"/>
        <v>210</v>
      </c>
      <c r="H66">
        <f t="shared" si="13"/>
        <v>265</v>
      </c>
      <c r="I66">
        <f>(K66+1)*基本公式!$B$187*4/2</f>
        <v>40</v>
      </c>
      <c r="P66" s="16" t="s">
        <v>487</v>
      </c>
    </row>
    <row r="67" spans="1:16" s="16" customFormat="1">
      <c r="A67">
        <v>14</v>
      </c>
      <c r="B67" s="16" t="s">
        <v>488</v>
      </c>
      <c r="C67" s="16">
        <v>65</v>
      </c>
      <c r="D67" s="16">
        <v>35</v>
      </c>
      <c r="E67" s="16">
        <v>60</v>
      </c>
      <c r="F67" s="16">
        <v>80</v>
      </c>
      <c r="G67">
        <f t="shared" si="12"/>
        <v>160</v>
      </c>
      <c r="H67">
        <f t="shared" si="13"/>
        <v>240</v>
      </c>
      <c r="I67">
        <f>(K67+1)*基本公式!$B$187*4/2</f>
        <v>40</v>
      </c>
    </row>
    <row r="68" spans="1:16" s="16" customFormat="1">
      <c r="A68">
        <v>15</v>
      </c>
      <c r="B68" s="16" t="s">
        <v>490</v>
      </c>
      <c r="C68" s="16">
        <v>60</v>
      </c>
      <c r="D68" s="16">
        <v>55</v>
      </c>
      <c r="E68" s="16">
        <v>70</v>
      </c>
      <c r="F68" s="16">
        <v>55</v>
      </c>
      <c r="G68">
        <f t="shared" si="12"/>
        <v>185</v>
      </c>
      <c r="H68">
        <f t="shared" si="13"/>
        <v>240</v>
      </c>
      <c r="I68">
        <f>(K68+1)*基本公式!$B$187*4/2</f>
        <v>40</v>
      </c>
    </row>
    <row r="69" spans="1:16" s="16" customFormat="1">
      <c r="A69">
        <v>16</v>
      </c>
      <c r="B69" s="16" t="s">
        <v>491</v>
      </c>
      <c r="C69" s="16">
        <v>55</v>
      </c>
      <c r="D69" s="16">
        <v>70</v>
      </c>
      <c r="E69" s="16">
        <v>55</v>
      </c>
      <c r="F69" s="16">
        <v>40</v>
      </c>
      <c r="G69">
        <f>SUM(C69:F69)</f>
        <v>220</v>
      </c>
      <c r="H69">
        <f t="shared" si="13"/>
        <v>220</v>
      </c>
      <c r="I69">
        <f>(K69+1)*基本公式!$B$187*4/2</f>
        <v>40</v>
      </c>
    </row>
    <row r="70" spans="1:16" s="16" customFormat="1">
      <c r="A70">
        <v>17</v>
      </c>
      <c r="B70" s="16" t="s">
        <v>492</v>
      </c>
      <c r="C70" s="16">
        <v>60</v>
      </c>
      <c r="D70" s="16">
        <v>45</v>
      </c>
      <c r="E70" s="16">
        <v>70</v>
      </c>
      <c r="F70" s="16">
        <v>85</v>
      </c>
      <c r="G70">
        <f t="shared" ref="G70:G76" si="14">SUM(C70:E70)</f>
        <v>175</v>
      </c>
      <c r="H70">
        <f t="shared" si="13"/>
        <v>260</v>
      </c>
      <c r="I70">
        <f>(K70+1)*基本公式!$B$187*4/2</f>
        <v>40</v>
      </c>
    </row>
    <row r="71" spans="1:16" s="16" customFormat="1">
      <c r="A71">
        <v>18</v>
      </c>
      <c r="B71" s="16" t="s">
        <v>493</v>
      </c>
      <c r="C71" s="16">
        <v>75</v>
      </c>
      <c r="D71">
        <v>85</v>
      </c>
      <c r="E71">
        <v>45</v>
      </c>
      <c r="F71">
        <v>55</v>
      </c>
      <c r="G71">
        <f t="shared" si="14"/>
        <v>205</v>
      </c>
      <c r="H71">
        <f>SUM(D71:F71)</f>
        <v>185</v>
      </c>
      <c r="I71">
        <f>(K71+1)*基本公式!$B$187*4/2</f>
        <v>40</v>
      </c>
    </row>
    <row r="72" spans="1:16" s="16" customFormat="1">
      <c r="A72">
        <v>19</v>
      </c>
      <c r="B72" s="16" t="s">
        <v>495</v>
      </c>
      <c r="C72" s="16">
        <v>65</v>
      </c>
      <c r="D72" s="16">
        <v>75</v>
      </c>
      <c r="E72" s="16">
        <v>50</v>
      </c>
      <c r="F72" s="16">
        <v>50</v>
      </c>
      <c r="G72">
        <f t="shared" si="14"/>
        <v>190</v>
      </c>
      <c r="H72">
        <f>SUM(C72:F72)</f>
        <v>240</v>
      </c>
      <c r="I72">
        <f>(K72+1)*基本公式!$B$187*4/2</f>
        <v>40</v>
      </c>
    </row>
    <row r="73" spans="1:16" s="16" customFormat="1">
      <c r="A73">
        <v>20</v>
      </c>
      <c r="B73" s="16" t="s">
        <v>496</v>
      </c>
      <c r="C73" s="16">
        <v>80</v>
      </c>
      <c r="D73" s="16">
        <v>60</v>
      </c>
      <c r="E73" s="16">
        <v>100</v>
      </c>
      <c r="F73" s="16">
        <v>70</v>
      </c>
      <c r="G73">
        <f t="shared" si="14"/>
        <v>240</v>
      </c>
      <c r="H73">
        <f>SUM(C73:F73)</f>
        <v>310</v>
      </c>
      <c r="I73">
        <f>(K73+1)*基本公式!$B$187*4/2</f>
        <v>40</v>
      </c>
    </row>
    <row r="74" spans="1:16" s="16" customFormat="1">
      <c r="A74">
        <v>21</v>
      </c>
      <c r="B74" s="16" t="s">
        <v>497</v>
      </c>
      <c r="C74" s="16">
        <v>70</v>
      </c>
      <c r="D74" s="16">
        <v>65</v>
      </c>
      <c r="E74" s="16">
        <v>55</v>
      </c>
      <c r="F74" s="16">
        <v>45</v>
      </c>
      <c r="G74">
        <f t="shared" si="14"/>
        <v>190</v>
      </c>
      <c r="H74">
        <f>SUM(C74:F74)</f>
        <v>235</v>
      </c>
      <c r="I74">
        <f>(K74+1)*基本公式!$B$187*4/2</f>
        <v>40</v>
      </c>
      <c r="P74" s="16" t="s">
        <v>498</v>
      </c>
    </row>
    <row r="75" spans="1:16" s="16" customFormat="1">
      <c r="A75">
        <v>22</v>
      </c>
      <c r="B75" s="16" t="s">
        <v>516</v>
      </c>
      <c r="C75" s="16">
        <v>75</v>
      </c>
      <c r="D75" s="16">
        <v>65</v>
      </c>
      <c r="E75" s="16">
        <v>70</v>
      </c>
      <c r="F75" s="16">
        <v>50</v>
      </c>
      <c r="G75">
        <f t="shared" si="14"/>
        <v>210</v>
      </c>
      <c r="H75">
        <f>SUM(C75:F75)</f>
        <v>260</v>
      </c>
      <c r="I75">
        <f>(K75+1)*基本公式!$B$187*4/2</f>
        <v>40</v>
      </c>
      <c r="P75" s="16" t="s">
        <v>517</v>
      </c>
    </row>
    <row r="76" spans="1:16" s="16" customFormat="1">
      <c r="A76">
        <v>23</v>
      </c>
      <c r="B76" s="16" t="s">
        <v>489</v>
      </c>
      <c r="C76" s="16">
        <v>50</v>
      </c>
      <c r="D76" s="16">
        <v>30</v>
      </c>
      <c r="E76" s="16">
        <v>70</v>
      </c>
      <c r="F76" s="16">
        <v>60</v>
      </c>
      <c r="G76">
        <f t="shared" si="14"/>
        <v>150</v>
      </c>
      <c r="H76">
        <f>SUM(C76:F76)</f>
        <v>210</v>
      </c>
      <c r="I76">
        <f>(K76+1)*基本公式!$B$187*4/2</f>
        <v>40</v>
      </c>
      <c r="M76" s="16" t="s">
        <v>500</v>
      </c>
    </row>
    <row r="77" spans="1:16" s="8" customFormat="1">
      <c r="B77" s="8" t="s">
        <v>508</v>
      </c>
    </row>
    <row r="78" spans="1:16">
      <c r="A78">
        <v>1</v>
      </c>
      <c r="B78" s="16" t="s">
        <v>502</v>
      </c>
      <c r="C78" s="16">
        <v>65</v>
      </c>
      <c r="D78" s="16">
        <v>50</v>
      </c>
      <c r="E78" s="16">
        <v>85</v>
      </c>
      <c r="F78" s="16">
        <v>80</v>
      </c>
      <c r="G78">
        <f>SUM(C78:E78)</f>
        <v>200</v>
      </c>
      <c r="H78">
        <f t="shared" ref="H78:H120" si="15">SUM(C78:F78)</f>
        <v>280</v>
      </c>
      <c r="I78">
        <f>(K78+1)*基本公式!$B$187*4/2</f>
        <v>40</v>
      </c>
    </row>
    <row r="79" spans="1:16">
      <c r="A79">
        <v>2</v>
      </c>
      <c r="B79" s="16" t="s">
        <v>503</v>
      </c>
      <c r="C79" s="16">
        <v>100</v>
      </c>
      <c r="D79" s="16">
        <v>85</v>
      </c>
      <c r="E79" s="16">
        <v>70</v>
      </c>
      <c r="F79" s="16">
        <v>50</v>
      </c>
      <c r="G79">
        <f>SUM(C79:E79)</f>
        <v>255</v>
      </c>
      <c r="H79">
        <f t="shared" si="15"/>
        <v>305</v>
      </c>
      <c r="I79">
        <f>(K79+1)*基本公式!$B$187*4/2</f>
        <v>40</v>
      </c>
      <c r="O79" t="s">
        <v>505</v>
      </c>
      <c r="P79" t="s">
        <v>504</v>
      </c>
    </row>
    <row r="80" spans="1:16">
      <c r="A80">
        <v>3</v>
      </c>
      <c r="B80" s="16" t="s">
        <v>514</v>
      </c>
      <c r="C80" s="16">
        <v>75</v>
      </c>
      <c r="D80" s="16">
        <v>90</v>
      </c>
      <c r="E80" s="16">
        <v>60</v>
      </c>
      <c r="F80" s="16">
        <v>55</v>
      </c>
      <c r="G80">
        <f>SUM(C80:E80)</f>
        <v>225</v>
      </c>
      <c r="H80">
        <f t="shared" si="15"/>
        <v>280</v>
      </c>
      <c r="I80">
        <f>(K80+1)*基本公式!$B$187*4/2</f>
        <v>40</v>
      </c>
      <c r="P80" t="s">
        <v>515</v>
      </c>
    </row>
    <row r="81" spans="1:17">
      <c r="A81">
        <v>4</v>
      </c>
      <c r="B81" s="16" t="s">
        <v>518</v>
      </c>
      <c r="C81" s="16">
        <v>95</v>
      </c>
      <c r="D81" s="16">
        <v>85</v>
      </c>
      <c r="E81" s="16">
        <v>120</v>
      </c>
      <c r="F81" s="16">
        <v>70</v>
      </c>
      <c r="G81">
        <f>SUM(B81:E81)</f>
        <v>300</v>
      </c>
      <c r="H81">
        <f t="shared" si="15"/>
        <v>370</v>
      </c>
      <c r="I81">
        <f>(K81+1)*基本公式!$B$187*4/2</f>
        <v>40</v>
      </c>
      <c r="P81" t="s">
        <v>525</v>
      </c>
    </row>
    <row r="82" spans="1:17">
      <c r="A82">
        <v>5</v>
      </c>
      <c r="B82" s="16" t="s">
        <v>519</v>
      </c>
      <c r="C82">
        <v>60</v>
      </c>
      <c r="D82">
        <v>50</v>
      </c>
      <c r="E82">
        <v>100</v>
      </c>
      <c r="F82">
        <v>75</v>
      </c>
      <c r="G82">
        <f t="shared" ref="G82:G120" si="16">SUM(C82:E82)</f>
        <v>210</v>
      </c>
      <c r="H82">
        <f t="shared" si="15"/>
        <v>285</v>
      </c>
      <c r="I82">
        <f>(K82+1)*基本公式!$B$187*4/2</f>
        <v>40</v>
      </c>
      <c r="P82" t="s">
        <v>526</v>
      </c>
    </row>
    <row r="83" spans="1:17">
      <c r="A83">
        <v>6</v>
      </c>
      <c r="B83" t="s">
        <v>509</v>
      </c>
      <c r="C83">
        <v>70</v>
      </c>
      <c r="D83">
        <v>45</v>
      </c>
      <c r="E83">
        <v>80</v>
      </c>
      <c r="F83">
        <v>60</v>
      </c>
      <c r="G83">
        <f t="shared" si="16"/>
        <v>195</v>
      </c>
      <c r="H83">
        <f t="shared" si="15"/>
        <v>255</v>
      </c>
      <c r="I83">
        <f>(K83+1)*基本公式!$B$187*4/2</f>
        <v>40</v>
      </c>
      <c r="O83" t="s">
        <v>512</v>
      </c>
      <c r="P83" t="s">
        <v>510</v>
      </c>
      <c r="Q83" t="s">
        <v>511</v>
      </c>
    </row>
    <row r="84" spans="1:17">
      <c r="A84">
        <v>7</v>
      </c>
      <c r="B84" s="16" t="s">
        <v>523</v>
      </c>
      <c r="C84">
        <v>85</v>
      </c>
      <c r="D84">
        <v>70</v>
      </c>
      <c r="E84">
        <v>50</v>
      </c>
      <c r="F84">
        <v>70</v>
      </c>
      <c r="G84">
        <f t="shared" si="16"/>
        <v>205</v>
      </c>
      <c r="H84">
        <f t="shared" si="15"/>
        <v>275</v>
      </c>
      <c r="I84">
        <f>(K84+1)*基本公式!$B$187*4/2</f>
        <v>40</v>
      </c>
      <c r="P84" t="s">
        <v>524</v>
      </c>
    </row>
    <row r="85" spans="1:17">
      <c r="A85">
        <v>8</v>
      </c>
      <c r="B85" s="16" t="s">
        <v>310</v>
      </c>
      <c r="C85">
        <v>100</v>
      </c>
      <c r="D85">
        <v>90</v>
      </c>
      <c r="E85">
        <v>60</v>
      </c>
      <c r="F85">
        <v>80</v>
      </c>
      <c r="G85">
        <f t="shared" si="16"/>
        <v>250</v>
      </c>
      <c r="H85">
        <f t="shared" si="15"/>
        <v>330</v>
      </c>
      <c r="I85">
        <f>(K85+1)*基本公式!$B$187*4/2</f>
        <v>40</v>
      </c>
      <c r="P85" t="s">
        <v>507</v>
      </c>
    </row>
    <row r="86" spans="1:17">
      <c r="A86">
        <v>9</v>
      </c>
      <c r="B86" s="16" t="s">
        <v>311</v>
      </c>
      <c r="C86">
        <v>110</v>
      </c>
      <c r="D86">
        <v>80</v>
      </c>
      <c r="E86">
        <v>75</v>
      </c>
      <c r="F86">
        <v>80</v>
      </c>
      <c r="G86">
        <f t="shared" si="16"/>
        <v>265</v>
      </c>
      <c r="H86">
        <f t="shared" si="15"/>
        <v>345</v>
      </c>
      <c r="I86">
        <f>(K86+1)*基本公式!$B$187*4/2</f>
        <v>40</v>
      </c>
      <c r="P86" t="s">
        <v>506</v>
      </c>
    </row>
    <row r="87" spans="1:17">
      <c r="A87">
        <v>10</v>
      </c>
      <c r="B87" s="16" t="s">
        <v>521</v>
      </c>
      <c r="C87">
        <v>70</v>
      </c>
      <c r="D87">
        <v>50</v>
      </c>
      <c r="E87">
        <v>100</v>
      </c>
      <c r="F87">
        <v>70</v>
      </c>
      <c r="G87">
        <f t="shared" si="16"/>
        <v>220</v>
      </c>
      <c r="H87">
        <f t="shared" si="15"/>
        <v>290</v>
      </c>
      <c r="I87">
        <f>(K87+1)*基本公式!$B$187*4/2</f>
        <v>40</v>
      </c>
      <c r="P87" t="s">
        <v>528</v>
      </c>
    </row>
    <row r="88" spans="1:17">
      <c r="A88">
        <v>11</v>
      </c>
      <c r="B88" s="16" t="s">
        <v>530</v>
      </c>
      <c r="C88">
        <v>50</v>
      </c>
      <c r="D88">
        <v>75</v>
      </c>
      <c r="E88">
        <v>55</v>
      </c>
      <c r="F88">
        <v>60</v>
      </c>
      <c r="G88">
        <f t="shared" si="16"/>
        <v>180</v>
      </c>
      <c r="H88">
        <f t="shared" si="15"/>
        <v>240</v>
      </c>
      <c r="I88">
        <f>(K88+1)*基本公式!$B$187*4/2</f>
        <v>40</v>
      </c>
      <c r="P88" t="s">
        <v>522</v>
      </c>
    </row>
    <row r="89" spans="1:17">
      <c r="A89">
        <v>12</v>
      </c>
      <c r="B89" t="s">
        <v>532</v>
      </c>
      <c r="C89">
        <v>80</v>
      </c>
      <c r="D89">
        <v>85</v>
      </c>
      <c r="E89">
        <v>50</v>
      </c>
      <c r="F89">
        <v>70</v>
      </c>
      <c r="G89">
        <f t="shared" si="16"/>
        <v>215</v>
      </c>
      <c r="H89">
        <f t="shared" si="15"/>
        <v>285</v>
      </c>
      <c r="I89">
        <f>(K89+1)*基本公式!$B$187*4/2</f>
        <v>40</v>
      </c>
      <c r="P89" t="s">
        <v>527</v>
      </c>
    </row>
    <row r="90" spans="1:17">
      <c r="A90">
        <v>13</v>
      </c>
      <c r="B90" t="s">
        <v>529</v>
      </c>
      <c r="C90">
        <v>70</v>
      </c>
      <c r="D90">
        <v>65</v>
      </c>
      <c r="E90">
        <v>60</v>
      </c>
      <c r="F90">
        <v>60</v>
      </c>
      <c r="G90">
        <f t="shared" si="16"/>
        <v>195</v>
      </c>
      <c r="H90">
        <f t="shared" si="15"/>
        <v>255</v>
      </c>
      <c r="I90">
        <f>(K90+1)*基本公式!$B$187*4/2</f>
        <v>40</v>
      </c>
      <c r="P90" t="s">
        <v>531</v>
      </c>
    </row>
    <row r="91" spans="1:17">
      <c r="A91">
        <v>14</v>
      </c>
      <c r="B91" s="16" t="s">
        <v>534</v>
      </c>
      <c r="C91">
        <v>95</v>
      </c>
      <c r="D91">
        <v>75</v>
      </c>
      <c r="E91">
        <v>80</v>
      </c>
      <c r="F91">
        <v>65</v>
      </c>
      <c r="G91">
        <f t="shared" si="16"/>
        <v>250</v>
      </c>
      <c r="H91">
        <f t="shared" si="15"/>
        <v>315</v>
      </c>
      <c r="I91">
        <f>(K91+1)*基本公式!$B$187*4/2</f>
        <v>40</v>
      </c>
      <c r="P91" t="s">
        <v>535</v>
      </c>
    </row>
    <row r="92" spans="1:17">
      <c r="A92">
        <v>15</v>
      </c>
      <c r="B92" s="16" t="s">
        <v>536</v>
      </c>
      <c r="C92">
        <v>70</v>
      </c>
      <c r="D92">
        <v>85</v>
      </c>
      <c r="E92">
        <v>65</v>
      </c>
      <c r="F92">
        <v>60</v>
      </c>
      <c r="G92">
        <f t="shared" si="16"/>
        <v>220</v>
      </c>
      <c r="H92">
        <f t="shared" si="15"/>
        <v>280</v>
      </c>
      <c r="I92">
        <f>(K92+1)*基本公式!$B$187*4/2</f>
        <v>40</v>
      </c>
      <c r="P92" t="s">
        <v>537</v>
      </c>
    </row>
    <row r="93" spans="1:17">
      <c r="A93">
        <v>16</v>
      </c>
      <c r="B93" s="16" t="s">
        <v>538</v>
      </c>
      <c r="C93">
        <v>65</v>
      </c>
      <c r="D93">
        <v>85</v>
      </c>
      <c r="E93">
        <v>60</v>
      </c>
      <c r="F93">
        <v>70</v>
      </c>
      <c r="G93">
        <f t="shared" si="16"/>
        <v>210</v>
      </c>
      <c r="H93">
        <f t="shared" si="15"/>
        <v>280</v>
      </c>
      <c r="I93">
        <f>(K93+1)*基本公式!$B$187*4/2</f>
        <v>40</v>
      </c>
      <c r="P93" t="s">
        <v>539</v>
      </c>
    </row>
    <row r="94" spans="1:17">
      <c r="A94">
        <v>17</v>
      </c>
      <c r="B94" s="16" t="s">
        <v>540</v>
      </c>
      <c r="C94">
        <v>60</v>
      </c>
      <c r="D94">
        <v>70</v>
      </c>
      <c r="E94">
        <v>80</v>
      </c>
      <c r="F94">
        <v>60</v>
      </c>
      <c r="G94">
        <f t="shared" si="16"/>
        <v>210</v>
      </c>
      <c r="H94">
        <f t="shared" si="15"/>
        <v>270</v>
      </c>
      <c r="I94">
        <f>(K94+1)*基本公式!$B$187*4/2</f>
        <v>40</v>
      </c>
      <c r="P94" t="s">
        <v>541</v>
      </c>
    </row>
    <row r="95" spans="1:17">
      <c r="A95">
        <v>18</v>
      </c>
      <c r="B95" s="16" t="s">
        <v>542</v>
      </c>
      <c r="C95">
        <v>80</v>
      </c>
      <c r="D95">
        <v>70</v>
      </c>
      <c r="E95">
        <v>75</v>
      </c>
      <c r="F95">
        <v>50</v>
      </c>
      <c r="G95">
        <f t="shared" si="16"/>
        <v>225</v>
      </c>
      <c r="H95">
        <f t="shared" si="15"/>
        <v>275</v>
      </c>
      <c r="I95">
        <f>(K95+1)*基本公式!$B$187*4/2</f>
        <v>40</v>
      </c>
      <c r="P95" t="s">
        <v>543</v>
      </c>
    </row>
    <row r="96" spans="1:17">
      <c r="A96">
        <v>19</v>
      </c>
      <c r="B96" s="16" t="s">
        <v>544</v>
      </c>
      <c r="C96">
        <v>80</v>
      </c>
      <c r="D96">
        <v>70</v>
      </c>
      <c r="E96">
        <v>60</v>
      </c>
      <c r="F96">
        <v>70</v>
      </c>
      <c r="G96">
        <f t="shared" si="16"/>
        <v>210</v>
      </c>
      <c r="H96">
        <f t="shared" si="15"/>
        <v>280</v>
      </c>
      <c r="I96">
        <f>(K96+1)*基本公式!$B$187*4/2</f>
        <v>40</v>
      </c>
      <c r="P96" t="s">
        <v>545</v>
      </c>
    </row>
    <row r="97" spans="1:16">
      <c r="A97">
        <v>20</v>
      </c>
      <c r="B97" s="16" t="s">
        <v>546</v>
      </c>
      <c r="C97">
        <v>70</v>
      </c>
      <c r="D97">
        <v>75</v>
      </c>
      <c r="E97">
        <v>80</v>
      </c>
      <c r="F97">
        <v>50</v>
      </c>
      <c r="G97">
        <f t="shared" si="16"/>
        <v>225</v>
      </c>
      <c r="H97">
        <f t="shared" si="15"/>
        <v>275</v>
      </c>
      <c r="I97">
        <f>(K97+1)*基本公式!$B$187*4/2</f>
        <v>40</v>
      </c>
      <c r="P97" t="s">
        <v>547</v>
      </c>
    </row>
    <row r="98" spans="1:16">
      <c r="A98">
        <v>21</v>
      </c>
      <c r="B98" s="16" t="s">
        <v>548</v>
      </c>
      <c r="C98">
        <v>90</v>
      </c>
      <c r="D98">
        <v>70</v>
      </c>
      <c r="E98">
        <v>65</v>
      </c>
      <c r="F98">
        <v>60</v>
      </c>
      <c r="G98">
        <f t="shared" si="16"/>
        <v>225</v>
      </c>
      <c r="H98">
        <f t="shared" si="15"/>
        <v>285</v>
      </c>
      <c r="I98">
        <f>(K98+1)*基本公式!$B$187*4/2</f>
        <v>40</v>
      </c>
      <c r="P98" t="s">
        <v>549</v>
      </c>
    </row>
    <row r="99" spans="1:16">
      <c r="A99">
        <v>22</v>
      </c>
      <c r="B99" s="16" t="s">
        <v>550</v>
      </c>
      <c r="C99">
        <v>80</v>
      </c>
      <c r="D99">
        <v>85</v>
      </c>
      <c r="E99">
        <v>65</v>
      </c>
      <c r="F99">
        <v>65</v>
      </c>
      <c r="G99">
        <f t="shared" si="16"/>
        <v>230</v>
      </c>
      <c r="H99">
        <f t="shared" si="15"/>
        <v>295</v>
      </c>
      <c r="I99">
        <f>(K99+1)*基本公式!$B$187*4/2</f>
        <v>40</v>
      </c>
      <c r="P99" t="s">
        <v>552</v>
      </c>
    </row>
    <row r="100" spans="1:16">
      <c r="A100">
        <v>23</v>
      </c>
      <c r="B100" s="16" t="s">
        <v>551</v>
      </c>
      <c r="C100">
        <v>75</v>
      </c>
      <c r="D100">
        <v>90</v>
      </c>
      <c r="E100">
        <v>65</v>
      </c>
      <c r="F100">
        <v>55</v>
      </c>
      <c r="G100">
        <f t="shared" si="16"/>
        <v>230</v>
      </c>
      <c r="H100">
        <f t="shared" si="15"/>
        <v>285</v>
      </c>
      <c r="I100">
        <f>(K100+1)*基本公式!$B$187*4/2</f>
        <v>40</v>
      </c>
      <c r="P100" t="s">
        <v>553</v>
      </c>
    </row>
    <row r="101" spans="1:16">
      <c r="A101">
        <v>24</v>
      </c>
      <c r="B101" s="16" t="s">
        <v>554</v>
      </c>
      <c r="C101">
        <v>75</v>
      </c>
      <c r="D101">
        <v>70</v>
      </c>
      <c r="E101">
        <v>85</v>
      </c>
      <c r="F101">
        <v>50</v>
      </c>
      <c r="G101">
        <f t="shared" si="16"/>
        <v>230</v>
      </c>
      <c r="H101">
        <f t="shared" si="15"/>
        <v>280</v>
      </c>
      <c r="I101">
        <f>(K101+1)*基本公式!$B$187*4/2</f>
        <v>40</v>
      </c>
      <c r="P101" t="s">
        <v>555</v>
      </c>
    </row>
    <row r="102" spans="1:16">
      <c r="A102">
        <v>25</v>
      </c>
      <c r="B102" s="16" t="s">
        <v>556</v>
      </c>
      <c r="C102">
        <v>75</v>
      </c>
      <c r="D102">
        <v>65</v>
      </c>
      <c r="E102">
        <v>85</v>
      </c>
      <c r="F102">
        <v>65</v>
      </c>
      <c r="G102">
        <f t="shared" si="16"/>
        <v>225</v>
      </c>
      <c r="H102">
        <f t="shared" si="15"/>
        <v>290</v>
      </c>
      <c r="I102">
        <f>(K102+1)*基本公式!$B$187*4/2</f>
        <v>40</v>
      </c>
      <c r="P102" t="s">
        <v>557</v>
      </c>
    </row>
    <row r="103" spans="1:16">
      <c r="A103">
        <v>26</v>
      </c>
      <c r="B103" s="16" t="s">
        <v>558</v>
      </c>
      <c r="C103">
        <v>85</v>
      </c>
      <c r="D103">
        <v>75</v>
      </c>
      <c r="E103">
        <v>60</v>
      </c>
      <c r="F103">
        <v>70</v>
      </c>
      <c r="G103">
        <f t="shared" si="16"/>
        <v>220</v>
      </c>
      <c r="H103">
        <f t="shared" si="15"/>
        <v>290</v>
      </c>
      <c r="I103">
        <f>(K103+1)*基本公式!$B$187*4/2</f>
        <v>40</v>
      </c>
      <c r="P103" t="s">
        <v>559</v>
      </c>
    </row>
    <row r="104" spans="1:16">
      <c r="A104">
        <v>27</v>
      </c>
      <c r="B104" s="16" t="s">
        <v>560</v>
      </c>
      <c r="C104">
        <v>80</v>
      </c>
      <c r="D104">
        <v>80</v>
      </c>
      <c r="E104">
        <v>65</v>
      </c>
      <c r="F104">
        <v>65</v>
      </c>
      <c r="G104">
        <f t="shared" si="16"/>
        <v>225</v>
      </c>
      <c r="H104">
        <f t="shared" si="15"/>
        <v>290</v>
      </c>
      <c r="I104">
        <f>(K104+1)*基本公式!$B$187*4/2</f>
        <v>40</v>
      </c>
      <c r="P104" t="s">
        <v>561</v>
      </c>
    </row>
    <row r="105" spans="1:16">
      <c r="A105">
        <v>28</v>
      </c>
      <c r="B105" s="16" t="s">
        <v>562</v>
      </c>
      <c r="C105">
        <v>80</v>
      </c>
      <c r="D105">
        <v>70</v>
      </c>
      <c r="E105">
        <v>80</v>
      </c>
      <c r="F105">
        <v>65</v>
      </c>
      <c r="G105">
        <f t="shared" si="16"/>
        <v>230</v>
      </c>
      <c r="H105">
        <f t="shared" si="15"/>
        <v>295</v>
      </c>
      <c r="I105">
        <f>(K105+1)*基本公式!$B$187*4/2</f>
        <v>40</v>
      </c>
      <c r="P105" t="s">
        <v>563</v>
      </c>
    </row>
    <row r="106" spans="1:16">
      <c r="A106">
        <v>29</v>
      </c>
      <c r="B106" s="16" t="s">
        <v>564</v>
      </c>
      <c r="C106">
        <v>65</v>
      </c>
      <c r="D106">
        <v>75</v>
      </c>
      <c r="E106">
        <v>80</v>
      </c>
      <c r="F106">
        <v>75</v>
      </c>
      <c r="G106">
        <f t="shared" si="16"/>
        <v>220</v>
      </c>
      <c r="H106">
        <f t="shared" si="15"/>
        <v>295</v>
      </c>
      <c r="I106">
        <f>(K106+1)*基本公式!$B$187*4/2</f>
        <v>40</v>
      </c>
      <c r="P106" t="s">
        <v>565</v>
      </c>
    </row>
    <row r="107" spans="1:16">
      <c r="A107">
        <v>30</v>
      </c>
      <c r="B107" s="16" t="s">
        <v>566</v>
      </c>
      <c r="C107">
        <v>85</v>
      </c>
      <c r="D107">
        <v>80</v>
      </c>
      <c r="E107">
        <v>65</v>
      </c>
      <c r="F107">
        <v>65</v>
      </c>
      <c r="G107">
        <f t="shared" si="16"/>
        <v>230</v>
      </c>
      <c r="H107">
        <f t="shared" si="15"/>
        <v>295</v>
      </c>
      <c r="I107">
        <f>(K107+1)*基本公式!$B$187*4/2</f>
        <v>40</v>
      </c>
      <c r="P107" t="s">
        <v>567</v>
      </c>
    </row>
    <row r="108" spans="1:16">
      <c r="A108">
        <v>31</v>
      </c>
      <c r="B108" s="16" t="s">
        <v>568</v>
      </c>
      <c r="C108">
        <v>70</v>
      </c>
      <c r="D108">
        <v>85</v>
      </c>
      <c r="E108">
        <v>70</v>
      </c>
      <c r="F108">
        <v>70</v>
      </c>
      <c r="G108">
        <f t="shared" si="16"/>
        <v>225</v>
      </c>
      <c r="H108">
        <f t="shared" si="15"/>
        <v>295</v>
      </c>
      <c r="I108">
        <f>(K108+1)*基本公式!$B$187*4/2</f>
        <v>40</v>
      </c>
      <c r="P108" t="s">
        <v>569</v>
      </c>
    </row>
    <row r="109" spans="1:16">
      <c r="A109">
        <v>32</v>
      </c>
      <c r="B109" s="16" t="s">
        <v>570</v>
      </c>
      <c r="C109">
        <v>75</v>
      </c>
      <c r="D109">
        <v>85</v>
      </c>
      <c r="E109">
        <v>85</v>
      </c>
      <c r="F109">
        <v>50</v>
      </c>
      <c r="G109">
        <f t="shared" si="16"/>
        <v>245</v>
      </c>
      <c r="H109">
        <f t="shared" si="15"/>
        <v>295</v>
      </c>
      <c r="I109">
        <f>(K109+1)*基本公式!$B$187*4/2</f>
        <v>40</v>
      </c>
      <c r="P109" t="s">
        <v>571</v>
      </c>
    </row>
    <row r="110" spans="1:16">
      <c r="A110">
        <v>33</v>
      </c>
      <c r="B110" s="16" t="s">
        <v>572</v>
      </c>
      <c r="C110">
        <v>90</v>
      </c>
      <c r="D110">
        <v>65</v>
      </c>
      <c r="E110">
        <v>70</v>
      </c>
      <c r="F110">
        <v>75</v>
      </c>
      <c r="G110">
        <f t="shared" si="16"/>
        <v>225</v>
      </c>
      <c r="H110">
        <f t="shared" si="15"/>
        <v>300</v>
      </c>
      <c r="I110">
        <f>(K110+1)*基本公式!$B$187*4/2</f>
        <v>40</v>
      </c>
      <c r="P110" t="s">
        <v>573</v>
      </c>
    </row>
    <row r="111" spans="1:16">
      <c r="A111">
        <v>34</v>
      </c>
      <c r="B111" s="16" t="s">
        <v>574</v>
      </c>
      <c r="C111">
        <v>95</v>
      </c>
      <c r="D111">
        <v>70</v>
      </c>
      <c r="E111">
        <v>80</v>
      </c>
      <c r="F111">
        <v>55</v>
      </c>
      <c r="G111">
        <f t="shared" si="16"/>
        <v>245</v>
      </c>
      <c r="H111">
        <f t="shared" si="15"/>
        <v>300</v>
      </c>
      <c r="I111">
        <f>(K111+1)*基本公式!$B$187*4/2</f>
        <v>40</v>
      </c>
      <c r="P111" t="s">
        <v>576</v>
      </c>
    </row>
    <row r="112" spans="1:16">
      <c r="A112">
        <v>35</v>
      </c>
      <c r="B112" s="16" t="s">
        <v>577</v>
      </c>
      <c r="C112">
        <v>75</v>
      </c>
      <c r="D112">
        <v>95</v>
      </c>
      <c r="E112">
        <v>60</v>
      </c>
      <c r="F112">
        <v>70</v>
      </c>
      <c r="G112">
        <f t="shared" si="16"/>
        <v>230</v>
      </c>
      <c r="H112">
        <f t="shared" si="15"/>
        <v>300</v>
      </c>
      <c r="I112">
        <f>(K112+1)*基本公式!$B$187*4/2</f>
        <v>40</v>
      </c>
      <c r="P112" t="s">
        <v>578</v>
      </c>
    </row>
    <row r="113" spans="1:16">
      <c r="A113">
        <v>36</v>
      </c>
      <c r="B113" s="16" t="s">
        <v>579</v>
      </c>
      <c r="C113">
        <v>70</v>
      </c>
      <c r="D113">
        <v>95</v>
      </c>
      <c r="E113">
        <v>70</v>
      </c>
      <c r="F113">
        <v>65</v>
      </c>
      <c r="G113">
        <f t="shared" si="16"/>
        <v>235</v>
      </c>
      <c r="H113">
        <f t="shared" si="15"/>
        <v>300</v>
      </c>
      <c r="I113">
        <f>(K113+1)*基本公式!$B$187*4/2</f>
        <v>40</v>
      </c>
      <c r="P113" t="s">
        <v>580</v>
      </c>
    </row>
    <row r="114" spans="1:16">
      <c r="A114">
        <v>37</v>
      </c>
      <c r="B114" s="16" t="s">
        <v>581</v>
      </c>
      <c r="C114">
        <v>95</v>
      </c>
      <c r="D114">
        <v>75</v>
      </c>
      <c r="E114">
        <v>70</v>
      </c>
      <c r="F114">
        <v>65</v>
      </c>
      <c r="G114">
        <f t="shared" si="16"/>
        <v>240</v>
      </c>
      <c r="H114">
        <f t="shared" si="15"/>
        <v>305</v>
      </c>
      <c r="I114">
        <f>(K114+1)*基本公式!$B$187*4/2</f>
        <v>40</v>
      </c>
      <c r="P114" t="s">
        <v>582</v>
      </c>
    </row>
    <row r="115" spans="1:16">
      <c r="A115">
        <v>38</v>
      </c>
      <c r="B115" s="16" t="s">
        <v>583</v>
      </c>
      <c r="C115">
        <v>90</v>
      </c>
      <c r="D115">
        <v>60</v>
      </c>
      <c r="E115">
        <v>65</v>
      </c>
      <c r="F115">
        <v>90</v>
      </c>
      <c r="G115">
        <f t="shared" si="16"/>
        <v>215</v>
      </c>
      <c r="H115">
        <f t="shared" si="15"/>
        <v>305</v>
      </c>
      <c r="I115">
        <f>(K115+1)*基本公式!$B$187*4/2</f>
        <v>40</v>
      </c>
      <c r="P115" t="s">
        <v>584</v>
      </c>
    </row>
    <row r="116" spans="1:16">
      <c r="A116">
        <v>39</v>
      </c>
      <c r="B116" s="16" t="s">
        <v>533</v>
      </c>
      <c r="C116">
        <v>95</v>
      </c>
      <c r="D116">
        <v>85</v>
      </c>
      <c r="E116">
        <v>70</v>
      </c>
      <c r="F116">
        <v>55</v>
      </c>
      <c r="G116">
        <f t="shared" si="16"/>
        <v>250</v>
      </c>
      <c r="H116">
        <f t="shared" si="15"/>
        <v>305</v>
      </c>
      <c r="I116">
        <f>(K116+1)*基本公式!$B$187*4/2</f>
        <v>40</v>
      </c>
      <c r="P116" t="s">
        <v>576</v>
      </c>
    </row>
    <row r="117" spans="1:16">
      <c r="A117">
        <v>40</v>
      </c>
      <c r="B117" s="16" t="s">
        <v>585</v>
      </c>
      <c r="C117">
        <v>75</v>
      </c>
      <c r="D117">
        <v>80</v>
      </c>
      <c r="E117">
        <v>90</v>
      </c>
      <c r="F117">
        <v>60</v>
      </c>
      <c r="G117">
        <f t="shared" si="16"/>
        <v>245</v>
      </c>
      <c r="H117">
        <f t="shared" si="15"/>
        <v>305</v>
      </c>
      <c r="I117">
        <f>(K117+1)*基本公式!$B$187*4/2</f>
        <v>40</v>
      </c>
      <c r="P117" t="s">
        <v>575</v>
      </c>
    </row>
    <row r="118" spans="1:16">
      <c r="A118">
        <v>41</v>
      </c>
      <c r="B118" s="16" t="s">
        <v>586</v>
      </c>
      <c r="C118">
        <v>90</v>
      </c>
      <c r="D118">
        <v>70</v>
      </c>
      <c r="E118">
        <v>80</v>
      </c>
      <c r="F118">
        <v>70</v>
      </c>
      <c r="G118">
        <f t="shared" si="16"/>
        <v>240</v>
      </c>
      <c r="H118">
        <f t="shared" si="15"/>
        <v>310</v>
      </c>
      <c r="I118">
        <f>(K118+1)*基本公式!$B$187*4/2</f>
        <v>40</v>
      </c>
      <c r="P118" t="s">
        <v>587</v>
      </c>
    </row>
    <row r="119" spans="1:16">
      <c r="A119">
        <v>42</v>
      </c>
      <c r="B119" s="16" t="s">
        <v>513</v>
      </c>
      <c r="C119" s="16">
        <v>80</v>
      </c>
      <c r="D119" s="16">
        <v>40</v>
      </c>
      <c r="E119" s="16">
        <v>100</v>
      </c>
      <c r="F119" s="16">
        <v>70</v>
      </c>
      <c r="G119">
        <f t="shared" si="16"/>
        <v>220</v>
      </c>
      <c r="H119">
        <f t="shared" si="15"/>
        <v>290</v>
      </c>
      <c r="I119">
        <f>(K119+1)*基本公式!$B$187*4/2</f>
        <v>40</v>
      </c>
    </row>
    <row r="120" spans="1:16">
      <c r="A120">
        <v>43</v>
      </c>
      <c r="B120" s="16" t="s">
        <v>499</v>
      </c>
      <c r="C120">
        <v>40</v>
      </c>
      <c r="D120">
        <v>30</v>
      </c>
      <c r="E120">
        <v>90</v>
      </c>
      <c r="F120">
        <v>75</v>
      </c>
      <c r="G120">
        <f t="shared" si="16"/>
        <v>160</v>
      </c>
      <c r="H120">
        <f t="shared" si="15"/>
        <v>235</v>
      </c>
      <c r="I120">
        <f>(K120+1)*基本公式!$B$187*4/2</f>
        <v>40</v>
      </c>
      <c r="M120" t="s">
        <v>501</v>
      </c>
    </row>
    <row r="121" spans="1:16" s="8" customFormat="1">
      <c r="B121" s="8" t="s">
        <v>588</v>
      </c>
    </row>
    <row r="122" spans="1:16">
      <c r="A122">
        <v>1</v>
      </c>
      <c r="B122" s="16" t="s">
        <v>779</v>
      </c>
      <c r="C122">
        <v>75</v>
      </c>
      <c r="D122">
        <v>85</v>
      </c>
      <c r="E122">
        <v>50</v>
      </c>
      <c r="F122">
        <v>50</v>
      </c>
      <c r="G122">
        <f t="shared" ref="G122:H180" si="17">SUM(B122:E122)</f>
        <v>210</v>
      </c>
      <c r="H122">
        <f t="shared" si="17"/>
        <v>260</v>
      </c>
      <c r="I122">
        <f>(K122+1)*基本公式!$B$187*4/2</f>
        <v>40</v>
      </c>
      <c r="P122" t="s">
        <v>780</v>
      </c>
    </row>
    <row r="123" spans="1:16">
      <c r="A123">
        <v>2</v>
      </c>
      <c r="B123" s="16" t="s">
        <v>721</v>
      </c>
      <c r="C123">
        <v>55</v>
      </c>
      <c r="D123">
        <v>60</v>
      </c>
      <c r="E123">
        <v>35</v>
      </c>
      <c r="F123">
        <v>40</v>
      </c>
      <c r="G123">
        <f t="shared" ref="G123:G180" si="18">SUM(C123:E123)</f>
        <v>150</v>
      </c>
      <c r="H123">
        <f t="shared" si="17"/>
        <v>190</v>
      </c>
      <c r="I123">
        <f>(K123+1)*基本公式!$B$187*4/2</f>
        <v>40</v>
      </c>
    </row>
    <row r="124" spans="1:16">
      <c r="A124">
        <v>3</v>
      </c>
      <c r="B124" s="16" t="s">
        <v>719</v>
      </c>
      <c r="C124">
        <v>60</v>
      </c>
      <c r="D124">
        <v>65</v>
      </c>
      <c r="E124">
        <v>30</v>
      </c>
      <c r="F124">
        <v>35</v>
      </c>
      <c r="G124">
        <f t="shared" si="18"/>
        <v>155</v>
      </c>
      <c r="H124">
        <f t="shared" si="17"/>
        <v>190</v>
      </c>
      <c r="I124">
        <f>(K124+1)*基本公式!$B$187*4/2</f>
        <v>40</v>
      </c>
      <c r="P124" t="s">
        <v>720</v>
      </c>
    </row>
    <row r="125" spans="1:16">
      <c r="A125">
        <v>4</v>
      </c>
      <c r="B125" s="16" t="s">
        <v>722</v>
      </c>
      <c r="C125">
        <v>45</v>
      </c>
      <c r="D125">
        <v>55</v>
      </c>
      <c r="E125">
        <v>35</v>
      </c>
      <c r="F125">
        <v>40</v>
      </c>
      <c r="G125">
        <f t="shared" si="18"/>
        <v>135</v>
      </c>
      <c r="H125">
        <f t="shared" si="17"/>
        <v>175</v>
      </c>
      <c r="I125">
        <f>(K125+1)*基本公式!$B$187*4/2</f>
        <v>40</v>
      </c>
    </row>
    <row r="126" spans="1:16">
      <c r="A126">
        <v>5</v>
      </c>
      <c r="B126" s="16" t="s">
        <v>628</v>
      </c>
      <c r="C126">
        <v>65</v>
      </c>
      <c r="D126">
        <v>75</v>
      </c>
      <c r="E126">
        <v>40</v>
      </c>
      <c r="F126">
        <v>45</v>
      </c>
      <c r="G126">
        <f t="shared" si="18"/>
        <v>180</v>
      </c>
      <c r="H126">
        <f t="shared" si="17"/>
        <v>225</v>
      </c>
      <c r="I126">
        <f>(K126+1)*基本公式!$B$187*4/2</f>
        <v>40</v>
      </c>
    </row>
    <row r="127" spans="1:16">
      <c r="A127">
        <v>7</v>
      </c>
      <c r="B127" s="16" t="s">
        <v>319</v>
      </c>
      <c r="C127">
        <v>110</v>
      </c>
      <c r="D127">
        <v>50</v>
      </c>
      <c r="E127">
        <v>95</v>
      </c>
      <c r="F127">
        <v>90</v>
      </c>
      <c r="G127">
        <f t="shared" si="18"/>
        <v>255</v>
      </c>
      <c r="H127">
        <f t="shared" si="17"/>
        <v>345</v>
      </c>
      <c r="I127">
        <f>(K127+1)*基本公式!$B$187*4/2</f>
        <v>40</v>
      </c>
      <c r="P127" t="s">
        <v>624</v>
      </c>
    </row>
    <row r="128" spans="1:16">
      <c r="A128">
        <v>8</v>
      </c>
      <c r="B128" s="16" t="s">
        <v>631</v>
      </c>
      <c r="C128">
        <v>65</v>
      </c>
      <c r="D128">
        <v>65</v>
      </c>
      <c r="E128">
        <v>50</v>
      </c>
      <c r="F128">
        <v>40</v>
      </c>
      <c r="G128">
        <f t="shared" si="18"/>
        <v>180</v>
      </c>
      <c r="H128">
        <f t="shared" si="17"/>
        <v>220</v>
      </c>
      <c r="I128">
        <f>(K128+1)*基本公式!$B$187*4/2</f>
        <v>40</v>
      </c>
    </row>
    <row r="129" spans="1:16">
      <c r="A129">
        <v>10</v>
      </c>
      <c r="B129" s="16" t="s">
        <v>316</v>
      </c>
      <c r="C129">
        <v>70</v>
      </c>
      <c r="D129">
        <v>85</v>
      </c>
      <c r="E129">
        <v>35</v>
      </c>
      <c r="F129">
        <v>45</v>
      </c>
      <c r="G129">
        <f t="shared" si="18"/>
        <v>190</v>
      </c>
      <c r="H129">
        <f t="shared" si="17"/>
        <v>235</v>
      </c>
      <c r="I129">
        <f>(K129+1)*基本公式!$B$187*4/2</f>
        <v>40</v>
      </c>
      <c r="P129" t="s">
        <v>627</v>
      </c>
    </row>
    <row r="130" spans="1:16">
      <c r="A130">
        <v>11</v>
      </c>
      <c r="B130" s="16" t="s">
        <v>629</v>
      </c>
      <c r="C130">
        <v>60</v>
      </c>
      <c r="D130">
        <v>55</v>
      </c>
      <c r="E130">
        <v>80</v>
      </c>
      <c r="F130">
        <v>75</v>
      </c>
      <c r="G130">
        <f t="shared" si="18"/>
        <v>195</v>
      </c>
      <c r="H130">
        <f t="shared" si="17"/>
        <v>270</v>
      </c>
      <c r="I130">
        <f>(K130+1)*基本公式!$B$187*4/2</f>
        <v>40</v>
      </c>
    </row>
    <row r="131" spans="1:16">
      <c r="A131">
        <v>12</v>
      </c>
      <c r="B131" s="16" t="s">
        <v>625</v>
      </c>
      <c r="C131">
        <v>85</v>
      </c>
      <c r="D131">
        <v>75</v>
      </c>
      <c r="E131">
        <v>30</v>
      </c>
      <c r="F131">
        <v>60</v>
      </c>
      <c r="G131">
        <f t="shared" si="18"/>
        <v>190</v>
      </c>
      <c r="H131">
        <f t="shared" si="17"/>
        <v>250</v>
      </c>
      <c r="I131">
        <f>(K131+1)*基本公式!$B$187*4/2</f>
        <v>40</v>
      </c>
      <c r="P131" t="s">
        <v>626</v>
      </c>
    </row>
    <row r="132" spans="1:16">
      <c r="A132">
        <v>13</v>
      </c>
      <c r="B132" s="16" t="s">
        <v>634</v>
      </c>
      <c r="C132">
        <v>50</v>
      </c>
      <c r="D132">
        <v>45</v>
      </c>
      <c r="E132">
        <v>70</v>
      </c>
      <c r="F132">
        <v>65</v>
      </c>
      <c r="G132">
        <f t="shared" si="18"/>
        <v>165</v>
      </c>
      <c r="H132">
        <f t="shared" si="17"/>
        <v>230</v>
      </c>
      <c r="I132">
        <f>(K132+1)*基本公式!$B$187*4/2</f>
        <v>40</v>
      </c>
    </row>
    <row r="133" spans="1:16">
      <c r="A133">
        <v>14</v>
      </c>
      <c r="B133" s="16" t="s">
        <v>632</v>
      </c>
      <c r="C133">
        <v>70</v>
      </c>
      <c r="D133">
        <v>70</v>
      </c>
      <c r="E133">
        <v>45</v>
      </c>
      <c r="F133">
        <v>50</v>
      </c>
      <c r="G133">
        <f t="shared" si="18"/>
        <v>185</v>
      </c>
      <c r="H133">
        <f t="shared" si="17"/>
        <v>235</v>
      </c>
      <c r="I133">
        <f>(K133+1)*基本公式!$B$187*4/2</f>
        <v>40</v>
      </c>
    </row>
    <row r="134" spans="1:16">
      <c r="A134">
        <v>15</v>
      </c>
      <c r="B134" s="16" t="s">
        <v>633</v>
      </c>
      <c r="C134">
        <v>70</v>
      </c>
      <c r="D134">
        <v>85</v>
      </c>
      <c r="E134">
        <v>30</v>
      </c>
      <c r="F134">
        <v>45</v>
      </c>
      <c r="G134">
        <f t="shared" si="18"/>
        <v>185</v>
      </c>
      <c r="H134">
        <f t="shared" si="17"/>
        <v>230</v>
      </c>
      <c r="I134">
        <f>(K134+1)*基本公式!$B$187*4/2</f>
        <v>40</v>
      </c>
    </row>
    <row r="135" spans="1:16">
      <c r="A135">
        <v>16</v>
      </c>
      <c r="B135" s="16" t="s">
        <v>630</v>
      </c>
      <c r="C135">
        <v>30</v>
      </c>
      <c r="D135">
        <v>30</v>
      </c>
      <c r="E135">
        <v>70</v>
      </c>
      <c r="F135">
        <v>75</v>
      </c>
      <c r="G135">
        <f t="shared" si="18"/>
        <v>130</v>
      </c>
      <c r="H135">
        <f t="shared" si="17"/>
        <v>205</v>
      </c>
      <c r="I135">
        <f>(K135+1)*基本公式!$B$187*4/2</f>
        <v>40</v>
      </c>
    </row>
    <row r="136" spans="1:16">
      <c r="A136">
        <v>18</v>
      </c>
      <c r="B136" s="16" t="s">
        <v>314</v>
      </c>
      <c r="C136">
        <v>60</v>
      </c>
      <c r="D136">
        <v>35</v>
      </c>
      <c r="E136">
        <v>55</v>
      </c>
      <c r="F136">
        <v>90</v>
      </c>
      <c r="G136">
        <f t="shared" si="18"/>
        <v>150</v>
      </c>
      <c r="H136">
        <f t="shared" si="17"/>
        <v>240</v>
      </c>
      <c r="I136">
        <f>(K136+1)*基本公式!$B$187*4/2</f>
        <v>40</v>
      </c>
      <c r="P136" t="s">
        <v>639</v>
      </c>
    </row>
    <row r="137" spans="1:16">
      <c r="A137">
        <v>19</v>
      </c>
      <c r="B137" s="16" t="s">
        <v>326</v>
      </c>
      <c r="C137">
        <v>40</v>
      </c>
      <c r="D137">
        <v>35</v>
      </c>
      <c r="E137">
        <v>70</v>
      </c>
      <c r="F137">
        <v>65</v>
      </c>
      <c r="G137">
        <f t="shared" si="18"/>
        <v>145</v>
      </c>
      <c r="H137">
        <f t="shared" si="17"/>
        <v>210</v>
      </c>
      <c r="I137">
        <f>(K137+1)*基本公式!$B$187*4/2</f>
        <v>40</v>
      </c>
      <c r="P137" t="s">
        <v>327</v>
      </c>
    </row>
    <row r="138" spans="1:16">
      <c r="A138">
        <v>20</v>
      </c>
      <c r="B138" s="16" t="s">
        <v>703</v>
      </c>
      <c r="C138">
        <v>75</v>
      </c>
      <c r="D138">
        <v>75</v>
      </c>
      <c r="E138">
        <v>65</v>
      </c>
      <c r="F138">
        <v>65</v>
      </c>
      <c r="G138">
        <f t="shared" si="18"/>
        <v>215</v>
      </c>
      <c r="H138">
        <f t="shared" si="17"/>
        <v>280</v>
      </c>
      <c r="I138">
        <f>(K138+1)*基本公式!$B$187*4/2</f>
        <v>40</v>
      </c>
      <c r="P138" t="s">
        <v>704</v>
      </c>
    </row>
    <row r="139" spans="1:16">
      <c r="A139">
        <v>21</v>
      </c>
      <c r="B139" s="16" t="s">
        <v>705</v>
      </c>
      <c r="C139">
        <v>40</v>
      </c>
      <c r="D139">
        <v>35</v>
      </c>
      <c r="E139">
        <v>75</v>
      </c>
      <c r="F139">
        <v>80</v>
      </c>
      <c r="G139">
        <f t="shared" si="18"/>
        <v>150</v>
      </c>
      <c r="H139">
        <f t="shared" si="17"/>
        <v>230</v>
      </c>
      <c r="I139">
        <f>(K139+1)*基本公式!$B$187*4/2</f>
        <v>40</v>
      </c>
      <c r="P139" t="s">
        <v>706</v>
      </c>
    </row>
    <row r="140" spans="1:16">
      <c r="A140">
        <v>22</v>
      </c>
      <c r="B140" s="16" t="s">
        <v>740</v>
      </c>
      <c r="C140">
        <v>60</v>
      </c>
      <c r="D140">
        <v>65</v>
      </c>
      <c r="E140">
        <v>30</v>
      </c>
      <c r="F140">
        <v>30</v>
      </c>
      <c r="G140">
        <f t="shared" si="18"/>
        <v>155</v>
      </c>
      <c r="H140">
        <f t="shared" si="17"/>
        <v>185</v>
      </c>
      <c r="I140">
        <f>(K140+1)*基本公式!$B$187*4/2</f>
        <v>40</v>
      </c>
      <c r="P140" t="s">
        <v>741</v>
      </c>
    </row>
    <row r="141" spans="1:16">
      <c r="A141">
        <v>23</v>
      </c>
      <c r="B141" s="16" t="s">
        <v>768</v>
      </c>
      <c r="C141">
        <v>35</v>
      </c>
      <c r="D141">
        <v>30</v>
      </c>
      <c r="E141">
        <v>70</v>
      </c>
      <c r="F141">
        <v>40</v>
      </c>
      <c r="G141">
        <f t="shared" si="18"/>
        <v>135</v>
      </c>
      <c r="H141">
        <f t="shared" si="17"/>
        <v>175</v>
      </c>
      <c r="I141">
        <f>(K141+1)*基本公式!$B$187*4/2</f>
        <v>40</v>
      </c>
    </row>
    <row r="142" spans="1:16">
      <c r="A142">
        <v>24</v>
      </c>
      <c r="B142" s="16" t="s">
        <v>767</v>
      </c>
      <c r="C142">
        <v>60</v>
      </c>
      <c r="D142">
        <v>65</v>
      </c>
      <c r="E142">
        <v>35</v>
      </c>
      <c r="F142">
        <v>40</v>
      </c>
      <c r="G142">
        <f t="shared" si="18"/>
        <v>160</v>
      </c>
      <c r="H142">
        <f t="shared" si="17"/>
        <v>200</v>
      </c>
      <c r="I142">
        <f>(K142+1)*基本公式!$B$187*4/2</f>
        <v>40</v>
      </c>
    </row>
    <row r="143" spans="1:16">
      <c r="A143">
        <v>25</v>
      </c>
      <c r="B143" s="16" t="s">
        <v>670</v>
      </c>
      <c r="C143">
        <v>75</v>
      </c>
      <c r="D143">
        <v>85</v>
      </c>
      <c r="E143">
        <v>70</v>
      </c>
      <c r="F143">
        <v>70</v>
      </c>
      <c r="G143">
        <f t="shared" si="18"/>
        <v>230</v>
      </c>
      <c r="H143">
        <f t="shared" si="17"/>
        <v>300</v>
      </c>
      <c r="I143">
        <f>(K143+1)*基本公式!$B$187*4/2</f>
        <v>40</v>
      </c>
    </row>
    <row r="144" spans="1:16">
      <c r="A144">
        <v>26</v>
      </c>
      <c r="B144" s="16" t="s">
        <v>756</v>
      </c>
      <c r="C144">
        <v>60</v>
      </c>
      <c r="D144">
        <v>105</v>
      </c>
      <c r="E144">
        <v>30</v>
      </c>
      <c r="F144">
        <v>40</v>
      </c>
      <c r="G144">
        <f t="shared" si="18"/>
        <v>195</v>
      </c>
      <c r="H144">
        <f t="shared" si="17"/>
        <v>235</v>
      </c>
      <c r="I144">
        <f>(K144+1)*基本公式!$B$187*4/2</f>
        <v>40</v>
      </c>
      <c r="P144" t="s">
        <v>757</v>
      </c>
    </row>
    <row r="145" spans="1:16">
      <c r="A145">
        <v>27</v>
      </c>
      <c r="B145" s="16" t="s">
        <v>769</v>
      </c>
      <c r="C145">
        <v>30</v>
      </c>
      <c r="D145">
        <v>30</v>
      </c>
      <c r="E145">
        <v>65</v>
      </c>
      <c r="F145">
        <v>70</v>
      </c>
      <c r="G145">
        <f t="shared" si="18"/>
        <v>125</v>
      </c>
      <c r="H145">
        <f t="shared" si="17"/>
        <v>195</v>
      </c>
      <c r="I145">
        <f>(K145+1)*基本公式!$B$187*4/2</f>
        <v>40</v>
      </c>
      <c r="P145" t="s">
        <v>770</v>
      </c>
    </row>
    <row r="146" spans="1:16">
      <c r="A146">
        <v>28</v>
      </c>
      <c r="B146" s="16" t="s">
        <v>679</v>
      </c>
      <c r="C146">
        <v>65</v>
      </c>
      <c r="D146">
        <v>70</v>
      </c>
      <c r="E146">
        <v>40</v>
      </c>
      <c r="F146">
        <v>45</v>
      </c>
      <c r="G146">
        <f t="shared" si="18"/>
        <v>175</v>
      </c>
      <c r="H146">
        <f t="shared" si="17"/>
        <v>220</v>
      </c>
      <c r="I146">
        <f>(K146+1)*基本公式!$B$187*4/2</f>
        <v>40</v>
      </c>
    </row>
    <row r="147" spans="1:16">
      <c r="A147">
        <v>29</v>
      </c>
      <c r="B147" s="16" t="s">
        <v>680</v>
      </c>
      <c r="C147">
        <v>50</v>
      </c>
      <c r="D147">
        <v>45</v>
      </c>
      <c r="E147">
        <v>65</v>
      </c>
      <c r="F147">
        <v>60</v>
      </c>
      <c r="G147">
        <f t="shared" si="18"/>
        <v>160</v>
      </c>
      <c r="H147">
        <f t="shared" si="17"/>
        <v>220</v>
      </c>
      <c r="I147">
        <f>(K147+1)*基本公式!$B$187*4/2</f>
        <v>40</v>
      </c>
      <c r="P147" t="s">
        <v>681</v>
      </c>
    </row>
    <row r="148" spans="1:16">
      <c r="A148">
        <v>30</v>
      </c>
      <c r="B148" s="16" t="s">
        <v>660</v>
      </c>
      <c r="C148">
        <v>55</v>
      </c>
      <c r="D148">
        <v>60</v>
      </c>
      <c r="E148">
        <v>70</v>
      </c>
      <c r="F148">
        <v>60</v>
      </c>
      <c r="G148">
        <f t="shared" si="18"/>
        <v>185</v>
      </c>
      <c r="H148">
        <f t="shared" si="17"/>
        <v>245</v>
      </c>
      <c r="I148">
        <f>(K148+1)*基本公式!$B$187*4/2</f>
        <v>40</v>
      </c>
      <c r="P148" t="s">
        <v>661</v>
      </c>
    </row>
    <row r="149" spans="1:16">
      <c r="A149">
        <v>31</v>
      </c>
      <c r="B149" s="16" t="s">
        <v>766</v>
      </c>
      <c r="C149">
        <v>60</v>
      </c>
      <c r="D149">
        <v>70</v>
      </c>
      <c r="E149">
        <v>40</v>
      </c>
      <c r="F149">
        <v>35</v>
      </c>
      <c r="G149">
        <f t="shared" si="18"/>
        <v>170</v>
      </c>
      <c r="H149">
        <f t="shared" si="17"/>
        <v>205</v>
      </c>
      <c r="I149">
        <f>(K149+1)*基本公式!$B$187*4/2</f>
        <v>40</v>
      </c>
    </row>
    <row r="150" spans="1:16">
      <c r="A150">
        <v>32</v>
      </c>
      <c r="B150" s="16" t="s">
        <v>748</v>
      </c>
      <c r="C150">
        <v>60</v>
      </c>
      <c r="D150">
        <v>45</v>
      </c>
      <c r="E150">
        <v>50</v>
      </c>
      <c r="F150">
        <v>80</v>
      </c>
      <c r="G150">
        <f t="shared" si="18"/>
        <v>155</v>
      </c>
      <c r="H150">
        <f t="shared" si="17"/>
        <v>235</v>
      </c>
      <c r="I150">
        <f>(K150+1)*基本公式!$B$187*4/2</f>
        <v>40</v>
      </c>
    </row>
    <row r="151" spans="1:16">
      <c r="A151">
        <v>33</v>
      </c>
      <c r="B151" s="16" t="s">
        <v>761</v>
      </c>
      <c r="C151">
        <v>75</v>
      </c>
      <c r="D151">
        <v>90</v>
      </c>
      <c r="E151">
        <v>30</v>
      </c>
      <c r="F151">
        <v>40</v>
      </c>
      <c r="G151">
        <f t="shared" si="18"/>
        <v>195</v>
      </c>
      <c r="H151">
        <f t="shared" si="17"/>
        <v>235</v>
      </c>
      <c r="I151">
        <f>(K151+1)*基本公式!$B$187*4/2</f>
        <v>40</v>
      </c>
    </row>
    <row r="152" spans="1:16">
      <c r="A152">
        <v>34</v>
      </c>
      <c r="B152" s="16" t="s">
        <v>723</v>
      </c>
      <c r="C152">
        <v>70</v>
      </c>
      <c r="D152">
        <v>80</v>
      </c>
      <c r="E152">
        <v>30</v>
      </c>
      <c r="F152">
        <v>30</v>
      </c>
      <c r="G152">
        <f t="shared" si="18"/>
        <v>180</v>
      </c>
      <c r="H152">
        <f t="shared" si="17"/>
        <v>210</v>
      </c>
      <c r="I152">
        <f>(K152+1)*基本公式!$B$187*4/2</f>
        <v>40</v>
      </c>
    </row>
    <row r="153" spans="1:16">
      <c r="A153">
        <v>35</v>
      </c>
      <c r="B153" s="16" t="s">
        <v>707</v>
      </c>
      <c r="C153">
        <v>70</v>
      </c>
      <c r="D153">
        <v>70</v>
      </c>
      <c r="E153">
        <v>45</v>
      </c>
      <c r="F153">
        <v>50</v>
      </c>
      <c r="G153">
        <f t="shared" si="18"/>
        <v>185</v>
      </c>
      <c r="H153">
        <f t="shared" si="17"/>
        <v>235</v>
      </c>
      <c r="I153">
        <f>(K153+1)*基本公式!$B$187*4/2</f>
        <v>40</v>
      </c>
      <c r="P153" t="s">
        <v>708</v>
      </c>
    </row>
    <row r="154" spans="1:16">
      <c r="A154">
        <v>36</v>
      </c>
      <c r="B154" s="16" t="s">
        <v>712</v>
      </c>
      <c r="C154">
        <v>70</v>
      </c>
      <c r="D154">
        <v>75</v>
      </c>
      <c r="E154">
        <v>40</v>
      </c>
      <c r="F154">
        <v>50</v>
      </c>
      <c r="G154">
        <f t="shared" si="18"/>
        <v>185</v>
      </c>
      <c r="H154">
        <f t="shared" si="17"/>
        <v>235</v>
      </c>
      <c r="I154">
        <f>(K154+1)*基本公式!$B$187*4/2</f>
        <v>40</v>
      </c>
    </row>
    <row r="155" spans="1:16">
      <c r="A155">
        <v>37</v>
      </c>
      <c r="B155" s="16" t="s">
        <v>714</v>
      </c>
      <c r="C155">
        <v>75</v>
      </c>
      <c r="D155">
        <v>85</v>
      </c>
      <c r="E155">
        <v>45</v>
      </c>
      <c r="F155">
        <v>50</v>
      </c>
      <c r="G155">
        <f t="shared" si="18"/>
        <v>205</v>
      </c>
      <c r="H155">
        <f t="shared" si="17"/>
        <v>255</v>
      </c>
      <c r="I155">
        <f>(K155+1)*基本公式!$B$187*4/2</f>
        <v>40</v>
      </c>
    </row>
    <row r="156" spans="1:16">
      <c r="A156">
        <v>38</v>
      </c>
      <c r="B156" s="16" t="s">
        <v>713</v>
      </c>
      <c r="C156">
        <v>70</v>
      </c>
      <c r="D156">
        <v>75</v>
      </c>
      <c r="E156">
        <v>40</v>
      </c>
      <c r="F156">
        <v>45</v>
      </c>
      <c r="G156">
        <f t="shared" si="18"/>
        <v>185</v>
      </c>
      <c r="H156">
        <f t="shared" si="17"/>
        <v>230</v>
      </c>
      <c r="I156">
        <f>(K156+1)*基本公式!$B$187*4/2</f>
        <v>40</v>
      </c>
    </row>
    <row r="157" spans="1:16">
      <c r="A157">
        <v>40</v>
      </c>
      <c r="B157" s="16" t="s">
        <v>325</v>
      </c>
      <c r="C157">
        <v>105</v>
      </c>
      <c r="D157">
        <v>110</v>
      </c>
      <c r="E157">
        <v>40</v>
      </c>
      <c r="F157">
        <v>60</v>
      </c>
      <c r="G157">
        <f t="shared" si="18"/>
        <v>255</v>
      </c>
      <c r="H157">
        <f t="shared" si="17"/>
        <v>315</v>
      </c>
      <c r="I157">
        <f>(K157+1)*基本公式!$B$187*4/2</f>
        <v>40</v>
      </c>
      <c r="P157" t="s">
        <v>715</v>
      </c>
    </row>
    <row r="158" spans="1:16">
      <c r="A158">
        <v>41</v>
      </c>
      <c r="B158" s="16" t="s">
        <v>688</v>
      </c>
      <c r="C158">
        <v>40</v>
      </c>
      <c r="D158">
        <v>35</v>
      </c>
      <c r="E158">
        <v>75</v>
      </c>
      <c r="F158">
        <v>105</v>
      </c>
      <c r="G158">
        <f t="shared" si="18"/>
        <v>150</v>
      </c>
      <c r="H158">
        <f t="shared" si="17"/>
        <v>255</v>
      </c>
      <c r="I158">
        <f>(K158+1)*基本公式!$B$187*4/2</f>
        <v>40</v>
      </c>
      <c r="P158" t="s">
        <v>689</v>
      </c>
    </row>
    <row r="159" spans="1:16">
      <c r="A159">
        <v>42</v>
      </c>
      <c r="B159" s="16" t="s">
        <v>650</v>
      </c>
      <c r="C159">
        <v>75</v>
      </c>
      <c r="D159">
        <v>80</v>
      </c>
      <c r="E159">
        <v>40</v>
      </c>
      <c r="F159">
        <v>50</v>
      </c>
      <c r="G159">
        <f t="shared" si="18"/>
        <v>195</v>
      </c>
      <c r="H159">
        <f t="shared" si="17"/>
        <v>245</v>
      </c>
      <c r="I159">
        <f>(K159+1)*基本公式!$B$187*4/2</f>
        <v>40</v>
      </c>
      <c r="P159" t="s">
        <v>651</v>
      </c>
    </row>
    <row r="160" spans="1:16">
      <c r="A160">
        <v>43</v>
      </c>
      <c r="B160" s="16" t="s">
        <v>648</v>
      </c>
      <c r="C160">
        <v>65</v>
      </c>
      <c r="D160">
        <v>40</v>
      </c>
      <c r="E160">
        <v>70</v>
      </c>
      <c r="F160">
        <v>65</v>
      </c>
      <c r="G160">
        <f t="shared" si="18"/>
        <v>175</v>
      </c>
      <c r="H160">
        <f t="shared" si="17"/>
        <v>240</v>
      </c>
      <c r="I160">
        <f>(K160+1)*基本公式!$B$187*4/2</f>
        <v>40</v>
      </c>
      <c r="P160" t="s">
        <v>649</v>
      </c>
    </row>
    <row r="161" spans="1:16">
      <c r="A161">
        <v>44</v>
      </c>
      <c r="B161" s="16" t="s">
        <v>336</v>
      </c>
      <c r="C161">
        <v>65</v>
      </c>
      <c r="D161">
        <v>70</v>
      </c>
      <c r="E161">
        <v>40</v>
      </c>
      <c r="F161">
        <v>45</v>
      </c>
      <c r="G161">
        <f t="shared" si="18"/>
        <v>175</v>
      </c>
      <c r="H161">
        <f t="shared" si="17"/>
        <v>220</v>
      </c>
      <c r="I161">
        <f>(K161+1)*基本公式!$B$187*4/2</f>
        <v>40</v>
      </c>
      <c r="P161" t="s">
        <v>337</v>
      </c>
    </row>
    <row r="162" spans="1:16">
      <c r="A162">
        <v>46</v>
      </c>
      <c r="B162" s="16" t="s">
        <v>697</v>
      </c>
      <c r="C162">
        <v>60</v>
      </c>
      <c r="D162">
        <v>65</v>
      </c>
      <c r="E162">
        <v>45</v>
      </c>
      <c r="F162">
        <v>35</v>
      </c>
      <c r="G162">
        <f t="shared" si="18"/>
        <v>170</v>
      </c>
      <c r="H162">
        <f t="shared" si="17"/>
        <v>205</v>
      </c>
      <c r="I162">
        <f>(K162+1)*基本公式!$B$187*4/2</f>
        <v>40</v>
      </c>
      <c r="P162" t="s">
        <v>698</v>
      </c>
    </row>
    <row r="163" spans="1:16">
      <c r="A163">
        <v>47</v>
      </c>
      <c r="B163" s="16" t="s">
        <v>662</v>
      </c>
      <c r="C163">
        <v>65</v>
      </c>
      <c r="D163">
        <v>70</v>
      </c>
      <c r="E163">
        <v>40</v>
      </c>
      <c r="F163">
        <v>35</v>
      </c>
      <c r="G163">
        <f t="shared" si="18"/>
        <v>175</v>
      </c>
      <c r="H163">
        <f t="shared" si="17"/>
        <v>210</v>
      </c>
      <c r="I163">
        <f>(K163+1)*基本公式!$B$187*4/2</f>
        <v>40</v>
      </c>
    </row>
    <row r="164" spans="1:16">
      <c r="A164">
        <v>48</v>
      </c>
      <c r="B164" s="16" t="s">
        <v>663</v>
      </c>
      <c r="C164">
        <v>60</v>
      </c>
      <c r="D164">
        <v>70</v>
      </c>
      <c r="E164">
        <v>35</v>
      </c>
      <c r="F164">
        <v>40</v>
      </c>
      <c r="G164">
        <f t="shared" si="18"/>
        <v>165</v>
      </c>
      <c r="H164">
        <f t="shared" si="17"/>
        <v>205</v>
      </c>
      <c r="I164">
        <f>(K164+1)*基本公式!$B$187*4/2</f>
        <v>40</v>
      </c>
      <c r="P164" t="s">
        <v>664</v>
      </c>
    </row>
    <row r="165" spans="1:16">
      <c r="A165">
        <v>49</v>
      </c>
      <c r="B165" s="16" t="s">
        <v>733</v>
      </c>
      <c r="C165">
        <v>65</v>
      </c>
      <c r="D165">
        <v>95</v>
      </c>
      <c r="E165">
        <v>35</v>
      </c>
      <c r="F165">
        <v>30</v>
      </c>
      <c r="G165">
        <f t="shared" si="18"/>
        <v>195</v>
      </c>
      <c r="H165">
        <f t="shared" si="17"/>
        <v>225</v>
      </c>
      <c r="I165">
        <f>(K165+1)*基本公式!$B$187*4/2</f>
        <v>40</v>
      </c>
      <c r="P165" t="s">
        <v>734</v>
      </c>
    </row>
    <row r="166" spans="1:16">
      <c r="A166">
        <v>50</v>
      </c>
      <c r="B166" s="16" t="s">
        <v>738</v>
      </c>
      <c r="C166">
        <v>70</v>
      </c>
      <c r="D166">
        <v>70</v>
      </c>
      <c r="E166">
        <v>45</v>
      </c>
      <c r="F166">
        <v>40</v>
      </c>
      <c r="G166">
        <f t="shared" si="18"/>
        <v>185</v>
      </c>
      <c r="H166">
        <f t="shared" si="17"/>
        <v>225</v>
      </c>
      <c r="I166">
        <f>(K166+1)*基本公式!$B$187*4/2</f>
        <v>40</v>
      </c>
      <c r="P166" t="s">
        <v>739</v>
      </c>
    </row>
    <row r="167" spans="1:16">
      <c r="A167">
        <v>51</v>
      </c>
      <c r="B167" s="16" t="s">
        <v>684</v>
      </c>
      <c r="C167">
        <v>75</v>
      </c>
      <c r="D167">
        <v>75</v>
      </c>
      <c r="E167">
        <v>50</v>
      </c>
      <c r="F167">
        <v>65</v>
      </c>
      <c r="G167">
        <f t="shared" si="18"/>
        <v>200</v>
      </c>
      <c r="H167">
        <f t="shared" si="17"/>
        <v>265</v>
      </c>
      <c r="I167">
        <f>(K167+1)*基本公式!$B$187*4/2</f>
        <v>40</v>
      </c>
      <c r="P167" t="s">
        <v>685</v>
      </c>
    </row>
    <row r="168" spans="1:16">
      <c r="A168">
        <v>52</v>
      </c>
      <c r="B168" s="16" t="s">
        <v>683</v>
      </c>
      <c r="C168">
        <v>45</v>
      </c>
      <c r="D168">
        <v>30</v>
      </c>
      <c r="E168">
        <v>80</v>
      </c>
      <c r="F168">
        <v>75</v>
      </c>
      <c r="G168">
        <f t="shared" si="18"/>
        <v>155</v>
      </c>
      <c r="H168">
        <f t="shared" si="17"/>
        <v>230</v>
      </c>
      <c r="I168">
        <f>(K168+1)*基本公式!$B$187*4/2</f>
        <v>40</v>
      </c>
    </row>
    <row r="169" spans="1:16">
      <c r="A169">
        <v>53</v>
      </c>
      <c r="B169" s="16" t="s">
        <v>682</v>
      </c>
      <c r="C169">
        <v>80</v>
      </c>
      <c r="D169">
        <v>95</v>
      </c>
      <c r="E169">
        <v>40</v>
      </c>
      <c r="F169">
        <v>65</v>
      </c>
      <c r="G169">
        <f t="shared" si="18"/>
        <v>215</v>
      </c>
      <c r="H169">
        <f t="shared" si="17"/>
        <v>280</v>
      </c>
      <c r="I169">
        <f>(K169+1)*基本公式!$B$187*4/2</f>
        <v>40</v>
      </c>
    </row>
    <row r="170" spans="1:16">
      <c r="A170">
        <v>54</v>
      </c>
      <c r="B170" s="16" t="s">
        <v>686</v>
      </c>
      <c r="C170">
        <v>60</v>
      </c>
      <c r="D170">
        <v>65</v>
      </c>
      <c r="E170">
        <v>40</v>
      </c>
      <c r="F170">
        <v>50</v>
      </c>
      <c r="G170">
        <f t="shared" si="18"/>
        <v>165</v>
      </c>
      <c r="H170">
        <f t="shared" si="17"/>
        <v>215</v>
      </c>
      <c r="I170">
        <f>(K170+1)*基本公式!$B$187*4/2</f>
        <v>40</v>
      </c>
      <c r="P170" t="s">
        <v>687</v>
      </c>
    </row>
    <row r="171" spans="1:16">
      <c r="A171">
        <v>55</v>
      </c>
      <c r="B171" s="16" t="s">
        <v>762</v>
      </c>
      <c r="C171">
        <v>75</v>
      </c>
      <c r="D171">
        <v>80</v>
      </c>
      <c r="E171">
        <v>40</v>
      </c>
      <c r="F171">
        <v>45</v>
      </c>
      <c r="G171">
        <f t="shared" si="18"/>
        <v>195</v>
      </c>
      <c r="H171">
        <f t="shared" si="17"/>
        <v>240</v>
      </c>
      <c r="I171">
        <f>(K171+1)*基本公式!$B$187*4/2</f>
        <v>40</v>
      </c>
    </row>
    <row r="172" spans="1:16">
      <c r="A172">
        <v>56</v>
      </c>
      <c r="B172" s="16" t="s">
        <v>730</v>
      </c>
      <c r="C172">
        <v>45</v>
      </c>
      <c r="D172">
        <v>30</v>
      </c>
      <c r="E172">
        <v>55</v>
      </c>
      <c r="F172">
        <v>95</v>
      </c>
      <c r="G172">
        <f t="shared" si="18"/>
        <v>130</v>
      </c>
      <c r="H172">
        <f t="shared" si="17"/>
        <v>225</v>
      </c>
      <c r="I172">
        <f>(K172+1)*基本公式!$B$187*4/2</f>
        <v>40</v>
      </c>
      <c r="P172" t="s">
        <v>731</v>
      </c>
    </row>
    <row r="173" spans="1:16">
      <c r="A173">
        <v>57</v>
      </c>
      <c r="B173" s="16" t="s">
        <v>763</v>
      </c>
      <c r="C173">
        <v>45</v>
      </c>
      <c r="D173">
        <v>40</v>
      </c>
      <c r="E173">
        <v>75</v>
      </c>
      <c r="F173">
        <v>65</v>
      </c>
      <c r="G173">
        <f t="shared" si="18"/>
        <v>160</v>
      </c>
      <c r="H173">
        <f t="shared" si="17"/>
        <v>225</v>
      </c>
      <c r="I173">
        <f>(K173+1)*基本公式!$B$187*4/2</f>
        <v>40</v>
      </c>
    </row>
    <row r="174" spans="1:16">
      <c r="A174">
        <v>58</v>
      </c>
      <c r="B174" s="16" t="s">
        <v>747</v>
      </c>
      <c r="C174">
        <v>95</v>
      </c>
      <c r="D174">
        <v>85</v>
      </c>
      <c r="E174">
        <v>75</v>
      </c>
      <c r="F174">
        <v>90</v>
      </c>
      <c r="G174">
        <f t="shared" si="18"/>
        <v>255</v>
      </c>
      <c r="H174">
        <f t="shared" si="17"/>
        <v>345</v>
      </c>
      <c r="I174">
        <f>(K174+1)*基本公式!$B$187*4/2</f>
        <v>40</v>
      </c>
    </row>
    <row r="175" spans="1:16">
      <c r="A175">
        <v>59</v>
      </c>
      <c r="B175" s="16" t="s">
        <v>677</v>
      </c>
      <c r="C175">
        <v>45</v>
      </c>
      <c r="D175">
        <v>30</v>
      </c>
      <c r="E175">
        <v>50</v>
      </c>
      <c r="F175">
        <v>55</v>
      </c>
      <c r="G175">
        <f t="shared" si="18"/>
        <v>125</v>
      </c>
      <c r="H175">
        <f t="shared" si="17"/>
        <v>180</v>
      </c>
      <c r="I175">
        <f>(K175+1)*基本公式!$B$187*4/2</f>
        <v>40</v>
      </c>
    </row>
    <row r="176" spans="1:16">
      <c r="A176">
        <v>60</v>
      </c>
      <c r="B176" s="16" t="s">
        <v>676</v>
      </c>
      <c r="C176">
        <v>60</v>
      </c>
      <c r="D176">
        <v>70</v>
      </c>
      <c r="E176">
        <v>45</v>
      </c>
      <c r="F176">
        <v>50</v>
      </c>
      <c r="G176">
        <f t="shared" si="18"/>
        <v>175</v>
      </c>
      <c r="H176">
        <f t="shared" si="17"/>
        <v>225</v>
      </c>
      <c r="I176">
        <f>(K176+1)*基本公式!$B$187*4/2</f>
        <v>40</v>
      </c>
    </row>
    <row r="177" spans="1:16">
      <c r="A177">
        <v>61</v>
      </c>
      <c r="B177" s="16" t="s">
        <v>678</v>
      </c>
      <c r="C177">
        <v>75</v>
      </c>
      <c r="D177">
        <v>45</v>
      </c>
      <c r="E177">
        <v>85</v>
      </c>
      <c r="F177">
        <v>70</v>
      </c>
      <c r="G177">
        <f t="shared" si="18"/>
        <v>205</v>
      </c>
      <c r="H177">
        <f t="shared" si="17"/>
        <v>275</v>
      </c>
      <c r="I177">
        <f>(K177+1)*基本公式!$B$187*4/2</f>
        <v>40</v>
      </c>
    </row>
    <row r="178" spans="1:16">
      <c r="A178">
        <v>62</v>
      </c>
      <c r="B178" s="16" t="s">
        <v>735</v>
      </c>
      <c r="C178">
        <v>40</v>
      </c>
      <c r="D178">
        <v>40</v>
      </c>
      <c r="E178">
        <v>75</v>
      </c>
      <c r="F178">
        <v>70</v>
      </c>
      <c r="G178">
        <f t="shared" si="18"/>
        <v>155</v>
      </c>
      <c r="H178">
        <f t="shared" si="17"/>
        <v>225</v>
      </c>
      <c r="I178">
        <f>(K178+1)*基本公式!$B$187*4/2</f>
        <v>40</v>
      </c>
      <c r="P178" t="s">
        <v>736</v>
      </c>
    </row>
    <row r="179" spans="1:16">
      <c r="A179">
        <v>63</v>
      </c>
      <c r="B179" s="16" t="s">
        <v>752</v>
      </c>
      <c r="C179">
        <v>40</v>
      </c>
      <c r="D179">
        <v>35</v>
      </c>
      <c r="E179">
        <v>60</v>
      </c>
      <c r="F179">
        <v>75</v>
      </c>
      <c r="G179">
        <f t="shared" si="18"/>
        <v>135</v>
      </c>
      <c r="H179">
        <f t="shared" si="17"/>
        <v>210</v>
      </c>
      <c r="I179">
        <f>(K179+1)*基本公式!$B$187*4/2</f>
        <v>40</v>
      </c>
      <c r="P179" t="s">
        <v>753</v>
      </c>
    </row>
    <row r="180" spans="1:16">
      <c r="A180">
        <v>64</v>
      </c>
      <c r="B180" s="16" t="s">
        <v>754</v>
      </c>
      <c r="C180">
        <v>35</v>
      </c>
      <c r="D180">
        <v>30</v>
      </c>
      <c r="E180">
        <v>55</v>
      </c>
      <c r="F180">
        <v>70</v>
      </c>
      <c r="G180">
        <f t="shared" si="18"/>
        <v>120</v>
      </c>
      <c r="H180">
        <f t="shared" si="17"/>
        <v>190</v>
      </c>
      <c r="I180">
        <f>(K180+1)*基本公式!$B$187*4/2</f>
        <v>40</v>
      </c>
      <c r="P180" t="s">
        <v>755</v>
      </c>
    </row>
    <row r="181" spans="1:16">
      <c r="A181">
        <v>65</v>
      </c>
      <c r="B181" s="16" t="s">
        <v>743</v>
      </c>
      <c r="C181">
        <v>75</v>
      </c>
      <c r="D181">
        <v>80</v>
      </c>
      <c r="E181">
        <v>35</v>
      </c>
      <c r="F181">
        <v>40</v>
      </c>
      <c r="G181">
        <f t="shared" ref="G181:G236" si="19">SUM(C181:E181)</f>
        <v>190</v>
      </c>
      <c r="H181">
        <f t="shared" ref="H181:H236" si="20">SUM(C181:F181)</f>
        <v>230</v>
      </c>
      <c r="I181">
        <f>(K181+1)*基本公式!$B$187*4/2</f>
        <v>40</v>
      </c>
      <c r="P181" t="s">
        <v>744</v>
      </c>
    </row>
    <row r="182" spans="1:16">
      <c r="A182">
        <v>66</v>
      </c>
      <c r="B182" s="16" t="s">
        <v>637</v>
      </c>
      <c r="C182">
        <v>70</v>
      </c>
      <c r="D182">
        <v>70</v>
      </c>
      <c r="E182">
        <v>55</v>
      </c>
      <c r="F182">
        <v>60</v>
      </c>
      <c r="G182">
        <f t="shared" si="19"/>
        <v>195</v>
      </c>
      <c r="H182">
        <f t="shared" si="20"/>
        <v>255</v>
      </c>
      <c r="I182">
        <f>(K182+1)*基本公式!$B$187*4/2</f>
        <v>40</v>
      </c>
      <c r="P182" t="s">
        <v>638</v>
      </c>
    </row>
    <row r="183" spans="1:16">
      <c r="A183">
        <v>67</v>
      </c>
      <c r="B183" s="16" t="s">
        <v>635</v>
      </c>
      <c r="C183">
        <v>40</v>
      </c>
      <c r="D183">
        <v>35</v>
      </c>
      <c r="E183">
        <v>55</v>
      </c>
      <c r="F183">
        <v>50</v>
      </c>
      <c r="G183">
        <f t="shared" si="19"/>
        <v>130</v>
      </c>
      <c r="H183">
        <f t="shared" si="20"/>
        <v>180</v>
      </c>
      <c r="I183">
        <f>(K183+1)*基本公式!$B$187*4/2</f>
        <v>40</v>
      </c>
      <c r="P183" t="s">
        <v>636</v>
      </c>
    </row>
    <row r="184" spans="1:16">
      <c r="A184">
        <v>68</v>
      </c>
      <c r="B184" s="16" t="s">
        <v>746</v>
      </c>
      <c r="C184">
        <v>65</v>
      </c>
      <c r="D184">
        <v>75</v>
      </c>
      <c r="E184">
        <v>35</v>
      </c>
      <c r="F184">
        <v>40</v>
      </c>
      <c r="G184">
        <f t="shared" si="19"/>
        <v>175</v>
      </c>
      <c r="H184">
        <f t="shared" si="20"/>
        <v>215</v>
      </c>
      <c r="I184">
        <f>(K184+1)*基本公式!$B$187*4/2</f>
        <v>40</v>
      </c>
    </row>
    <row r="185" spans="1:16">
      <c r="A185">
        <v>69</v>
      </c>
      <c r="B185" s="16" t="s">
        <v>750</v>
      </c>
      <c r="C185">
        <v>60</v>
      </c>
      <c r="D185">
        <v>75</v>
      </c>
      <c r="E185">
        <v>45</v>
      </c>
      <c r="F185">
        <v>30</v>
      </c>
      <c r="G185">
        <f t="shared" si="19"/>
        <v>180</v>
      </c>
      <c r="H185">
        <f t="shared" si="20"/>
        <v>210</v>
      </c>
      <c r="I185">
        <f>(K185+1)*基本公式!$B$187*4/2</f>
        <v>40</v>
      </c>
    </row>
    <row r="186" spans="1:16">
      <c r="A186">
        <v>70</v>
      </c>
      <c r="B186" s="16" t="s">
        <v>751</v>
      </c>
      <c r="C186">
        <v>65</v>
      </c>
      <c r="D186">
        <v>85</v>
      </c>
      <c r="E186">
        <v>35</v>
      </c>
      <c r="F186">
        <v>35</v>
      </c>
      <c r="G186">
        <f t="shared" si="19"/>
        <v>185</v>
      </c>
      <c r="H186">
        <f t="shared" si="20"/>
        <v>220</v>
      </c>
      <c r="I186">
        <f>(K186+1)*基本公式!$B$187*4/2</f>
        <v>40</v>
      </c>
    </row>
    <row r="187" spans="1:16">
      <c r="A187">
        <v>71</v>
      </c>
      <c r="B187" s="16" t="s">
        <v>606</v>
      </c>
      <c r="C187">
        <v>75</v>
      </c>
      <c r="D187">
        <v>65</v>
      </c>
      <c r="E187">
        <v>85</v>
      </c>
      <c r="F187">
        <v>70</v>
      </c>
      <c r="G187">
        <f t="shared" si="19"/>
        <v>225</v>
      </c>
      <c r="H187">
        <f t="shared" si="20"/>
        <v>295</v>
      </c>
      <c r="I187">
        <f>(K187+1)*基本公式!$B$187*4/2</f>
        <v>40</v>
      </c>
      <c r="P187" t="s">
        <v>607</v>
      </c>
    </row>
    <row r="188" spans="1:16">
      <c r="A188">
        <v>72</v>
      </c>
      <c r="B188" s="16" t="s">
        <v>608</v>
      </c>
      <c r="C188">
        <v>50</v>
      </c>
      <c r="D188">
        <v>40</v>
      </c>
      <c r="E188">
        <v>65</v>
      </c>
      <c r="F188">
        <v>60</v>
      </c>
      <c r="G188">
        <f t="shared" si="19"/>
        <v>155</v>
      </c>
      <c r="H188">
        <f t="shared" si="20"/>
        <v>215</v>
      </c>
      <c r="I188">
        <f>(K188+1)*基本公式!$B$187*4/2</f>
        <v>40</v>
      </c>
      <c r="P188" t="s">
        <v>609</v>
      </c>
    </row>
    <row r="189" spans="1:16">
      <c r="A189">
        <v>73</v>
      </c>
      <c r="B189" s="16" t="s">
        <v>612</v>
      </c>
      <c r="C189">
        <v>30</v>
      </c>
      <c r="D189">
        <v>30</v>
      </c>
      <c r="E189">
        <v>45</v>
      </c>
      <c r="F189">
        <v>40</v>
      </c>
      <c r="G189">
        <f t="shared" si="19"/>
        <v>105</v>
      </c>
      <c r="H189">
        <f t="shared" si="20"/>
        <v>145</v>
      </c>
      <c r="I189">
        <f>(K189+1)*基本公式!$B$187*4/2</f>
        <v>40</v>
      </c>
    </row>
    <row r="190" spans="1:16">
      <c r="A190">
        <v>74</v>
      </c>
      <c r="B190" s="16" t="s">
        <v>614</v>
      </c>
      <c r="C190">
        <v>35</v>
      </c>
      <c r="D190">
        <v>40</v>
      </c>
      <c r="E190">
        <v>50</v>
      </c>
      <c r="F190">
        <v>45</v>
      </c>
      <c r="G190">
        <f t="shared" si="19"/>
        <v>125</v>
      </c>
      <c r="H190">
        <f t="shared" si="20"/>
        <v>170</v>
      </c>
      <c r="I190">
        <f>(K190+1)*基本公式!$B$187*4/2</f>
        <v>40</v>
      </c>
    </row>
    <row r="191" spans="1:16">
      <c r="A191">
        <v>75</v>
      </c>
      <c r="B191" s="16" t="s">
        <v>615</v>
      </c>
      <c r="C191">
        <v>65</v>
      </c>
      <c r="D191">
        <v>70</v>
      </c>
      <c r="E191">
        <v>55</v>
      </c>
      <c r="F191">
        <v>45</v>
      </c>
      <c r="G191">
        <f t="shared" si="19"/>
        <v>190</v>
      </c>
      <c r="H191">
        <f t="shared" si="20"/>
        <v>235</v>
      </c>
      <c r="I191">
        <f>(K191+1)*基本公式!$B$187*4/2</f>
        <v>40</v>
      </c>
      <c r="P191" t="s">
        <v>616</v>
      </c>
    </row>
    <row r="192" spans="1:16">
      <c r="A192">
        <v>76</v>
      </c>
      <c r="B192" s="16" t="s">
        <v>613</v>
      </c>
      <c r="C192">
        <v>45</v>
      </c>
      <c r="D192">
        <v>50</v>
      </c>
      <c r="E192">
        <v>70</v>
      </c>
      <c r="F192">
        <v>50</v>
      </c>
      <c r="G192">
        <f t="shared" si="19"/>
        <v>165</v>
      </c>
      <c r="H192">
        <f t="shared" si="20"/>
        <v>215</v>
      </c>
      <c r="I192">
        <f>(K192+1)*基本公式!$B$187*4/2</f>
        <v>40</v>
      </c>
    </row>
    <row r="193" spans="1:16">
      <c r="A193">
        <v>78</v>
      </c>
      <c r="B193" s="16" t="s">
        <v>315</v>
      </c>
      <c r="C193">
        <v>40</v>
      </c>
      <c r="D193">
        <v>35</v>
      </c>
      <c r="E193">
        <v>55</v>
      </c>
      <c r="F193">
        <v>80</v>
      </c>
      <c r="G193">
        <f t="shared" si="19"/>
        <v>130</v>
      </c>
      <c r="H193">
        <f t="shared" si="20"/>
        <v>210</v>
      </c>
      <c r="I193">
        <f>(K193+1)*基本公式!$B$187*4/2</f>
        <v>40</v>
      </c>
      <c r="P193" t="s">
        <v>610</v>
      </c>
    </row>
    <row r="194" spans="1:16">
      <c r="A194">
        <v>79</v>
      </c>
      <c r="B194" s="16" t="s">
        <v>611</v>
      </c>
      <c r="C194">
        <v>45</v>
      </c>
      <c r="D194">
        <v>55</v>
      </c>
      <c r="E194">
        <v>70</v>
      </c>
      <c r="F194">
        <v>60</v>
      </c>
      <c r="G194">
        <f t="shared" si="19"/>
        <v>170</v>
      </c>
      <c r="H194">
        <f t="shared" si="20"/>
        <v>230</v>
      </c>
      <c r="I194">
        <f>(K194+1)*基本公式!$B$187*4/2</f>
        <v>40</v>
      </c>
    </row>
    <row r="195" spans="1:16">
      <c r="A195">
        <v>80</v>
      </c>
      <c r="B195" s="16" t="s">
        <v>745</v>
      </c>
      <c r="C195">
        <v>60</v>
      </c>
      <c r="D195">
        <v>35</v>
      </c>
      <c r="E195">
        <v>85</v>
      </c>
      <c r="F195">
        <v>85</v>
      </c>
      <c r="G195">
        <f t="shared" si="19"/>
        <v>180</v>
      </c>
      <c r="H195">
        <f t="shared" si="20"/>
        <v>265</v>
      </c>
      <c r="I195">
        <f>(K195+1)*基本公式!$B$187*4/2</f>
        <v>40</v>
      </c>
    </row>
    <row r="196" spans="1:16">
      <c r="A196">
        <v>81</v>
      </c>
      <c r="B196" s="16" t="s">
        <v>331</v>
      </c>
      <c r="C196">
        <v>80</v>
      </c>
      <c r="D196">
        <v>60</v>
      </c>
      <c r="E196">
        <v>90</v>
      </c>
      <c r="F196">
        <v>85</v>
      </c>
      <c r="G196">
        <f t="shared" si="19"/>
        <v>230</v>
      </c>
      <c r="H196">
        <f t="shared" si="20"/>
        <v>315</v>
      </c>
      <c r="I196">
        <f>(K196+1)*基本公式!$B$187*4/2</f>
        <v>40</v>
      </c>
      <c r="P196" t="s">
        <v>332</v>
      </c>
    </row>
    <row r="197" spans="1:16">
      <c r="A197">
        <v>83</v>
      </c>
      <c r="B197" s="16" t="s">
        <v>658</v>
      </c>
      <c r="C197">
        <v>35</v>
      </c>
      <c r="D197">
        <v>30</v>
      </c>
      <c r="E197">
        <v>45</v>
      </c>
      <c r="F197">
        <v>40</v>
      </c>
      <c r="G197">
        <f t="shared" si="19"/>
        <v>110</v>
      </c>
      <c r="H197">
        <f t="shared" si="20"/>
        <v>150</v>
      </c>
      <c r="I197">
        <f>(K197+1)*基本公式!$B$187*4/2</f>
        <v>40</v>
      </c>
      <c r="P197" t="s">
        <v>659</v>
      </c>
    </row>
    <row r="198" spans="1:16">
      <c r="A198">
        <v>85</v>
      </c>
      <c r="B198" s="16" t="s">
        <v>338</v>
      </c>
      <c r="C198">
        <v>80</v>
      </c>
      <c r="D198">
        <v>130</v>
      </c>
      <c r="E198">
        <v>30</v>
      </c>
      <c r="F198">
        <v>30</v>
      </c>
      <c r="G198">
        <f t="shared" si="19"/>
        <v>240</v>
      </c>
      <c r="H198">
        <f t="shared" si="20"/>
        <v>270</v>
      </c>
      <c r="I198">
        <f>(K198+1)*基本公式!$B$187*4/2</f>
        <v>40</v>
      </c>
      <c r="P198" t="s">
        <v>657</v>
      </c>
    </row>
    <row r="199" spans="1:16">
      <c r="A199">
        <v>86</v>
      </c>
      <c r="B199" s="16" t="s">
        <v>778</v>
      </c>
      <c r="C199">
        <v>80</v>
      </c>
      <c r="D199">
        <v>65</v>
      </c>
      <c r="E199">
        <v>75</v>
      </c>
      <c r="F199">
        <v>85</v>
      </c>
      <c r="G199">
        <f t="shared" si="19"/>
        <v>220</v>
      </c>
      <c r="H199">
        <f t="shared" si="20"/>
        <v>305</v>
      </c>
      <c r="I199">
        <f>(K199+1)*基本公式!$B$187*4/2</f>
        <v>40</v>
      </c>
    </row>
    <row r="200" spans="1:16">
      <c r="A200">
        <v>87</v>
      </c>
      <c r="B200" s="16" t="s">
        <v>312</v>
      </c>
      <c r="C200">
        <v>60</v>
      </c>
      <c r="D200">
        <v>45</v>
      </c>
      <c r="E200">
        <v>55</v>
      </c>
      <c r="F200">
        <v>80</v>
      </c>
      <c r="G200">
        <f t="shared" si="19"/>
        <v>160</v>
      </c>
      <c r="H200">
        <f t="shared" si="20"/>
        <v>240</v>
      </c>
      <c r="I200">
        <f>(K200+1)*基本公式!$B$187*4/2</f>
        <v>40</v>
      </c>
      <c r="P200" t="s">
        <v>313</v>
      </c>
    </row>
    <row r="201" spans="1:16">
      <c r="A201">
        <v>88</v>
      </c>
      <c r="B201" s="16" t="s">
        <v>646</v>
      </c>
      <c r="C201">
        <v>85</v>
      </c>
      <c r="D201">
        <v>100</v>
      </c>
      <c r="E201">
        <v>35</v>
      </c>
      <c r="F201">
        <v>40</v>
      </c>
      <c r="G201">
        <f t="shared" si="19"/>
        <v>220</v>
      </c>
      <c r="H201">
        <f t="shared" si="20"/>
        <v>260</v>
      </c>
      <c r="I201">
        <f>(K201+1)*基本公式!$B$187*4/2</f>
        <v>40</v>
      </c>
      <c r="P201" t="s">
        <v>647</v>
      </c>
    </row>
    <row r="202" spans="1:16">
      <c r="A202">
        <v>89</v>
      </c>
      <c r="B202" s="16" t="s">
        <v>643</v>
      </c>
      <c r="C202">
        <v>60</v>
      </c>
      <c r="D202">
        <v>75</v>
      </c>
      <c r="E202">
        <v>45</v>
      </c>
      <c r="F202">
        <v>40</v>
      </c>
      <c r="G202">
        <f t="shared" si="19"/>
        <v>180</v>
      </c>
      <c r="H202">
        <f t="shared" si="20"/>
        <v>220</v>
      </c>
      <c r="I202">
        <f>(K202+1)*基本公式!$B$187*4/2</f>
        <v>40</v>
      </c>
    </row>
    <row r="203" spans="1:16">
      <c r="A203">
        <v>90</v>
      </c>
      <c r="B203" s="16" t="s">
        <v>642</v>
      </c>
      <c r="C203">
        <v>35</v>
      </c>
      <c r="D203">
        <v>30</v>
      </c>
      <c r="E203">
        <v>90</v>
      </c>
      <c r="F203">
        <v>70</v>
      </c>
      <c r="G203">
        <f t="shared" si="19"/>
        <v>155</v>
      </c>
      <c r="H203">
        <f t="shared" si="20"/>
        <v>225</v>
      </c>
      <c r="I203">
        <f>(K203+1)*基本公式!$B$187*4/2</f>
        <v>40</v>
      </c>
    </row>
    <row r="204" spans="1:16">
      <c r="A204">
        <v>91</v>
      </c>
      <c r="B204" s="16" t="s">
        <v>322</v>
      </c>
      <c r="C204">
        <v>55</v>
      </c>
      <c r="D204">
        <v>30</v>
      </c>
      <c r="E204">
        <v>75</v>
      </c>
      <c r="F204">
        <v>70</v>
      </c>
      <c r="G204">
        <f t="shared" si="19"/>
        <v>160</v>
      </c>
      <c r="H204">
        <f t="shared" si="20"/>
        <v>230</v>
      </c>
      <c r="I204">
        <f>(K204+1)*基本公式!$B$187*4/2</f>
        <v>40</v>
      </c>
      <c r="P204" t="s">
        <v>323</v>
      </c>
    </row>
    <row r="205" spans="1:16">
      <c r="A205">
        <v>93</v>
      </c>
      <c r="B205" s="16" t="s">
        <v>644</v>
      </c>
      <c r="C205">
        <v>70</v>
      </c>
      <c r="D205">
        <v>70</v>
      </c>
      <c r="E205">
        <v>35</v>
      </c>
      <c r="F205">
        <v>30</v>
      </c>
      <c r="G205">
        <f t="shared" si="19"/>
        <v>175</v>
      </c>
      <c r="H205">
        <f t="shared" si="20"/>
        <v>205</v>
      </c>
      <c r="I205">
        <f>(K205+1)*基本公式!$B$187*4/2</f>
        <v>40</v>
      </c>
      <c r="P205" t="s">
        <v>645</v>
      </c>
    </row>
    <row r="206" spans="1:16">
      <c r="A206">
        <v>94</v>
      </c>
      <c r="B206" s="16" t="s">
        <v>709</v>
      </c>
      <c r="C206">
        <v>65</v>
      </c>
      <c r="D206">
        <v>75</v>
      </c>
      <c r="E206">
        <v>30</v>
      </c>
      <c r="F206">
        <v>30</v>
      </c>
      <c r="G206">
        <f t="shared" si="19"/>
        <v>170</v>
      </c>
      <c r="H206">
        <f t="shared" si="20"/>
        <v>200</v>
      </c>
      <c r="I206">
        <f>(K206+1)*基本公式!$B$187*4/2</f>
        <v>40</v>
      </c>
      <c r="P206" t="s">
        <v>710</v>
      </c>
    </row>
    <row r="207" spans="1:16">
      <c r="A207">
        <v>95</v>
      </c>
      <c r="B207" s="16" t="s">
        <v>758</v>
      </c>
      <c r="C207">
        <v>40</v>
      </c>
      <c r="D207">
        <v>35</v>
      </c>
      <c r="E207">
        <v>65</v>
      </c>
      <c r="F207">
        <v>60</v>
      </c>
      <c r="G207">
        <f t="shared" si="19"/>
        <v>140</v>
      </c>
      <c r="H207">
        <f t="shared" si="20"/>
        <v>200</v>
      </c>
      <c r="I207">
        <f>(K207+1)*基本公式!$B$187*4/2</f>
        <v>40</v>
      </c>
    </row>
    <row r="208" spans="1:16">
      <c r="A208">
        <v>96</v>
      </c>
      <c r="B208" s="16" t="s">
        <v>759</v>
      </c>
      <c r="C208">
        <v>45</v>
      </c>
      <c r="D208">
        <v>40</v>
      </c>
      <c r="E208">
        <v>70</v>
      </c>
      <c r="F208">
        <v>65</v>
      </c>
      <c r="G208">
        <f t="shared" si="19"/>
        <v>155</v>
      </c>
      <c r="H208">
        <f t="shared" si="20"/>
        <v>220</v>
      </c>
      <c r="I208">
        <f>(K208+1)*基本公式!$B$187*4/2</f>
        <v>40</v>
      </c>
      <c r="P208" t="s">
        <v>760</v>
      </c>
    </row>
    <row r="209" spans="1:16">
      <c r="A209">
        <v>97</v>
      </c>
      <c r="B209" s="16" t="s">
        <v>725</v>
      </c>
      <c r="C209">
        <v>60</v>
      </c>
      <c r="D209">
        <v>70</v>
      </c>
      <c r="E209">
        <v>35</v>
      </c>
      <c r="F209">
        <v>40</v>
      </c>
      <c r="G209">
        <f t="shared" si="19"/>
        <v>165</v>
      </c>
      <c r="H209">
        <f t="shared" si="20"/>
        <v>205</v>
      </c>
      <c r="I209">
        <f>(K209+1)*基本公式!$B$187*4/2</f>
        <v>40</v>
      </c>
      <c r="P209" t="s">
        <v>726</v>
      </c>
    </row>
    <row r="210" spans="1:16">
      <c r="A210">
        <v>98</v>
      </c>
      <c r="B210" s="16" t="s">
        <v>711</v>
      </c>
      <c r="C210">
        <v>75</v>
      </c>
      <c r="D210">
        <v>85</v>
      </c>
      <c r="E210">
        <v>30</v>
      </c>
      <c r="F210">
        <v>45</v>
      </c>
      <c r="G210">
        <f t="shared" si="19"/>
        <v>190</v>
      </c>
      <c r="H210">
        <f t="shared" si="20"/>
        <v>235</v>
      </c>
      <c r="I210">
        <f>(K210+1)*基本公式!$B$187*4/2</f>
        <v>40</v>
      </c>
    </row>
    <row r="211" spans="1:16">
      <c r="A211">
        <v>99</v>
      </c>
      <c r="B211" s="16" t="s">
        <v>774</v>
      </c>
      <c r="C211">
        <v>80</v>
      </c>
      <c r="D211">
        <v>30</v>
      </c>
      <c r="E211">
        <v>85</v>
      </c>
      <c r="F211">
        <v>90</v>
      </c>
      <c r="G211">
        <f t="shared" si="19"/>
        <v>195</v>
      </c>
      <c r="H211">
        <f t="shared" si="20"/>
        <v>285</v>
      </c>
      <c r="I211">
        <f>(K211+1)*基本公式!$B$187*4/2</f>
        <v>40</v>
      </c>
    </row>
    <row r="212" spans="1:16">
      <c r="A212">
        <v>100</v>
      </c>
      <c r="B212" s="16" t="s">
        <v>742</v>
      </c>
      <c r="C212">
        <v>65</v>
      </c>
      <c r="D212">
        <v>65</v>
      </c>
      <c r="E212">
        <v>40</v>
      </c>
      <c r="F212">
        <v>45</v>
      </c>
      <c r="G212">
        <f t="shared" si="19"/>
        <v>170</v>
      </c>
      <c r="H212">
        <f t="shared" si="20"/>
        <v>215</v>
      </c>
      <c r="I212">
        <f>(K212+1)*基本公式!$B$187*4/2</f>
        <v>40</v>
      </c>
    </row>
    <row r="213" spans="1:16">
      <c r="A213">
        <v>101</v>
      </c>
      <c r="B213" s="16" t="s">
        <v>674</v>
      </c>
      <c r="C213">
        <v>65</v>
      </c>
      <c r="D213">
        <v>50</v>
      </c>
      <c r="E213">
        <v>70</v>
      </c>
      <c r="F213">
        <v>70</v>
      </c>
      <c r="G213">
        <f t="shared" si="19"/>
        <v>185</v>
      </c>
      <c r="H213">
        <f t="shared" si="20"/>
        <v>255</v>
      </c>
      <c r="I213">
        <f>(K213+1)*基本公式!$B$187*4/2</f>
        <v>40</v>
      </c>
    </row>
    <row r="214" spans="1:16">
      <c r="A214">
        <v>102</v>
      </c>
      <c r="B214" s="16" t="s">
        <v>775</v>
      </c>
      <c r="C214">
        <v>90</v>
      </c>
      <c r="D214">
        <v>30</v>
      </c>
      <c r="E214">
        <v>85</v>
      </c>
      <c r="F214">
        <v>100</v>
      </c>
      <c r="G214">
        <f t="shared" si="19"/>
        <v>205</v>
      </c>
      <c r="H214">
        <f t="shared" si="20"/>
        <v>305</v>
      </c>
      <c r="I214">
        <f>(K214+1)*基本公式!$B$187*4/2</f>
        <v>40</v>
      </c>
    </row>
    <row r="215" spans="1:16">
      <c r="A215">
        <v>103</v>
      </c>
      <c r="B215" s="16" t="s">
        <v>675</v>
      </c>
      <c r="C215">
        <v>35</v>
      </c>
      <c r="D215">
        <v>40</v>
      </c>
      <c r="E215">
        <v>60</v>
      </c>
      <c r="F215">
        <v>55</v>
      </c>
      <c r="G215">
        <f t="shared" si="19"/>
        <v>135</v>
      </c>
      <c r="H215">
        <f t="shared" si="20"/>
        <v>190</v>
      </c>
      <c r="I215">
        <f>(K215+1)*基本公式!$B$187*4/2</f>
        <v>40</v>
      </c>
    </row>
    <row r="216" spans="1:16">
      <c r="A216">
        <v>104</v>
      </c>
      <c r="B216" s="16" t="s">
        <v>620</v>
      </c>
      <c r="C216">
        <v>80</v>
      </c>
      <c r="D216">
        <v>90</v>
      </c>
      <c r="E216">
        <v>40</v>
      </c>
      <c r="F216">
        <v>40</v>
      </c>
      <c r="G216">
        <f t="shared" si="19"/>
        <v>210</v>
      </c>
      <c r="H216">
        <f t="shared" si="20"/>
        <v>250</v>
      </c>
      <c r="I216">
        <f>(K216+1)*基本公式!$B$187*4/2</f>
        <v>40</v>
      </c>
      <c r="P216" t="s">
        <v>621</v>
      </c>
    </row>
    <row r="217" spans="1:16">
      <c r="A217">
        <v>106</v>
      </c>
      <c r="B217" s="16" t="s">
        <v>330</v>
      </c>
      <c r="C217">
        <v>75</v>
      </c>
      <c r="D217">
        <v>70</v>
      </c>
      <c r="E217">
        <v>60</v>
      </c>
      <c r="F217">
        <v>40</v>
      </c>
      <c r="G217">
        <f t="shared" si="19"/>
        <v>205</v>
      </c>
      <c r="H217">
        <f t="shared" si="20"/>
        <v>245</v>
      </c>
      <c r="I217">
        <f>(K217+1)*基本公式!$B$187*4/2</f>
        <v>40</v>
      </c>
      <c r="P217" t="s">
        <v>619</v>
      </c>
    </row>
    <row r="218" spans="1:16">
      <c r="A218">
        <v>107</v>
      </c>
      <c r="B218" s="16" t="s">
        <v>622</v>
      </c>
      <c r="C218">
        <v>60</v>
      </c>
      <c r="D218">
        <v>55</v>
      </c>
      <c r="E218">
        <v>80</v>
      </c>
      <c r="F218">
        <v>75</v>
      </c>
      <c r="G218">
        <f t="shared" si="19"/>
        <v>195</v>
      </c>
      <c r="H218">
        <f t="shared" si="20"/>
        <v>270</v>
      </c>
      <c r="I218">
        <f>(K218+1)*基本公式!$B$187*4/2</f>
        <v>40</v>
      </c>
      <c r="P218" t="s">
        <v>623</v>
      </c>
    </row>
    <row r="219" spans="1:16">
      <c r="A219">
        <v>109</v>
      </c>
      <c r="B219" s="16" t="s">
        <v>333</v>
      </c>
      <c r="C219">
        <v>75</v>
      </c>
      <c r="D219">
        <v>95</v>
      </c>
      <c r="E219">
        <v>35</v>
      </c>
      <c r="F219">
        <v>30</v>
      </c>
      <c r="G219">
        <f t="shared" si="19"/>
        <v>205</v>
      </c>
      <c r="H219">
        <f t="shared" si="20"/>
        <v>235</v>
      </c>
      <c r="I219">
        <f>(K219+1)*基本公式!$B$187*4/2</f>
        <v>40</v>
      </c>
      <c r="P219" t="s">
        <v>749</v>
      </c>
    </row>
    <row r="220" spans="1:16">
      <c r="A220">
        <v>110</v>
      </c>
      <c r="B220" s="16" t="s">
        <v>320</v>
      </c>
      <c r="C220">
        <v>70</v>
      </c>
      <c r="D220">
        <v>75</v>
      </c>
      <c r="E220">
        <v>45</v>
      </c>
      <c r="F220">
        <v>50</v>
      </c>
      <c r="G220">
        <f t="shared" si="19"/>
        <v>190</v>
      </c>
      <c r="H220">
        <f t="shared" si="20"/>
        <v>240</v>
      </c>
      <c r="I220">
        <f>(K220+1)*基本公式!$B$187*4/2</f>
        <v>40</v>
      </c>
      <c r="P220" t="s">
        <v>321</v>
      </c>
    </row>
    <row r="221" spans="1:16">
      <c r="A221">
        <v>112</v>
      </c>
      <c r="B221" s="16" t="s">
        <v>617</v>
      </c>
      <c r="C221">
        <v>35</v>
      </c>
      <c r="D221">
        <v>30</v>
      </c>
      <c r="E221">
        <v>70</v>
      </c>
      <c r="F221">
        <v>75</v>
      </c>
      <c r="G221">
        <f t="shared" si="19"/>
        <v>135</v>
      </c>
      <c r="H221">
        <f t="shared" si="20"/>
        <v>210</v>
      </c>
      <c r="I221">
        <f>(K221+1)*基本公式!$B$187*4/2</f>
        <v>40</v>
      </c>
      <c r="P221" t="s">
        <v>618</v>
      </c>
    </row>
    <row r="222" spans="1:16">
      <c r="A222">
        <v>113</v>
      </c>
      <c r="B222" s="16" t="s">
        <v>737</v>
      </c>
      <c r="C222">
        <v>75</v>
      </c>
      <c r="D222">
        <v>90</v>
      </c>
      <c r="E222">
        <v>35</v>
      </c>
      <c r="F222">
        <v>45</v>
      </c>
      <c r="G222">
        <f t="shared" si="19"/>
        <v>200</v>
      </c>
      <c r="H222">
        <f t="shared" si="20"/>
        <v>245</v>
      </c>
      <c r="I222">
        <f>(K222+1)*基本公式!$B$187*4/2</f>
        <v>40</v>
      </c>
    </row>
    <row r="223" spans="1:16">
      <c r="A223">
        <v>114</v>
      </c>
      <c r="B223" s="16" t="s">
        <v>728</v>
      </c>
      <c r="C223">
        <v>70</v>
      </c>
      <c r="D223">
        <v>95</v>
      </c>
      <c r="E223">
        <v>30</v>
      </c>
      <c r="F223">
        <v>35</v>
      </c>
      <c r="G223">
        <f t="shared" si="19"/>
        <v>195</v>
      </c>
      <c r="H223">
        <f t="shared" si="20"/>
        <v>230</v>
      </c>
      <c r="I223">
        <f>(K223+1)*基本公式!$B$187*4/2</f>
        <v>40</v>
      </c>
      <c r="P223" t="s">
        <v>729</v>
      </c>
    </row>
    <row r="224" spans="1:16">
      <c r="A224">
        <v>115</v>
      </c>
      <c r="B224" s="16" t="s">
        <v>727</v>
      </c>
      <c r="C224">
        <v>75</v>
      </c>
      <c r="D224">
        <v>80</v>
      </c>
      <c r="E224">
        <v>45</v>
      </c>
      <c r="F224">
        <v>40</v>
      </c>
      <c r="G224">
        <f t="shared" si="19"/>
        <v>200</v>
      </c>
      <c r="H224">
        <f t="shared" si="20"/>
        <v>240</v>
      </c>
      <c r="I224">
        <f>(K224+1)*基本公式!$B$187*4/2</f>
        <v>40</v>
      </c>
    </row>
    <row r="225" spans="1:16">
      <c r="A225">
        <v>116</v>
      </c>
      <c r="B225" s="16" t="s">
        <v>654</v>
      </c>
      <c r="C225">
        <v>70</v>
      </c>
      <c r="D225">
        <v>75</v>
      </c>
      <c r="E225">
        <v>40</v>
      </c>
      <c r="F225">
        <v>45</v>
      </c>
      <c r="G225">
        <f t="shared" si="19"/>
        <v>185</v>
      </c>
      <c r="H225">
        <f t="shared" si="20"/>
        <v>230</v>
      </c>
      <c r="I225">
        <f>(K225+1)*基本公式!$B$187*4/2</f>
        <v>40</v>
      </c>
    </row>
    <row r="226" spans="1:16">
      <c r="A226">
        <v>117</v>
      </c>
      <c r="B226" s="16" t="s">
        <v>317</v>
      </c>
      <c r="C226">
        <v>85</v>
      </c>
      <c r="D226">
        <v>90</v>
      </c>
      <c r="E226">
        <v>40</v>
      </c>
      <c r="F226">
        <v>50</v>
      </c>
      <c r="G226">
        <f t="shared" si="19"/>
        <v>215</v>
      </c>
      <c r="H226">
        <f t="shared" si="20"/>
        <v>265</v>
      </c>
      <c r="I226">
        <f>(K226+1)*基本公式!$B$187*4/2</f>
        <v>40</v>
      </c>
      <c r="P226" t="s">
        <v>318</v>
      </c>
    </row>
    <row r="227" spans="1:16">
      <c r="A227">
        <v>119</v>
      </c>
      <c r="B227" s="16" t="s">
        <v>653</v>
      </c>
      <c r="C227">
        <v>60</v>
      </c>
      <c r="D227">
        <v>65</v>
      </c>
      <c r="E227">
        <v>40</v>
      </c>
      <c r="F227">
        <v>45</v>
      </c>
      <c r="G227">
        <f t="shared" si="19"/>
        <v>165</v>
      </c>
      <c r="H227">
        <f t="shared" si="20"/>
        <v>210</v>
      </c>
      <c r="I227">
        <f>(K227+1)*基本公式!$B$187*4/2</f>
        <v>40</v>
      </c>
    </row>
    <row r="228" spans="1:16">
      <c r="A228">
        <v>120</v>
      </c>
      <c r="B228" s="16" t="s">
        <v>652</v>
      </c>
      <c r="C228">
        <v>55</v>
      </c>
      <c r="D228">
        <v>60</v>
      </c>
      <c r="E228">
        <v>50</v>
      </c>
      <c r="F228">
        <v>45</v>
      </c>
      <c r="G228">
        <f t="shared" si="19"/>
        <v>165</v>
      </c>
      <c r="H228">
        <f t="shared" si="20"/>
        <v>210</v>
      </c>
      <c r="I228">
        <f>(K228+1)*基本公式!$B$187*4/2</f>
        <v>40</v>
      </c>
    </row>
    <row r="229" spans="1:16">
      <c r="A229">
        <v>121</v>
      </c>
      <c r="B229" s="16" t="s">
        <v>655</v>
      </c>
      <c r="C229">
        <v>75</v>
      </c>
      <c r="D229">
        <v>90</v>
      </c>
      <c r="E229">
        <v>35</v>
      </c>
      <c r="F229">
        <v>40</v>
      </c>
      <c r="G229">
        <f t="shared" si="19"/>
        <v>200</v>
      </c>
      <c r="H229">
        <f t="shared" si="20"/>
        <v>240</v>
      </c>
      <c r="I229">
        <f>(K229+1)*基本公式!$B$187*4/2</f>
        <v>40</v>
      </c>
      <c r="P229" t="s">
        <v>656</v>
      </c>
    </row>
    <row r="230" spans="1:16">
      <c r="A230">
        <v>122</v>
      </c>
      <c r="B230" s="16" t="s">
        <v>776</v>
      </c>
      <c r="C230">
        <v>30</v>
      </c>
      <c r="D230">
        <v>35</v>
      </c>
      <c r="E230">
        <v>70</v>
      </c>
      <c r="F230">
        <v>55</v>
      </c>
      <c r="G230">
        <f t="shared" si="19"/>
        <v>135</v>
      </c>
      <c r="H230">
        <f t="shared" si="20"/>
        <v>190</v>
      </c>
      <c r="I230">
        <f>(K230+1)*基本公式!$B$187*4/2</f>
        <v>40</v>
      </c>
    </row>
    <row r="231" spans="1:16">
      <c r="A231">
        <v>123</v>
      </c>
      <c r="B231" s="16" t="s">
        <v>716</v>
      </c>
      <c r="C231">
        <v>85</v>
      </c>
      <c r="D231">
        <v>90</v>
      </c>
      <c r="E231">
        <v>40</v>
      </c>
      <c r="F231">
        <v>70</v>
      </c>
      <c r="G231">
        <f t="shared" si="19"/>
        <v>215</v>
      </c>
      <c r="H231">
        <f t="shared" si="20"/>
        <v>285</v>
      </c>
      <c r="I231">
        <f>(K231+1)*基本公式!$B$187*4/2</f>
        <v>40</v>
      </c>
    </row>
    <row r="232" spans="1:16">
      <c r="A232">
        <v>124</v>
      </c>
      <c r="B232" s="16" t="s">
        <v>718</v>
      </c>
      <c r="C232">
        <v>75</v>
      </c>
      <c r="D232">
        <v>80</v>
      </c>
      <c r="E232">
        <v>40</v>
      </c>
      <c r="F232">
        <v>50</v>
      </c>
      <c r="G232">
        <f t="shared" si="19"/>
        <v>195</v>
      </c>
      <c r="H232">
        <f t="shared" si="20"/>
        <v>245</v>
      </c>
      <c r="I232">
        <f>(K232+1)*基本公式!$B$187*4/2</f>
        <v>40</v>
      </c>
    </row>
    <row r="233" spans="1:16">
      <c r="A233">
        <v>125</v>
      </c>
      <c r="B233" s="16" t="s">
        <v>717</v>
      </c>
      <c r="C233">
        <v>35</v>
      </c>
      <c r="D233">
        <v>30</v>
      </c>
      <c r="E233">
        <v>60</v>
      </c>
      <c r="F233">
        <v>85</v>
      </c>
      <c r="G233">
        <f t="shared" si="19"/>
        <v>125</v>
      </c>
      <c r="H233">
        <f t="shared" si="20"/>
        <v>210</v>
      </c>
      <c r="I233">
        <f>(K233+1)*基本公式!$B$187*4/2</f>
        <v>40</v>
      </c>
    </row>
    <row r="234" spans="1:16">
      <c r="A234">
        <v>126</v>
      </c>
      <c r="B234" s="16" t="s">
        <v>667</v>
      </c>
      <c r="C234">
        <v>35</v>
      </c>
      <c r="D234">
        <v>105</v>
      </c>
      <c r="E234">
        <v>30</v>
      </c>
      <c r="F234">
        <v>40</v>
      </c>
      <c r="G234">
        <f t="shared" si="19"/>
        <v>170</v>
      </c>
      <c r="H234">
        <f t="shared" si="20"/>
        <v>210</v>
      </c>
      <c r="I234">
        <f>(K234+1)*基本公式!$B$187*4/2</f>
        <v>40</v>
      </c>
    </row>
    <row r="235" spans="1:16">
      <c r="A235">
        <v>127</v>
      </c>
      <c r="B235" s="16" t="s">
        <v>668</v>
      </c>
      <c r="C235">
        <v>40</v>
      </c>
      <c r="D235">
        <v>35</v>
      </c>
      <c r="E235">
        <v>65</v>
      </c>
      <c r="F235">
        <v>80</v>
      </c>
      <c r="G235">
        <f t="shared" si="19"/>
        <v>140</v>
      </c>
      <c r="H235">
        <f t="shared" si="20"/>
        <v>220</v>
      </c>
      <c r="I235">
        <f>(K235+1)*基本公式!$B$187*4/2</f>
        <v>40</v>
      </c>
      <c r="P235" t="s">
        <v>669</v>
      </c>
    </row>
    <row r="236" spans="1:16">
      <c r="A236">
        <v>128</v>
      </c>
      <c r="B236" s="16" t="s">
        <v>699</v>
      </c>
      <c r="C236">
        <v>45</v>
      </c>
      <c r="D236">
        <v>40</v>
      </c>
      <c r="E236">
        <v>85</v>
      </c>
      <c r="F236">
        <v>75</v>
      </c>
      <c r="G236">
        <f t="shared" si="19"/>
        <v>170</v>
      </c>
      <c r="H236">
        <f t="shared" si="20"/>
        <v>245</v>
      </c>
      <c r="I236">
        <f>(K236+1)*基本公式!$B$187*4/2</f>
        <v>40</v>
      </c>
      <c r="P236" t="s">
        <v>700</v>
      </c>
    </row>
    <row r="237" spans="1:16">
      <c r="A237">
        <v>129</v>
      </c>
      <c r="B237" s="16" t="s">
        <v>701</v>
      </c>
      <c r="C237">
        <v>40</v>
      </c>
      <c r="D237">
        <v>35</v>
      </c>
      <c r="E237">
        <v>90</v>
      </c>
      <c r="F237">
        <v>85</v>
      </c>
      <c r="G237">
        <f t="shared" ref="G237:G265" si="21">SUM(C237:E237)</f>
        <v>165</v>
      </c>
      <c r="H237">
        <f t="shared" ref="H237:H265" si="22">SUM(C237:F237)</f>
        <v>250</v>
      </c>
      <c r="I237">
        <f>(K237+1)*基本公式!$B$187*4/2</f>
        <v>40</v>
      </c>
      <c r="P237" t="s">
        <v>702</v>
      </c>
    </row>
    <row r="238" spans="1:16">
      <c r="A238">
        <v>130</v>
      </c>
      <c r="B238" s="16" t="s">
        <v>724</v>
      </c>
      <c r="C238">
        <v>60</v>
      </c>
      <c r="D238">
        <v>75</v>
      </c>
      <c r="E238">
        <v>35</v>
      </c>
      <c r="F238">
        <v>40</v>
      </c>
      <c r="G238">
        <f t="shared" si="21"/>
        <v>170</v>
      </c>
      <c r="H238">
        <f t="shared" si="22"/>
        <v>210</v>
      </c>
      <c r="I238">
        <f>(K238+1)*基本公式!$B$187*4/2</f>
        <v>40</v>
      </c>
    </row>
    <row r="239" spans="1:16">
      <c r="A239">
        <v>131</v>
      </c>
      <c r="B239" s="16" t="s">
        <v>764</v>
      </c>
      <c r="C239">
        <v>65</v>
      </c>
      <c r="D239">
        <v>95</v>
      </c>
      <c r="E239">
        <v>40</v>
      </c>
      <c r="F239">
        <v>35</v>
      </c>
      <c r="G239">
        <f t="shared" si="21"/>
        <v>200</v>
      </c>
      <c r="H239">
        <f t="shared" si="22"/>
        <v>235</v>
      </c>
      <c r="I239">
        <f>(K239+1)*基本公式!$B$187*4/2</f>
        <v>40</v>
      </c>
      <c r="P239" t="s">
        <v>765</v>
      </c>
    </row>
    <row r="240" spans="1:16">
      <c r="A240">
        <v>132</v>
      </c>
      <c r="B240" s="16" t="s">
        <v>334</v>
      </c>
      <c r="C240">
        <v>40</v>
      </c>
      <c r="D240">
        <v>30</v>
      </c>
      <c r="E240">
        <v>55</v>
      </c>
      <c r="F240">
        <v>50</v>
      </c>
      <c r="G240">
        <f t="shared" si="21"/>
        <v>125</v>
      </c>
      <c r="H240">
        <f t="shared" si="22"/>
        <v>175</v>
      </c>
      <c r="I240">
        <f>(K240+1)*基本公式!$B$187*4/2</f>
        <v>40</v>
      </c>
      <c r="P240" t="s">
        <v>335</v>
      </c>
    </row>
    <row r="241" spans="1:16">
      <c r="A241">
        <v>134</v>
      </c>
      <c r="B241" s="16" t="s">
        <v>692</v>
      </c>
      <c r="C241">
        <v>55</v>
      </c>
      <c r="D241">
        <v>50</v>
      </c>
      <c r="E241">
        <v>55</v>
      </c>
      <c r="F241">
        <v>50</v>
      </c>
      <c r="G241">
        <f t="shared" si="21"/>
        <v>160</v>
      </c>
      <c r="H241">
        <f t="shared" si="22"/>
        <v>210</v>
      </c>
      <c r="I241">
        <f>(K241+1)*基本公式!$B$187*4/2</f>
        <v>40</v>
      </c>
    </row>
    <row r="242" spans="1:16">
      <c r="A242">
        <v>135</v>
      </c>
      <c r="B242" s="16" t="s">
        <v>693</v>
      </c>
      <c r="C242">
        <v>70</v>
      </c>
      <c r="D242">
        <v>50</v>
      </c>
      <c r="E242">
        <v>65</v>
      </c>
      <c r="F242">
        <v>45</v>
      </c>
      <c r="G242">
        <f t="shared" si="21"/>
        <v>185</v>
      </c>
      <c r="H242">
        <f t="shared" si="22"/>
        <v>230</v>
      </c>
      <c r="I242">
        <f>(K242+1)*基本公式!$B$187*4/2</f>
        <v>40</v>
      </c>
      <c r="P242" t="s">
        <v>694</v>
      </c>
    </row>
    <row r="243" spans="1:16">
      <c r="A243">
        <v>136</v>
      </c>
      <c r="B243" s="16" t="s">
        <v>695</v>
      </c>
      <c r="C243">
        <v>45</v>
      </c>
      <c r="D243">
        <v>35</v>
      </c>
      <c r="E243">
        <v>60</v>
      </c>
      <c r="F243">
        <v>50</v>
      </c>
      <c r="G243">
        <f t="shared" si="21"/>
        <v>140</v>
      </c>
      <c r="H243">
        <f t="shared" si="22"/>
        <v>190</v>
      </c>
      <c r="I243">
        <f>(K243+1)*基本公式!$B$187*4/2</f>
        <v>40</v>
      </c>
      <c r="P243" t="s">
        <v>696</v>
      </c>
    </row>
    <row r="244" spans="1:16">
      <c r="A244">
        <v>137</v>
      </c>
      <c r="B244" s="16" t="s">
        <v>690</v>
      </c>
      <c r="C244">
        <v>50</v>
      </c>
      <c r="D244">
        <v>45</v>
      </c>
      <c r="E244">
        <v>60</v>
      </c>
      <c r="F244">
        <v>55</v>
      </c>
      <c r="G244">
        <f t="shared" si="21"/>
        <v>155</v>
      </c>
      <c r="H244">
        <f t="shared" si="22"/>
        <v>210</v>
      </c>
      <c r="I244">
        <f>(K244+1)*基本公式!$B$187*4/2</f>
        <v>40</v>
      </c>
    </row>
    <row r="245" spans="1:16">
      <c r="A245">
        <v>138</v>
      </c>
      <c r="B245" s="16" t="s">
        <v>691</v>
      </c>
      <c r="C245">
        <v>45</v>
      </c>
      <c r="D245">
        <v>50</v>
      </c>
      <c r="E245">
        <v>50</v>
      </c>
      <c r="F245">
        <v>55</v>
      </c>
      <c r="G245">
        <f t="shared" si="21"/>
        <v>145</v>
      </c>
      <c r="H245">
        <f t="shared" si="22"/>
        <v>200</v>
      </c>
      <c r="I245">
        <f>(K245+1)*基本公式!$B$187*4/2</f>
        <v>40</v>
      </c>
    </row>
    <row r="246" spans="1:16">
      <c r="A246">
        <v>139</v>
      </c>
      <c r="B246" s="16" t="s">
        <v>604</v>
      </c>
      <c r="C246">
        <v>60</v>
      </c>
      <c r="D246">
        <v>70</v>
      </c>
      <c r="E246">
        <v>35</v>
      </c>
      <c r="F246">
        <v>30</v>
      </c>
      <c r="G246">
        <f t="shared" si="21"/>
        <v>165</v>
      </c>
      <c r="H246">
        <f t="shared" si="22"/>
        <v>195</v>
      </c>
      <c r="I246">
        <f>(K246+1)*基本公式!$B$187*4/2</f>
        <v>40</v>
      </c>
      <c r="P246" t="s">
        <v>605</v>
      </c>
    </row>
    <row r="247" spans="1:16">
      <c r="A247">
        <v>140</v>
      </c>
      <c r="B247" s="16" t="s">
        <v>590</v>
      </c>
      <c r="C247">
        <v>60</v>
      </c>
      <c r="D247">
        <v>55</v>
      </c>
      <c r="E247">
        <v>40</v>
      </c>
      <c r="F247">
        <v>35</v>
      </c>
      <c r="G247">
        <f t="shared" si="21"/>
        <v>155</v>
      </c>
      <c r="H247">
        <f t="shared" si="22"/>
        <v>190</v>
      </c>
      <c r="I247">
        <f>(K247+1)*基本公式!$B$187*4/2</f>
        <v>40</v>
      </c>
      <c r="P247" t="s">
        <v>595</v>
      </c>
    </row>
    <row r="248" spans="1:16">
      <c r="A248">
        <v>141</v>
      </c>
      <c r="B248" s="16" t="s">
        <v>324</v>
      </c>
      <c r="C248">
        <v>70</v>
      </c>
      <c r="D248">
        <v>100</v>
      </c>
      <c r="E248">
        <v>30</v>
      </c>
      <c r="F248">
        <v>50</v>
      </c>
      <c r="G248">
        <f t="shared" si="21"/>
        <v>200</v>
      </c>
      <c r="H248">
        <f t="shared" si="22"/>
        <v>250</v>
      </c>
      <c r="I248">
        <f>(K248+1)*基本公式!$B$187*4/2</f>
        <v>40</v>
      </c>
      <c r="P248" t="s">
        <v>597</v>
      </c>
    </row>
    <row r="249" spans="1:16">
      <c r="A249">
        <v>142</v>
      </c>
      <c r="B249" s="16" t="s">
        <v>602</v>
      </c>
      <c r="C249">
        <v>45</v>
      </c>
      <c r="D249">
        <v>35</v>
      </c>
      <c r="E249">
        <v>75</v>
      </c>
      <c r="F249">
        <v>70</v>
      </c>
      <c r="G249">
        <f t="shared" si="21"/>
        <v>155</v>
      </c>
      <c r="H249">
        <f t="shared" si="22"/>
        <v>225</v>
      </c>
      <c r="I249">
        <f>(K249+1)*基本公式!$B$187*4/2</f>
        <v>40</v>
      </c>
      <c r="P249" t="s">
        <v>603</v>
      </c>
    </row>
    <row r="250" spans="1:16">
      <c r="A250">
        <v>143</v>
      </c>
      <c r="B250" s="16" t="s">
        <v>589</v>
      </c>
      <c r="C250">
        <v>65</v>
      </c>
      <c r="D250">
        <v>40</v>
      </c>
      <c r="E250">
        <v>55</v>
      </c>
      <c r="F250">
        <v>50</v>
      </c>
      <c r="G250">
        <f t="shared" si="21"/>
        <v>160</v>
      </c>
      <c r="H250">
        <f t="shared" si="22"/>
        <v>210</v>
      </c>
      <c r="I250">
        <f>(K250+1)*基本公式!$B$187*4/2</f>
        <v>40</v>
      </c>
      <c r="P250" t="s">
        <v>594</v>
      </c>
    </row>
    <row r="251" spans="1:16">
      <c r="A251">
        <v>144</v>
      </c>
      <c r="B251" s="16" t="s">
        <v>591</v>
      </c>
      <c r="C251">
        <v>60</v>
      </c>
      <c r="D251">
        <v>40</v>
      </c>
      <c r="E251">
        <v>45</v>
      </c>
      <c r="F251">
        <v>50</v>
      </c>
      <c r="G251">
        <f t="shared" si="21"/>
        <v>145</v>
      </c>
      <c r="H251">
        <f t="shared" si="22"/>
        <v>195</v>
      </c>
      <c r="I251">
        <f>(K251+1)*基本公式!$B$187*4/2</f>
        <v>40</v>
      </c>
      <c r="P251" t="s">
        <v>596</v>
      </c>
    </row>
    <row r="252" spans="1:16">
      <c r="A252">
        <v>145</v>
      </c>
      <c r="B252" s="16" t="s">
        <v>592</v>
      </c>
      <c r="C252">
        <v>80</v>
      </c>
      <c r="D252">
        <v>90</v>
      </c>
      <c r="E252">
        <v>45</v>
      </c>
      <c r="F252">
        <v>55</v>
      </c>
      <c r="G252">
        <f t="shared" si="21"/>
        <v>215</v>
      </c>
      <c r="H252">
        <f t="shared" si="22"/>
        <v>270</v>
      </c>
      <c r="I252">
        <f>(K252+1)*基本公式!$B$187*4/2</f>
        <v>40</v>
      </c>
      <c r="P252" t="s">
        <v>598</v>
      </c>
    </row>
    <row r="253" spans="1:16">
      <c r="A253">
        <v>146</v>
      </c>
      <c r="B253" s="16" t="s">
        <v>600</v>
      </c>
      <c r="C253">
        <v>50</v>
      </c>
      <c r="D253">
        <v>40</v>
      </c>
      <c r="E253">
        <v>70</v>
      </c>
      <c r="F253">
        <v>75</v>
      </c>
      <c r="G253">
        <f t="shared" si="21"/>
        <v>160</v>
      </c>
      <c r="H253">
        <f t="shared" si="22"/>
        <v>235</v>
      </c>
      <c r="I253">
        <f>(K253+1)*基本公式!$B$187*4/2</f>
        <v>40</v>
      </c>
      <c r="P253" t="s">
        <v>601</v>
      </c>
    </row>
    <row r="254" spans="1:16">
      <c r="A254">
        <v>147</v>
      </c>
      <c r="B254" s="16" t="s">
        <v>593</v>
      </c>
      <c r="C254">
        <v>70</v>
      </c>
      <c r="D254">
        <v>85</v>
      </c>
      <c r="E254">
        <v>45</v>
      </c>
      <c r="F254">
        <v>50</v>
      </c>
      <c r="G254">
        <f t="shared" si="21"/>
        <v>200</v>
      </c>
      <c r="H254">
        <f t="shared" si="22"/>
        <v>250</v>
      </c>
      <c r="I254">
        <f>(K254+1)*基本公式!$B$187*4/2</f>
        <v>40</v>
      </c>
      <c r="P254" t="s">
        <v>599</v>
      </c>
    </row>
    <row r="255" spans="1:16">
      <c r="A255">
        <v>148</v>
      </c>
      <c r="B255" s="16" t="s">
        <v>328</v>
      </c>
      <c r="C255">
        <v>35</v>
      </c>
      <c r="D255">
        <v>30</v>
      </c>
      <c r="E255">
        <v>95</v>
      </c>
      <c r="F255">
        <v>75</v>
      </c>
      <c r="G255">
        <f t="shared" si="21"/>
        <v>160</v>
      </c>
      <c r="H255">
        <f t="shared" si="22"/>
        <v>235</v>
      </c>
      <c r="I255">
        <f>(K255+1)*基本公式!$B$187*4/2</f>
        <v>40</v>
      </c>
      <c r="P255" t="s">
        <v>329</v>
      </c>
    </row>
    <row r="256" spans="1:16">
      <c r="A256">
        <v>150</v>
      </c>
      <c r="B256" s="16" t="s">
        <v>640</v>
      </c>
      <c r="C256">
        <v>90</v>
      </c>
      <c r="D256">
        <v>100</v>
      </c>
      <c r="E256">
        <v>45</v>
      </c>
      <c r="F256">
        <v>70</v>
      </c>
      <c r="G256">
        <f t="shared" si="21"/>
        <v>235</v>
      </c>
      <c r="H256">
        <f t="shared" si="22"/>
        <v>305</v>
      </c>
      <c r="I256">
        <f>(K256+1)*基本公式!$B$187*4/2</f>
        <v>40</v>
      </c>
      <c r="P256" t="s">
        <v>641</v>
      </c>
    </row>
    <row r="257" spans="1:16">
      <c r="A257">
        <v>151</v>
      </c>
      <c r="B257" s="16" t="s">
        <v>666</v>
      </c>
      <c r="C257">
        <v>65</v>
      </c>
      <c r="D257">
        <v>70</v>
      </c>
      <c r="E257">
        <v>40</v>
      </c>
      <c r="F257">
        <v>40</v>
      </c>
      <c r="G257">
        <f t="shared" si="21"/>
        <v>175</v>
      </c>
      <c r="H257">
        <f t="shared" si="22"/>
        <v>215</v>
      </c>
      <c r="I257">
        <f>(K257+1)*基本公式!$B$187*4/2</f>
        <v>40</v>
      </c>
    </row>
    <row r="258" spans="1:16">
      <c r="A258">
        <v>152</v>
      </c>
      <c r="B258" s="16" t="s">
        <v>665</v>
      </c>
      <c r="C258">
        <v>70</v>
      </c>
      <c r="D258">
        <v>80</v>
      </c>
      <c r="E258">
        <v>45</v>
      </c>
      <c r="F258">
        <v>50</v>
      </c>
      <c r="G258">
        <f t="shared" si="21"/>
        <v>195</v>
      </c>
      <c r="H258">
        <f t="shared" si="22"/>
        <v>245</v>
      </c>
      <c r="I258">
        <f>(K258+1)*基本公式!$B$187*4/2</f>
        <v>40</v>
      </c>
    </row>
    <row r="259" spans="1:16">
      <c r="A259">
        <v>153</v>
      </c>
      <c r="B259" s="16" t="s">
        <v>777</v>
      </c>
      <c r="C259">
        <v>90</v>
      </c>
      <c r="D259">
        <v>55</v>
      </c>
      <c r="E259">
        <v>80</v>
      </c>
      <c r="F259">
        <v>90</v>
      </c>
      <c r="G259">
        <f t="shared" si="21"/>
        <v>225</v>
      </c>
      <c r="H259">
        <f t="shared" si="22"/>
        <v>315</v>
      </c>
      <c r="I259">
        <f>(K259+1)*基本公式!$B$187*4/2</f>
        <v>40</v>
      </c>
    </row>
    <row r="260" spans="1:16">
      <c r="A260">
        <v>154</v>
      </c>
      <c r="B260" s="16" t="s">
        <v>673</v>
      </c>
      <c r="C260">
        <v>65</v>
      </c>
      <c r="D260">
        <v>70</v>
      </c>
      <c r="E260">
        <v>55</v>
      </c>
      <c r="F260">
        <v>60</v>
      </c>
      <c r="G260">
        <f t="shared" si="21"/>
        <v>190</v>
      </c>
      <c r="H260">
        <f t="shared" si="22"/>
        <v>250</v>
      </c>
      <c r="I260">
        <f>(K260+1)*基本公式!$B$187*4/2</f>
        <v>40</v>
      </c>
    </row>
    <row r="261" spans="1:16">
      <c r="A261">
        <v>155</v>
      </c>
      <c r="B261" s="16" t="s">
        <v>671</v>
      </c>
      <c r="C261">
        <v>35</v>
      </c>
      <c r="D261">
        <v>40</v>
      </c>
      <c r="E261">
        <v>60</v>
      </c>
      <c r="F261">
        <v>70</v>
      </c>
      <c r="G261">
        <f t="shared" si="21"/>
        <v>135</v>
      </c>
      <c r="H261">
        <f t="shared" si="22"/>
        <v>205</v>
      </c>
      <c r="I261">
        <f>(K261+1)*基本公式!$B$187*4/2</f>
        <v>40</v>
      </c>
    </row>
    <row r="262" spans="1:16">
      <c r="A262">
        <v>156</v>
      </c>
      <c r="B262" s="16" t="s">
        <v>672</v>
      </c>
      <c r="C262">
        <v>40</v>
      </c>
      <c r="D262">
        <v>35</v>
      </c>
      <c r="E262">
        <v>60</v>
      </c>
      <c r="F262">
        <v>70</v>
      </c>
      <c r="G262">
        <f t="shared" si="21"/>
        <v>135</v>
      </c>
      <c r="H262">
        <f t="shared" si="22"/>
        <v>205</v>
      </c>
      <c r="I262">
        <f>(K262+1)*基本公式!$B$187*4/2</f>
        <v>40</v>
      </c>
    </row>
    <row r="263" spans="1:16">
      <c r="A263">
        <v>157</v>
      </c>
      <c r="B263" s="16" t="s">
        <v>773</v>
      </c>
      <c r="C263">
        <v>95</v>
      </c>
      <c r="D263">
        <v>30</v>
      </c>
      <c r="E263">
        <v>100</v>
      </c>
      <c r="F263">
        <v>135</v>
      </c>
      <c r="G263">
        <f t="shared" si="21"/>
        <v>225</v>
      </c>
      <c r="H263">
        <f t="shared" si="22"/>
        <v>360</v>
      </c>
      <c r="I263">
        <f>(K263+1)*基本公式!$B$187*4/2</f>
        <v>40</v>
      </c>
    </row>
    <row r="264" spans="1:16">
      <c r="A264">
        <v>158</v>
      </c>
      <c r="B264" s="16" t="s">
        <v>771</v>
      </c>
      <c r="C264">
        <v>60</v>
      </c>
      <c r="D264">
        <v>75</v>
      </c>
      <c r="E264">
        <v>35</v>
      </c>
      <c r="F264">
        <v>30</v>
      </c>
      <c r="G264">
        <f t="shared" si="21"/>
        <v>170</v>
      </c>
      <c r="H264">
        <f t="shared" si="22"/>
        <v>200</v>
      </c>
      <c r="I264">
        <f>(K264+1)*基本公式!$B$187*4/2</f>
        <v>40</v>
      </c>
      <c r="P264" t="s">
        <v>772</v>
      </c>
    </row>
    <row r="265" spans="1:16">
      <c r="A265">
        <v>159</v>
      </c>
      <c r="B265" s="16" t="s">
        <v>732</v>
      </c>
      <c r="C265">
        <v>35</v>
      </c>
      <c r="D265">
        <v>45</v>
      </c>
      <c r="E265">
        <v>75</v>
      </c>
      <c r="F265">
        <v>90</v>
      </c>
      <c r="G265">
        <f t="shared" si="21"/>
        <v>155</v>
      </c>
      <c r="H265">
        <f t="shared" si="22"/>
        <v>245</v>
      </c>
      <c r="I265">
        <f>(K265+1)*基本公式!$B$187*4/2</f>
        <v>40</v>
      </c>
    </row>
    <row r="266" spans="1:16" s="8" customFormat="1">
      <c r="B266" s="8" t="s">
        <v>339</v>
      </c>
    </row>
    <row r="267" spans="1:16">
      <c r="A267">
        <v>1</v>
      </c>
      <c r="B267" s="16" t="s">
        <v>781</v>
      </c>
      <c r="C267">
        <v>85</v>
      </c>
      <c r="D267">
        <v>90</v>
      </c>
      <c r="E267">
        <v>60</v>
      </c>
      <c r="F267">
        <v>60</v>
      </c>
      <c r="G267">
        <f t="shared" ref="G267:G286" si="23">SUM(C267:E267)</f>
        <v>235</v>
      </c>
      <c r="H267">
        <f t="shared" ref="H267:H286" si="24">SUM(C267:F267)</f>
        <v>295</v>
      </c>
      <c r="I267">
        <f>(K267+1)*基本公式!$B$187*4/2</f>
        <v>40</v>
      </c>
      <c r="P267" t="s">
        <v>782</v>
      </c>
    </row>
    <row r="268" spans="1:16">
      <c r="A268">
        <v>2</v>
      </c>
      <c r="B268" s="16" t="s">
        <v>827</v>
      </c>
      <c r="C268">
        <v>80</v>
      </c>
      <c r="D268">
        <v>70</v>
      </c>
      <c r="E268">
        <v>75</v>
      </c>
      <c r="F268">
        <v>70</v>
      </c>
      <c r="G268">
        <f t="shared" si="23"/>
        <v>225</v>
      </c>
      <c r="H268">
        <f t="shared" si="24"/>
        <v>295</v>
      </c>
      <c r="I268">
        <f>(K268+1)*基本公式!$B$187*4/2</f>
        <v>40</v>
      </c>
      <c r="P268" t="s">
        <v>828</v>
      </c>
    </row>
    <row r="269" spans="1:16">
      <c r="A269">
        <v>3</v>
      </c>
      <c r="B269" s="16" t="s">
        <v>785</v>
      </c>
      <c r="C269">
        <v>70</v>
      </c>
      <c r="D269">
        <v>85</v>
      </c>
      <c r="E269">
        <v>65</v>
      </c>
      <c r="F269">
        <v>65</v>
      </c>
      <c r="G269">
        <f t="shared" si="23"/>
        <v>220</v>
      </c>
      <c r="H269">
        <f t="shared" si="24"/>
        <v>285</v>
      </c>
      <c r="I269">
        <f>(K269+1)*基本公式!$B$187*4/2</f>
        <v>40</v>
      </c>
      <c r="P269" t="s">
        <v>786</v>
      </c>
    </row>
    <row r="270" spans="1:16">
      <c r="A270">
        <v>4</v>
      </c>
      <c r="B270" s="16" t="s">
        <v>830</v>
      </c>
      <c r="C270">
        <v>65</v>
      </c>
      <c r="D270">
        <v>80</v>
      </c>
      <c r="E270">
        <v>70</v>
      </c>
      <c r="F270">
        <v>60</v>
      </c>
      <c r="G270">
        <f>SUM(C270:F270)</f>
        <v>275</v>
      </c>
      <c r="H270">
        <f t="shared" si="24"/>
        <v>275</v>
      </c>
      <c r="I270">
        <f>(K270+1)*基本公式!$B$187*4/2</f>
        <v>40</v>
      </c>
      <c r="P270" t="s">
        <v>831</v>
      </c>
    </row>
    <row r="271" spans="1:16">
      <c r="A271">
        <v>5</v>
      </c>
      <c r="B271" s="16" t="s">
        <v>832</v>
      </c>
      <c r="C271">
        <v>75</v>
      </c>
      <c r="D271">
        <v>50</v>
      </c>
      <c r="E271">
        <v>85</v>
      </c>
      <c r="F271">
        <v>95</v>
      </c>
      <c r="G271">
        <f>SUM(C271:E271)</f>
        <v>210</v>
      </c>
      <c r="H271">
        <f t="shared" si="24"/>
        <v>305</v>
      </c>
      <c r="I271">
        <f>(K271+1)*基本公式!$B$187*4/2</f>
        <v>40</v>
      </c>
      <c r="P271" t="s">
        <v>833</v>
      </c>
    </row>
    <row r="272" spans="1:16">
      <c r="A272">
        <v>6</v>
      </c>
      <c r="B272" s="16" t="s">
        <v>783</v>
      </c>
      <c r="C272">
        <v>65</v>
      </c>
      <c r="D272">
        <v>90</v>
      </c>
      <c r="E272">
        <v>65</v>
      </c>
      <c r="F272">
        <v>60</v>
      </c>
      <c r="G272">
        <f>SUM(C272:E272)</f>
        <v>220</v>
      </c>
      <c r="H272">
        <f>SUM(C272:F272)</f>
        <v>280</v>
      </c>
      <c r="I272">
        <f>(K272+1)*基本公式!$B$187*4/2</f>
        <v>40</v>
      </c>
      <c r="P272" t="s">
        <v>784</v>
      </c>
    </row>
    <row r="273" spans="1:16">
      <c r="A273">
        <v>7</v>
      </c>
      <c r="B273" s="16" t="s">
        <v>787</v>
      </c>
      <c r="C273">
        <v>80</v>
      </c>
      <c r="D273">
        <v>70</v>
      </c>
      <c r="E273">
        <v>100</v>
      </c>
      <c r="F273">
        <v>70</v>
      </c>
      <c r="G273">
        <f>SUM(C273:E273)</f>
        <v>250</v>
      </c>
      <c r="H273">
        <f>SUM(C273:F273)</f>
        <v>320</v>
      </c>
      <c r="I273">
        <f>(K273+1)*基本公式!$B$187*4/2</f>
        <v>40</v>
      </c>
      <c r="P273" t="s">
        <v>788</v>
      </c>
    </row>
    <row r="274" spans="1:16">
      <c r="A274">
        <v>8</v>
      </c>
      <c r="B274" s="16" t="s">
        <v>829</v>
      </c>
      <c r="C274">
        <v>85</v>
      </c>
      <c r="D274">
        <v>80</v>
      </c>
      <c r="E274">
        <v>60</v>
      </c>
      <c r="F274">
        <v>60</v>
      </c>
      <c r="G274">
        <f t="shared" si="23"/>
        <v>225</v>
      </c>
      <c r="H274">
        <f t="shared" si="24"/>
        <v>285</v>
      </c>
      <c r="I274">
        <f>(K274+1)*基本公式!$B$187*4/2</f>
        <v>40</v>
      </c>
      <c r="P274" t="s">
        <v>340</v>
      </c>
    </row>
    <row r="275" spans="1:16">
      <c r="A275">
        <v>9</v>
      </c>
      <c r="B275" s="16" t="s">
        <v>790</v>
      </c>
      <c r="C275">
        <v>95</v>
      </c>
      <c r="D275">
        <v>70</v>
      </c>
      <c r="E275">
        <v>120</v>
      </c>
      <c r="F275">
        <v>80</v>
      </c>
      <c r="G275">
        <f>SUM(C275:E275)</f>
        <v>285</v>
      </c>
      <c r="H275">
        <f t="shared" si="24"/>
        <v>365</v>
      </c>
      <c r="I275">
        <f>(K275+1)*基本公式!$B$187*4/2</f>
        <v>40</v>
      </c>
      <c r="P275" t="s">
        <v>789</v>
      </c>
    </row>
    <row r="276" spans="1:16">
      <c r="A276">
        <v>10</v>
      </c>
      <c r="B276" s="16" t="s">
        <v>791</v>
      </c>
      <c r="C276">
        <v>90</v>
      </c>
      <c r="D276">
        <v>40</v>
      </c>
      <c r="E276">
        <v>110</v>
      </c>
      <c r="F276">
        <v>90</v>
      </c>
      <c r="G276">
        <f t="shared" si="23"/>
        <v>240</v>
      </c>
      <c r="H276">
        <f t="shared" si="24"/>
        <v>330</v>
      </c>
      <c r="I276">
        <f>(K276+1)*基本公式!$B$187*4/2</f>
        <v>40</v>
      </c>
    </row>
    <row r="277" spans="1:16">
      <c r="A277">
        <v>11</v>
      </c>
      <c r="B277" s="16" t="s">
        <v>792</v>
      </c>
      <c r="C277">
        <v>60</v>
      </c>
      <c r="D277">
        <v>40</v>
      </c>
      <c r="E277">
        <v>90</v>
      </c>
      <c r="F277">
        <v>70</v>
      </c>
      <c r="G277">
        <f t="shared" si="23"/>
        <v>190</v>
      </c>
      <c r="H277">
        <f t="shared" si="24"/>
        <v>260</v>
      </c>
      <c r="I277">
        <f>(K277+1)*基本公式!$B$187*4/2</f>
        <v>40</v>
      </c>
    </row>
    <row r="278" spans="1:16">
      <c r="A278">
        <v>12</v>
      </c>
      <c r="B278" s="16" t="s">
        <v>793</v>
      </c>
      <c r="C278">
        <v>85</v>
      </c>
      <c r="D278">
        <v>85</v>
      </c>
      <c r="E278">
        <v>80</v>
      </c>
      <c r="F278">
        <v>60</v>
      </c>
      <c r="G278">
        <f t="shared" si="23"/>
        <v>250</v>
      </c>
      <c r="H278">
        <f t="shared" si="24"/>
        <v>310</v>
      </c>
      <c r="I278">
        <f>(K278+1)*基本公式!$B$187*4/2</f>
        <v>40</v>
      </c>
      <c r="P278" t="s">
        <v>795</v>
      </c>
    </row>
    <row r="279" spans="1:16">
      <c r="A279">
        <v>13</v>
      </c>
      <c r="B279" s="16" t="s">
        <v>794</v>
      </c>
      <c r="C279">
        <v>80</v>
      </c>
      <c r="D279">
        <v>80</v>
      </c>
      <c r="E279">
        <v>75</v>
      </c>
      <c r="F279">
        <v>65</v>
      </c>
      <c r="G279">
        <f t="shared" si="23"/>
        <v>235</v>
      </c>
      <c r="H279">
        <f t="shared" si="24"/>
        <v>300</v>
      </c>
      <c r="I279">
        <f>(K279+1)*基本公式!$B$187*4/2</f>
        <v>40</v>
      </c>
      <c r="P279" t="s">
        <v>796</v>
      </c>
    </row>
    <row r="280" spans="1:16">
      <c r="A280">
        <v>14</v>
      </c>
      <c r="B280" s="16" t="s">
        <v>798</v>
      </c>
      <c r="C280">
        <v>90</v>
      </c>
      <c r="D280">
        <v>70</v>
      </c>
      <c r="E280">
        <v>80</v>
      </c>
      <c r="F280">
        <v>70</v>
      </c>
      <c r="G280">
        <f t="shared" si="23"/>
        <v>240</v>
      </c>
      <c r="H280">
        <f t="shared" si="24"/>
        <v>310</v>
      </c>
      <c r="I280">
        <f>(K280+1)*基本公式!$B$187*4/2</f>
        <v>40</v>
      </c>
      <c r="P280" t="s">
        <v>797</v>
      </c>
    </row>
    <row r="281" spans="1:16">
      <c r="A281">
        <v>15</v>
      </c>
      <c r="B281" s="16" t="s">
        <v>800</v>
      </c>
      <c r="C281">
        <v>70</v>
      </c>
      <c r="D281">
        <v>60</v>
      </c>
      <c r="E281">
        <v>100</v>
      </c>
      <c r="F281">
        <v>80</v>
      </c>
      <c r="G281">
        <f t="shared" si="23"/>
        <v>230</v>
      </c>
      <c r="H281">
        <f t="shared" si="24"/>
        <v>310</v>
      </c>
      <c r="I281">
        <f>(K281+1)*基本公式!$B$187*4/2</f>
        <v>40</v>
      </c>
      <c r="P281" t="s">
        <v>799</v>
      </c>
    </row>
    <row r="282" spans="1:16">
      <c r="A282">
        <v>16</v>
      </c>
      <c r="B282" s="16" t="s">
        <v>801</v>
      </c>
      <c r="C282">
        <v>70</v>
      </c>
      <c r="D282">
        <v>50</v>
      </c>
      <c r="E282">
        <v>90</v>
      </c>
      <c r="F282">
        <v>100</v>
      </c>
      <c r="G282">
        <f t="shared" si="23"/>
        <v>210</v>
      </c>
      <c r="H282">
        <f t="shared" si="24"/>
        <v>310</v>
      </c>
      <c r="I282">
        <f>(K282+1)*基本公式!$B$187*4/2</f>
        <v>40</v>
      </c>
      <c r="P282" t="s">
        <v>802</v>
      </c>
    </row>
    <row r="283" spans="1:16">
      <c r="A283">
        <v>17</v>
      </c>
      <c r="B283" s="16" t="s">
        <v>803</v>
      </c>
      <c r="C283">
        <v>105</v>
      </c>
      <c r="D283">
        <v>85</v>
      </c>
      <c r="E283">
        <v>75</v>
      </c>
      <c r="F283">
        <v>95</v>
      </c>
      <c r="G283">
        <f t="shared" si="23"/>
        <v>265</v>
      </c>
      <c r="H283">
        <f t="shared" si="24"/>
        <v>360</v>
      </c>
      <c r="I283">
        <f>(K283+1)*基本公式!$B$187*4/2</f>
        <v>40</v>
      </c>
      <c r="P283" t="s">
        <v>804</v>
      </c>
    </row>
    <row r="284" spans="1:16">
      <c r="A284">
        <v>18</v>
      </c>
      <c r="B284" s="16" t="s">
        <v>805</v>
      </c>
      <c r="C284">
        <v>70</v>
      </c>
      <c r="D284">
        <v>65</v>
      </c>
      <c r="E284">
        <v>60</v>
      </c>
      <c r="F284">
        <v>65</v>
      </c>
      <c r="G284">
        <f t="shared" si="23"/>
        <v>195</v>
      </c>
      <c r="H284">
        <f t="shared" si="24"/>
        <v>260</v>
      </c>
      <c r="I284">
        <f>(K284+1)*基本公式!$B$187*4/2</f>
        <v>40</v>
      </c>
      <c r="P284" t="s">
        <v>806</v>
      </c>
    </row>
    <row r="285" spans="1:16">
      <c r="A285">
        <v>19</v>
      </c>
      <c r="B285" s="16" t="s">
        <v>807</v>
      </c>
      <c r="C285">
        <v>80</v>
      </c>
      <c r="D285">
        <v>70</v>
      </c>
      <c r="E285">
        <v>75</v>
      </c>
      <c r="F285">
        <v>70</v>
      </c>
      <c r="G285">
        <f t="shared" si="23"/>
        <v>225</v>
      </c>
      <c r="H285">
        <f t="shared" si="24"/>
        <v>295</v>
      </c>
      <c r="I285">
        <f>(K285+1)*基本公式!$B$187*4/2</f>
        <v>40</v>
      </c>
      <c r="P285" t="s">
        <v>808</v>
      </c>
    </row>
    <row r="286" spans="1:16">
      <c r="A286">
        <v>20</v>
      </c>
      <c r="B286" s="16" t="s">
        <v>810</v>
      </c>
      <c r="C286">
        <v>80</v>
      </c>
      <c r="D286">
        <v>60</v>
      </c>
      <c r="E286">
        <v>90</v>
      </c>
      <c r="F286">
        <v>70</v>
      </c>
      <c r="G286">
        <f t="shared" si="23"/>
        <v>230</v>
      </c>
      <c r="H286">
        <f t="shared" si="24"/>
        <v>300</v>
      </c>
      <c r="I286">
        <f>(K286+1)*基本公式!$B$187*4/2</f>
        <v>40</v>
      </c>
      <c r="P286" t="s">
        <v>809</v>
      </c>
    </row>
    <row r="287" spans="1:16">
      <c r="A287">
        <v>21</v>
      </c>
      <c r="B287" s="16" t="s">
        <v>811</v>
      </c>
      <c r="C287">
        <v>60</v>
      </c>
      <c r="D287">
        <v>55</v>
      </c>
      <c r="E287">
        <v>85</v>
      </c>
      <c r="F287">
        <v>75</v>
      </c>
      <c r="G287">
        <f t="shared" ref="G287:G310" si="25">SUM(C287:E287)</f>
        <v>200</v>
      </c>
      <c r="H287">
        <f t="shared" ref="H287:H310" si="26">SUM(C287:F287)</f>
        <v>275</v>
      </c>
      <c r="I287">
        <f>(K287+1)*基本公式!$B$187*4/2</f>
        <v>40</v>
      </c>
      <c r="P287" t="s">
        <v>812</v>
      </c>
    </row>
    <row r="288" spans="1:16">
      <c r="A288">
        <v>22</v>
      </c>
      <c r="B288" s="16" t="s">
        <v>813</v>
      </c>
      <c r="C288">
        <v>60</v>
      </c>
      <c r="D288">
        <v>50</v>
      </c>
      <c r="E288">
        <v>85</v>
      </c>
      <c r="F288">
        <v>70</v>
      </c>
      <c r="G288">
        <f t="shared" si="25"/>
        <v>195</v>
      </c>
      <c r="H288">
        <f t="shared" si="26"/>
        <v>265</v>
      </c>
      <c r="I288">
        <f>(K288+1)*基本公式!$B$187*4/2</f>
        <v>40</v>
      </c>
    </row>
    <row r="289" spans="1:16">
      <c r="A289">
        <v>23</v>
      </c>
      <c r="B289" s="16" t="s">
        <v>814</v>
      </c>
      <c r="C289">
        <v>65</v>
      </c>
      <c r="D289">
        <v>35</v>
      </c>
      <c r="E289">
        <v>80</v>
      </c>
      <c r="F289">
        <v>60</v>
      </c>
      <c r="G289">
        <f t="shared" si="25"/>
        <v>180</v>
      </c>
      <c r="H289">
        <f t="shared" si="26"/>
        <v>240</v>
      </c>
      <c r="I289">
        <f>(K289+1)*基本公式!$B$187*4/2</f>
        <v>40</v>
      </c>
    </row>
    <row r="290" spans="1:16">
      <c r="A290">
        <v>24</v>
      </c>
      <c r="B290" s="16" t="s">
        <v>816</v>
      </c>
      <c r="C290">
        <v>70</v>
      </c>
      <c r="D290">
        <v>60</v>
      </c>
      <c r="E290">
        <v>75</v>
      </c>
      <c r="F290">
        <v>70</v>
      </c>
      <c r="G290">
        <f t="shared" si="25"/>
        <v>205</v>
      </c>
      <c r="H290">
        <f t="shared" si="26"/>
        <v>275</v>
      </c>
      <c r="I290">
        <f>(K290+1)*基本公式!$B$187*4/2</f>
        <v>40</v>
      </c>
      <c r="P290" t="s">
        <v>815</v>
      </c>
    </row>
    <row r="291" spans="1:16">
      <c r="A291">
        <v>25</v>
      </c>
      <c r="B291" s="16" t="s">
        <v>817</v>
      </c>
      <c r="C291">
        <v>60</v>
      </c>
      <c r="D291">
        <v>60</v>
      </c>
      <c r="E291">
        <v>70</v>
      </c>
      <c r="F291">
        <v>75</v>
      </c>
      <c r="G291">
        <f t="shared" si="25"/>
        <v>190</v>
      </c>
      <c r="H291">
        <f t="shared" si="26"/>
        <v>265</v>
      </c>
      <c r="I291">
        <f>(K291+1)*基本公式!$B$187*4/2</f>
        <v>40</v>
      </c>
      <c r="P291" t="s">
        <v>818</v>
      </c>
    </row>
    <row r="292" spans="1:16">
      <c r="A292">
        <v>26</v>
      </c>
      <c r="B292" s="16" t="s">
        <v>819</v>
      </c>
      <c r="C292">
        <v>60</v>
      </c>
      <c r="D292">
        <v>50</v>
      </c>
      <c r="E292">
        <v>90</v>
      </c>
      <c r="F292">
        <v>75</v>
      </c>
      <c r="G292">
        <f t="shared" si="25"/>
        <v>200</v>
      </c>
      <c r="H292">
        <f t="shared" si="26"/>
        <v>275</v>
      </c>
      <c r="I292">
        <f>(K292+1)*基本公式!$B$187*4/2</f>
        <v>40</v>
      </c>
      <c r="P292" t="s">
        <v>820</v>
      </c>
    </row>
    <row r="293" spans="1:16">
      <c r="A293">
        <v>27</v>
      </c>
      <c r="B293" s="16" t="s">
        <v>822</v>
      </c>
      <c r="C293">
        <v>87</v>
      </c>
      <c r="D293">
        <v>85</v>
      </c>
      <c r="E293">
        <v>60</v>
      </c>
      <c r="F293">
        <v>70</v>
      </c>
      <c r="G293">
        <f t="shared" si="25"/>
        <v>232</v>
      </c>
      <c r="H293">
        <f t="shared" si="26"/>
        <v>302</v>
      </c>
      <c r="I293">
        <f>(K293+1)*基本公式!$B$187*4/2</f>
        <v>40</v>
      </c>
      <c r="P293" t="s">
        <v>821</v>
      </c>
    </row>
    <row r="294" spans="1:16">
      <c r="A294">
        <v>28</v>
      </c>
      <c r="B294" s="16" t="s">
        <v>823</v>
      </c>
      <c r="C294">
        <v>70</v>
      </c>
      <c r="D294">
        <v>80</v>
      </c>
      <c r="E294">
        <v>90</v>
      </c>
      <c r="F294">
        <v>60</v>
      </c>
      <c r="G294">
        <f t="shared" si="25"/>
        <v>240</v>
      </c>
      <c r="H294">
        <f t="shared" si="26"/>
        <v>300</v>
      </c>
      <c r="I294">
        <f>(K294+1)*基本公式!$B$187*4/2</f>
        <v>40</v>
      </c>
      <c r="P294" t="s">
        <v>824</v>
      </c>
    </row>
    <row r="295" spans="1:16">
      <c r="A295">
        <v>29</v>
      </c>
      <c r="B295" s="16" t="s">
        <v>825</v>
      </c>
      <c r="C295">
        <v>85</v>
      </c>
      <c r="D295">
        <v>70</v>
      </c>
      <c r="E295">
        <v>75</v>
      </c>
      <c r="F295">
        <v>60</v>
      </c>
      <c r="G295">
        <f t="shared" si="25"/>
        <v>230</v>
      </c>
      <c r="H295">
        <f t="shared" si="26"/>
        <v>290</v>
      </c>
      <c r="I295">
        <f>(K295+1)*基本公式!$B$187*4/2</f>
        <v>40</v>
      </c>
      <c r="P295" t="s">
        <v>826</v>
      </c>
    </row>
    <row r="296" spans="1:16">
      <c r="A296">
        <v>30</v>
      </c>
      <c r="B296" s="16" t="s">
        <v>834</v>
      </c>
      <c r="C296">
        <v>85</v>
      </c>
      <c r="D296">
        <v>100</v>
      </c>
      <c r="E296">
        <v>80</v>
      </c>
      <c r="F296">
        <v>70</v>
      </c>
      <c r="G296">
        <f t="shared" si="25"/>
        <v>265</v>
      </c>
      <c r="H296">
        <f t="shared" si="26"/>
        <v>335</v>
      </c>
      <c r="I296">
        <f>(K296+1)*基本公式!$B$187*4/2</f>
        <v>40</v>
      </c>
    </row>
    <row r="297" spans="1:16">
      <c r="A297">
        <v>31</v>
      </c>
      <c r="B297" s="16" t="s">
        <v>835</v>
      </c>
      <c r="C297">
        <v>80</v>
      </c>
      <c r="D297">
        <v>98</v>
      </c>
      <c r="E297">
        <v>65</v>
      </c>
      <c r="F297">
        <v>60</v>
      </c>
      <c r="G297">
        <f t="shared" si="25"/>
        <v>243</v>
      </c>
      <c r="H297">
        <f t="shared" si="26"/>
        <v>303</v>
      </c>
      <c r="I297">
        <f>(K297+1)*基本公式!$B$187*4/2</f>
        <v>40</v>
      </c>
    </row>
    <row r="298" spans="1:16">
      <c r="A298">
        <v>32</v>
      </c>
      <c r="B298" s="16" t="s">
        <v>836</v>
      </c>
      <c r="C298">
        <v>75</v>
      </c>
      <c r="D298">
        <v>96</v>
      </c>
      <c r="E298">
        <v>65</v>
      </c>
      <c r="F298">
        <v>65</v>
      </c>
      <c r="G298">
        <f t="shared" si="25"/>
        <v>236</v>
      </c>
      <c r="H298">
        <f t="shared" si="26"/>
        <v>301</v>
      </c>
      <c r="I298">
        <f>(K298+1)*基本公式!$B$187*4/2</f>
        <v>40</v>
      </c>
    </row>
    <row r="299" spans="1:16">
      <c r="A299">
        <v>33</v>
      </c>
      <c r="B299" s="16" t="s">
        <v>837</v>
      </c>
      <c r="C299">
        <v>75</v>
      </c>
      <c r="D299">
        <v>94</v>
      </c>
      <c r="E299">
        <v>90</v>
      </c>
      <c r="F299">
        <v>65</v>
      </c>
      <c r="G299">
        <f t="shared" si="25"/>
        <v>259</v>
      </c>
      <c r="H299">
        <f t="shared" si="26"/>
        <v>324</v>
      </c>
      <c r="I299">
        <f>(K299+1)*基本公式!$B$187*4/2</f>
        <v>40</v>
      </c>
    </row>
    <row r="300" spans="1:16">
      <c r="A300">
        <v>34</v>
      </c>
      <c r="B300" s="16" t="s">
        <v>838</v>
      </c>
      <c r="C300">
        <v>75</v>
      </c>
      <c r="D300">
        <v>92</v>
      </c>
      <c r="E300">
        <v>65</v>
      </c>
      <c r="F300">
        <v>65</v>
      </c>
      <c r="G300">
        <f t="shared" si="25"/>
        <v>232</v>
      </c>
      <c r="H300">
        <f t="shared" si="26"/>
        <v>297</v>
      </c>
      <c r="I300">
        <f>(K300+1)*基本公式!$B$187*4/2</f>
        <v>40</v>
      </c>
    </row>
    <row r="301" spans="1:16">
      <c r="A301">
        <v>35</v>
      </c>
      <c r="B301" s="16" t="s">
        <v>839</v>
      </c>
      <c r="C301">
        <v>75</v>
      </c>
      <c r="D301">
        <v>90</v>
      </c>
      <c r="E301">
        <v>65</v>
      </c>
      <c r="F301">
        <v>65</v>
      </c>
      <c r="G301">
        <f t="shared" si="25"/>
        <v>230</v>
      </c>
      <c r="H301">
        <f t="shared" si="26"/>
        <v>295</v>
      </c>
      <c r="I301">
        <f>(K301+1)*基本公式!$B$187*4/2</f>
        <v>40</v>
      </c>
    </row>
    <row r="302" spans="1:16">
      <c r="A302">
        <v>36</v>
      </c>
      <c r="B302" s="16" t="s">
        <v>840</v>
      </c>
      <c r="C302">
        <v>75</v>
      </c>
      <c r="D302">
        <v>88</v>
      </c>
      <c r="E302">
        <v>65</v>
      </c>
      <c r="F302">
        <v>65</v>
      </c>
      <c r="G302">
        <f t="shared" si="25"/>
        <v>228</v>
      </c>
      <c r="H302">
        <f t="shared" si="26"/>
        <v>293</v>
      </c>
      <c r="I302">
        <f>(K302+1)*基本公式!$B$187*4/2</f>
        <v>40</v>
      </c>
    </row>
    <row r="303" spans="1:16">
      <c r="A303">
        <v>37</v>
      </c>
      <c r="B303" s="16" t="s">
        <v>841</v>
      </c>
      <c r="C303">
        <v>75</v>
      </c>
      <c r="D303">
        <v>86</v>
      </c>
      <c r="E303">
        <v>85</v>
      </c>
      <c r="F303">
        <v>65</v>
      </c>
      <c r="G303">
        <f t="shared" si="25"/>
        <v>246</v>
      </c>
      <c r="H303">
        <f t="shared" si="26"/>
        <v>311</v>
      </c>
      <c r="I303">
        <f>(K303+1)*基本公式!$B$187*4/2</f>
        <v>40</v>
      </c>
    </row>
    <row r="304" spans="1:16">
      <c r="A304">
        <v>38</v>
      </c>
      <c r="B304" s="16" t="s">
        <v>842</v>
      </c>
      <c r="C304">
        <v>75</v>
      </c>
      <c r="D304">
        <v>84</v>
      </c>
      <c r="E304">
        <v>90</v>
      </c>
      <c r="F304">
        <v>60</v>
      </c>
      <c r="G304">
        <f t="shared" si="25"/>
        <v>249</v>
      </c>
      <c r="H304">
        <f t="shared" si="26"/>
        <v>309</v>
      </c>
      <c r="I304">
        <f>(K304+1)*基本公式!$B$187*4/2</f>
        <v>40</v>
      </c>
    </row>
    <row r="305" spans="1:16">
      <c r="A305">
        <v>39</v>
      </c>
      <c r="B305" s="16" t="s">
        <v>843</v>
      </c>
      <c r="C305">
        <v>75</v>
      </c>
      <c r="D305">
        <v>82</v>
      </c>
      <c r="E305">
        <v>65</v>
      </c>
      <c r="F305">
        <v>60</v>
      </c>
      <c r="G305">
        <f t="shared" si="25"/>
        <v>222</v>
      </c>
      <c r="H305">
        <f t="shared" si="26"/>
        <v>282</v>
      </c>
      <c r="I305">
        <f>(K305+1)*基本公式!$B$187*4/2</f>
        <v>40</v>
      </c>
    </row>
    <row r="306" spans="1:16">
      <c r="A306">
        <v>40</v>
      </c>
      <c r="B306" s="16" t="s">
        <v>844</v>
      </c>
      <c r="C306">
        <v>93</v>
      </c>
      <c r="D306">
        <v>60</v>
      </c>
      <c r="E306">
        <v>65</v>
      </c>
      <c r="F306">
        <v>60</v>
      </c>
      <c r="G306">
        <f t="shared" si="25"/>
        <v>218</v>
      </c>
      <c r="H306">
        <f t="shared" si="26"/>
        <v>278</v>
      </c>
      <c r="I306">
        <f>(K306+1)*基本公式!$B$187*4/2</f>
        <v>40</v>
      </c>
    </row>
    <row r="307" spans="1:16">
      <c r="A307">
        <v>41</v>
      </c>
      <c r="B307" s="16" t="s">
        <v>836</v>
      </c>
      <c r="C307">
        <v>91</v>
      </c>
      <c r="D307">
        <v>60</v>
      </c>
      <c r="E307">
        <v>83</v>
      </c>
      <c r="F307">
        <v>65</v>
      </c>
      <c r="G307">
        <f t="shared" si="25"/>
        <v>234</v>
      </c>
      <c r="H307">
        <f t="shared" si="26"/>
        <v>299</v>
      </c>
      <c r="I307">
        <f>(K307+1)*基本公式!$B$187*4/2</f>
        <v>40</v>
      </c>
    </row>
    <row r="308" spans="1:16">
      <c r="A308">
        <v>42</v>
      </c>
      <c r="B308" s="16" t="s">
        <v>845</v>
      </c>
      <c r="C308">
        <v>89</v>
      </c>
      <c r="D308">
        <v>60</v>
      </c>
      <c r="E308">
        <v>93</v>
      </c>
      <c r="F308">
        <v>55</v>
      </c>
      <c r="G308">
        <f t="shared" si="25"/>
        <v>242</v>
      </c>
      <c r="H308">
        <f t="shared" si="26"/>
        <v>297</v>
      </c>
      <c r="I308">
        <f>(K308+1)*基本公式!$B$187*4/2</f>
        <v>40</v>
      </c>
    </row>
    <row r="309" spans="1:16">
      <c r="A309">
        <v>43</v>
      </c>
      <c r="B309" s="16" t="s">
        <v>838</v>
      </c>
      <c r="C309">
        <v>85</v>
      </c>
      <c r="D309">
        <v>60</v>
      </c>
      <c r="E309">
        <v>80</v>
      </c>
      <c r="F309">
        <v>50</v>
      </c>
      <c r="G309">
        <f t="shared" si="25"/>
        <v>225</v>
      </c>
      <c r="H309">
        <f t="shared" si="26"/>
        <v>275</v>
      </c>
      <c r="I309">
        <f>(K309+1)*基本公式!$B$187*4/2</f>
        <v>40</v>
      </c>
    </row>
    <row r="310" spans="1:16">
      <c r="A310">
        <v>44</v>
      </c>
      <c r="B310" s="16" t="s">
        <v>846</v>
      </c>
      <c r="C310">
        <v>60</v>
      </c>
      <c r="D310">
        <v>75</v>
      </c>
      <c r="E310">
        <v>75</v>
      </c>
      <c r="F310">
        <v>50</v>
      </c>
      <c r="G310">
        <f t="shared" si="25"/>
        <v>210</v>
      </c>
      <c r="H310">
        <f t="shared" si="26"/>
        <v>260</v>
      </c>
      <c r="I310">
        <f>(K310+1)*基本公式!$B$187*4/2</f>
        <v>40</v>
      </c>
    </row>
    <row r="311" spans="1:16" s="8" customFormat="1">
      <c r="B311" s="8" t="s">
        <v>341</v>
      </c>
    </row>
    <row r="312" spans="1:16">
      <c r="A312">
        <v>1</v>
      </c>
      <c r="B312" t="s">
        <v>847</v>
      </c>
      <c r="P312" t="s">
        <v>889</v>
      </c>
    </row>
    <row r="313" spans="1:16">
      <c r="A313">
        <v>2</v>
      </c>
      <c r="B313" t="s">
        <v>848</v>
      </c>
      <c r="P313" t="s">
        <v>890</v>
      </c>
    </row>
    <row r="314" spans="1:16">
      <c r="A314">
        <v>3</v>
      </c>
      <c r="B314" t="s">
        <v>849</v>
      </c>
      <c r="P314" t="s">
        <v>891</v>
      </c>
    </row>
    <row r="315" spans="1:16">
      <c r="A315">
        <v>4</v>
      </c>
      <c r="B315" t="s">
        <v>850</v>
      </c>
      <c r="P315" t="s">
        <v>892</v>
      </c>
    </row>
    <row r="316" spans="1:16">
      <c r="A316">
        <v>5</v>
      </c>
      <c r="B316" t="s">
        <v>851</v>
      </c>
      <c r="P316" t="s">
        <v>893</v>
      </c>
    </row>
    <row r="317" spans="1:16">
      <c r="A317">
        <v>6</v>
      </c>
      <c r="B317" t="s">
        <v>852</v>
      </c>
      <c r="P317" t="s">
        <v>894</v>
      </c>
    </row>
    <row r="318" spans="1:16">
      <c r="A318">
        <v>7</v>
      </c>
      <c r="B318" t="s">
        <v>853</v>
      </c>
      <c r="P318" t="s">
        <v>895</v>
      </c>
    </row>
    <row r="319" spans="1:16">
      <c r="A319">
        <v>8</v>
      </c>
      <c r="B319" t="s">
        <v>854</v>
      </c>
      <c r="P319" t="s">
        <v>896</v>
      </c>
    </row>
    <row r="320" spans="1:16">
      <c r="A320">
        <v>9</v>
      </c>
      <c r="B320" t="s">
        <v>855</v>
      </c>
      <c r="P320" t="s">
        <v>897</v>
      </c>
    </row>
    <row r="321" spans="1:16">
      <c r="A321">
        <v>10</v>
      </c>
      <c r="B321" t="s">
        <v>856</v>
      </c>
      <c r="P321" t="s">
        <v>898</v>
      </c>
    </row>
    <row r="322" spans="1:16">
      <c r="A322">
        <v>11</v>
      </c>
      <c r="B322" t="s">
        <v>857</v>
      </c>
      <c r="P322" t="s">
        <v>899</v>
      </c>
    </row>
    <row r="323" spans="1:16">
      <c r="A323">
        <v>12</v>
      </c>
      <c r="B323" t="s">
        <v>858</v>
      </c>
      <c r="P323" t="s">
        <v>900</v>
      </c>
    </row>
    <row r="324" spans="1:16">
      <c r="A324">
        <v>13</v>
      </c>
      <c r="B324" t="s">
        <v>859</v>
      </c>
      <c r="P324" t="s">
        <v>901</v>
      </c>
    </row>
    <row r="325" spans="1:16">
      <c r="A325">
        <v>14</v>
      </c>
      <c r="B325" t="s">
        <v>860</v>
      </c>
      <c r="P325" t="s">
        <v>902</v>
      </c>
    </row>
    <row r="326" spans="1:16">
      <c r="A326">
        <v>15</v>
      </c>
      <c r="B326" t="s">
        <v>861</v>
      </c>
      <c r="P326" t="s">
        <v>903</v>
      </c>
    </row>
    <row r="327" spans="1:16">
      <c r="A327">
        <v>16</v>
      </c>
      <c r="B327" t="s">
        <v>350</v>
      </c>
      <c r="P327" t="s">
        <v>904</v>
      </c>
    </row>
    <row r="328" spans="1:16">
      <c r="A328">
        <v>17</v>
      </c>
      <c r="B328" t="s">
        <v>862</v>
      </c>
      <c r="P328" t="s">
        <v>905</v>
      </c>
    </row>
    <row r="329" spans="1:16">
      <c r="A329">
        <v>18</v>
      </c>
      <c r="B329" t="s">
        <v>863</v>
      </c>
      <c r="P329" t="s">
        <v>906</v>
      </c>
    </row>
    <row r="330" spans="1:16">
      <c r="A330">
        <v>19</v>
      </c>
      <c r="B330" t="s">
        <v>864</v>
      </c>
      <c r="P330" t="s">
        <v>907</v>
      </c>
    </row>
    <row r="331" spans="1:16">
      <c r="A331">
        <v>20</v>
      </c>
      <c r="B331" t="s">
        <v>865</v>
      </c>
      <c r="P331" t="s">
        <v>908</v>
      </c>
    </row>
    <row r="332" spans="1:16">
      <c r="A332">
        <v>21</v>
      </c>
      <c r="B332" t="s">
        <v>866</v>
      </c>
      <c r="P332" t="s">
        <v>909</v>
      </c>
    </row>
    <row r="333" spans="1:16">
      <c r="A333">
        <v>22</v>
      </c>
      <c r="B333" t="s">
        <v>867</v>
      </c>
      <c r="P333" t="s">
        <v>910</v>
      </c>
    </row>
    <row r="334" spans="1:16">
      <c r="A334">
        <v>23</v>
      </c>
      <c r="B334" t="s">
        <v>868</v>
      </c>
      <c r="P334" t="s">
        <v>911</v>
      </c>
    </row>
    <row r="335" spans="1:16">
      <c r="A335">
        <v>24</v>
      </c>
      <c r="B335" t="s">
        <v>347</v>
      </c>
      <c r="P335" t="s">
        <v>912</v>
      </c>
    </row>
    <row r="336" spans="1:16">
      <c r="A336">
        <v>25</v>
      </c>
      <c r="B336" t="s">
        <v>869</v>
      </c>
      <c r="P336" t="s">
        <v>913</v>
      </c>
    </row>
    <row r="337" spans="1:16">
      <c r="A337">
        <v>26</v>
      </c>
      <c r="B337" t="s">
        <v>346</v>
      </c>
      <c r="P337" t="s">
        <v>914</v>
      </c>
    </row>
    <row r="338" spans="1:16">
      <c r="A338">
        <v>27</v>
      </c>
      <c r="B338" t="s">
        <v>870</v>
      </c>
      <c r="P338" t="s">
        <v>915</v>
      </c>
    </row>
    <row r="339" spans="1:16">
      <c r="A339">
        <v>28</v>
      </c>
      <c r="B339" t="s">
        <v>344</v>
      </c>
      <c r="P339" t="s">
        <v>916</v>
      </c>
    </row>
    <row r="340" spans="1:16">
      <c r="A340">
        <v>29</v>
      </c>
      <c r="B340" t="s">
        <v>871</v>
      </c>
      <c r="P340" t="s">
        <v>917</v>
      </c>
    </row>
    <row r="341" spans="1:16">
      <c r="A341">
        <v>30</v>
      </c>
      <c r="B341" t="s">
        <v>872</v>
      </c>
      <c r="P341" t="s">
        <v>918</v>
      </c>
    </row>
    <row r="342" spans="1:16">
      <c r="A342">
        <v>31</v>
      </c>
      <c r="B342" t="s">
        <v>873</v>
      </c>
      <c r="P342" t="s">
        <v>919</v>
      </c>
    </row>
    <row r="343" spans="1:16">
      <c r="A343">
        <v>32</v>
      </c>
      <c r="B343" t="s">
        <v>874</v>
      </c>
      <c r="P343" t="s">
        <v>920</v>
      </c>
    </row>
    <row r="344" spans="1:16">
      <c r="A344">
        <v>33</v>
      </c>
      <c r="B344" t="s">
        <v>875</v>
      </c>
      <c r="P344" t="s">
        <v>921</v>
      </c>
    </row>
    <row r="345" spans="1:16">
      <c r="A345">
        <v>34</v>
      </c>
      <c r="B345" t="s">
        <v>876</v>
      </c>
      <c r="P345" t="s">
        <v>922</v>
      </c>
    </row>
    <row r="346" spans="1:16">
      <c r="A346">
        <v>35</v>
      </c>
      <c r="B346" t="s">
        <v>349</v>
      </c>
      <c r="P346" t="s">
        <v>923</v>
      </c>
    </row>
    <row r="347" spans="1:16">
      <c r="A347">
        <v>36</v>
      </c>
      <c r="B347" t="s">
        <v>877</v>
      </c>
      <c r="P347" t="s">
        <v>924</v>
      </c>
    </row>
    <row r="348" spans="1:16">
      <c r="A348">
        <v>37</v>
      </c>
      <c r="B348" t="s">
        <v>878</v>
      </c>
      <c r="P348" t="s">
        <v>925</v>
      </c>
    </row>
    <row r="349" spans="1:16">
      <c r="A349">
        <v>38</v>
      </c>
      <c r="B349" t="s">
        <v>879</v>
      </c>
      <c r="P349" t="s">
        <v>926</v>
      </c>
    </row>
    <row r="350" spans="1:16">
      <c r="A350">
        <v>39</v>
      </c>
      <c r="B350" t="s">
        <v>880</v>
      </c>
      <c r="P350" t="s">
        <v>927</v>
      </c>
    </row>
    <row r="351" spans="1:16">
      <c r="A351">
        <v>40</v>
      </c>
      <c r="B351" t="s">
        <v>881</v>
      </c>
      <c r="P351" t="s">
        <v>928</v>
      </c>
    </row>
    <row r="352" spans="1:16">
      <c r="A352">
        <v>41</v>
      </c>
      <c r="B352" t="s">
        <v>882</v>
      </c>
      <c r="P352" t="s">
        <v>929</v>
      </c>
    </row>
    <row r="353" spans="1:16">
      <c r="A353">
        <v>42</v>
      </c>
      <c r="B353" t="s">
        <v>883</v>
      </c>
      <c r="P353" t="s">
        <v>930</v>
      </c>
    </row>
    <row r="354" spans="1:16">
      <c r="A354">
        <v>43</v>
      </c>
      <c r="B354" t="s">
        <v>884</v>
      </c>
      <c r="P354" t="s">
        <v>931</v>
      </c>
    </row>
    <row r="355" spans="1:16">
      <c r="A355">
        <v>44</v>
      </c>
      <c r="B355" t="s">
        <v>348</v>
      </c>
      <c r="P355" t="s">
        <v>932</v>
      </c>
    </row>
    <row r="356" spans="1:16">
      <c r="A356">
        <v>45</v>
      </c>
      <c r="B356" t="s">
        <v>885</v>
      </c>
      <c r="P356" t="s">
        <v>933</v>
      </c>
    </row>
    <row r="357" spans="1:16">
      <c r="A357">
        <v>46</v>
      </c>
      <c r="B357" t="s">
        <v>859</v>
      </c>
      <c r="P357" t="s">
        <v>901</v>
      </c>
    </row>
    <row r="358" spans="1:16">
      <c r="A358">
        <v>47</v>
      </c>
      <c r="B358" t="s">
        <v>886</v>
      </c>
      <c r="P358" t="s">
        <v>934</v>
      </c>
    </row>
    <row r="359" spans="1:16">
      <c r="A359">
        <v>48</v>
      </c>
      <c r="B359" t="s">
        <v>342</v>
      </c>
      <c r="P359" t="s">
        <v>935</v>
      </c>
    </row>
    <row r="360" spans="1:16">
      <c r="A360">
        <v>49</v>
      </c>
      <c r="B360" t="s">
        <v>343</v>
      </c>
      <c r="P360" t="s">
        <v>936</v>
      </c>
    </row>
    <row r="361" spans="1:16">
      <c r="A361">
        <v>50</v>
      </c>
      <c r="B361" t="s">
        <v>887</v>
      </c>
      <c r="P361" t="s">
        <v>937</v>
      </c>
    </row>
    <row r="362" spans="1:16">
      <c r="A362">
        <v>51</v>
      </c>
      <c r="B362" t="s">
        <v>888</v>
      </c>
      <c r="P362" t="s">
        <v>938</v>
      </c>
    </row>
    <row r="363" spans="1:16">
      <c r="A363">
        <v>52</v>
      </c>
      <c r="B363" t="s">
        <v>345</v>
      </c>
      <c r="P363" t="s">
        <v>939</v>
      </c>
    </row>
    <row r="364" spans="1:16" s="8" customFormat="1">
      <c r="B364" s="8" t="s">
        <v>351</v>
      </c>
    </row>
    <row r="365" spans="1:16">
      <c r="A365">
        <v>1</v>
      </c>
      <c r="B365" t="s">
        <v>352</v>
      </c>
      <c r="K365">
        <v>1</v>
      </c>
      <c r="P365" t="s">
        <v>353</v>
      </c>
    </row>
    <row r="366" spans="1:16">
      <c r="A366">
        <v>2</v>
      </c>
      <c r="B366" t="s">
        <v>354</v>
      </c>
      <c r="K366">
        <v>1</v>
      </c>
      <c r="P366" t="s">
        <v>355</v>
      </c>
    </row>
    <row r="367" spans="1:16">
      <c r="A367">
        <v>3</v>
      </c>
      <c r="B367" t="s">
        <v>356</v>
      </c>
      <c r="K367">
        <v>1</v>
      </c>
      <c r="P367" t="s">
        <v>357</v>
      </c>
    </row>
    <row r="368" spans="1:16">
      <c r="A368">
        <v>4</v>
      </c>
      <c r="B368" t="s">
        <v>358</v>
      </c>
      <c r="K368">
        <v>2</v>
      </c>
      <c r="P368" t="s">
        <v>359</v>
      </c>
    </row>
    <row r="369" spans="1:16">
      <c r="A369">
        <v>5</v>
      </c>
      <c r="B369" s="12" t="s">
        <v>360</v>
      </c>
      <c r="K369">
        <v>3</v>
      </c>
      <c r="P369" t="s">
        <v>361</v>
      </c>
    </row>
    <row r="370" spans="1:16">
      <c r="A370">
        <v>6</v>
      </c>
      <c r="B370" s="12" t="s">
        <v>362</v>
      </c>
      <c r="K370">
        <v>4</v>
      </c>
      <c r="P370" t="s">
        <v>363</v>
      </c>
    </row>
    <row r="371" spans="1:16" s="8" customFormat="1">
      <c r="B371" s="8" t="s">
        <v>364</v>
      </c>
    </row>
    <row r="372" spans="1:16">
      <c r="A372">
        <v>1</v>
      </c>
      <c r="B372" t="s">
        <v>365</v>
      </c>
      <c r="K372">
        <v>1</v>
      </c>
      <c r="P372" t="s">
        <v>366</v>
      </c>
    </row>
    <row r="373" spans="1:16">
      <c r="A373">
        <v>2</v>
      </c>
      <c r="B373" t="s">
        <v>367</v>
      </c>
      <c r="K373">
        <v>1</v>
      </c>
      <c r="P373" t="s">
        <v>368</v>
      </c>
    </row>
    <row r="374" spans="1:16">
      <c r="A374">
        <v>3</v>
      </c>
      <c r="B374" t="s">
        <v>369</v>
      </c>
      <c r="K374">
        <v>2</v>
      </c>
      <c r="P374" t="s">
        <v>370</v>
      </c>
    </row>
    <row r="375" spans="1:16">
      <c r="A375">
        <v>4</v>
      </c>
      <c r="B375" t="s">
        <v>371</v>
      </c>
      <c r="K375">
        <v>2</v>
      </c>
      <c r="P375" t="s">
        <v>372</v>
      </c>
    </row>
    <row r="376" spans="1:16">
      <c r="A376">
        <v>5</v>
      </c>
      <c r="B376" s="12" t="s">
        <v>373</v>
      </c>
      <c r="K376">
        <v>3</v>
      </c>
      <c r="P376" t="s">
        <v>374</v>
      </c>
    </row>
    <row r="377" spans="1:16">
      <c r="A377">
        <v>6</v>
      </c>
      <c r="B377" s="12" t="s">
        <v>375</v>
      </c>
      <c r="K377">
        <v>4</v>
      </c>
      <c r="P377" t="s">
        <v>376</v>
      </c>
    </row>
    <row r="378" spans="1:16" s="8" customFormat="1">
      <c r="B378" s="8" t="s">
        <v>377</v>
      </c>
    </row>
    <row r="379" spans="1:16">
      <c r="A379">
        <v>1</v>
      </c>
      <c r="B379" t="s">
        <v>378</v>
      </c>
      <c r="K379">
        <v>1</v>
      </c>
      <c r="P379" t="s">
        <v>379</v>
      </c>
    </row>
    <row r="380" spans="1:16">
      <c r="A380">
        <v>2</v>
      </c>
      <c r="B380" t="s">
        <v>380</v>
      </c>
      <c r="K380">
        <v>1</v>
      </c>
      <c r="P380" t="s">
        <v>381</v>
      </c>
    </row>
    <row r="381" spans="1:16">
      <c r="A381">
        <v>3</v>
      </c>
      <c r="B381" t="s">
        <v>382</v>
      </c>
      <c r="K381">
        <v>1</v>
      </c>
      <c r="P381" t="s">
        <v>383</v>
      </c>
    </row>
    <row r="382" spans="1:16">
      <c r="A382">
        <v>4</v>
      </c>
      <c r="B382" t="s">
        <v>384</v>
      </c>
      <c r="K382">
        <v>1</v>
      </c>
      <c r="P382" t="s">
        <v>385</v>
      </c>
    </row>
    <row r="383" spans="1:16">
      <c r="A383">
        <v>5</v>
      </c>
      <c r="B383" s="84" t="s">
        <v>386</v>
      </c>
      <c r="K383">
        <v>3</v>
      </c>
    </row>
    <row r="384" spans="1:16">
      <c r="A384">
        <v>6</v>
      </c>
      <c r="B384" s="84" t="s">
        <v>387</v>
      </c>
      <c r="K384">
        <v>4</v>
      </c>
    </row>
    <row r="385" spans="1:11">
      <c r="A385">
        <v>7</v>
      </c>
      <c r="B385" s="12" t="s">
        <v>388</v>
      </c>
      <c r="K385">
        <v>5</v>
      </c>
    </row>
  </sheetData>
  <sortState ref="B122:P280">
    <sortCondition ref="B122"/>
  </sortState>
  <phoneticPr fontId="8" type="noConversion"/>
  <pageMargins left="0.69930555555555596" right="0.69930555555555596" top="0.75" bottom="0.75" header="0.3" footer="0.3"/>
  <pageSetup paperSize="9"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7" sqref="D17"/>
    </sheetView>
  </sheetViews>
  <sheetFormatPr defaultColWidth="9" defaultRowHeight="13.5"/>
  <sheetData/>
  <phoneticPr fontId="8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基本公式</vt:lpstr>
      <vt:lpstr>兵攻防</vt:lpstr>
      <vt:lpstr>产出与消耗</vt:lpstr>
      <vt:lpstr>建筑消耗</vt:lpstr>
      <vt:lpstr>建筑</vt:lpstr>
      <vt:lpstr>兵消耗</vt:lpstr>
      <vt:lpstr>科技</vt:lpstr>
      <vt:lpstr>武将</vt:lpstr>
      <vt:lpstr>大地图</vt:lpstr>
      <vt:lpstr>其他表格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chendong</dc:creator>
  <cp:lastModifiedBy>tangjiaqi</cp:lastModifiedBy>
  <dcterms:created xsi:type="dcterms:W3CDTF">2013-09-23T14:57:23Z</dcterms:created>
  <dcterms:modified xsi:type="dcterms:W3CDTF">2013-09-24T12:42:03Z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