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3485" yWindow="15" windowWidth="7050" windowHeight="7830" activeTab="5"/>
  </bookViews>
  <sheets>
    <sheet name="基本公式" sheetId="1" r:id="rId1"/>
    <sheet name="兵攻防" sheetId="2" r:id="rId2"/>
    <sheet name="产出与消耗" sheetId="6" r:id="rId3"/>
    <sheet name="建筑消耗" sheetId="7" r:id="rId4"/>
    <sheet name="建筑" sheetId="9" r:id="rId5"/>
    <sheet name="兵消耗" sheetId="8" r:id="rId6"/>
    <sheet name="科技" sheetId="11" r:id="rId7"/>
    <sheet name="武将" sheetId="10" r:id="rId8"/>
    <sheet name="大地图" sheetId="12" r:id="rId9"/>
    <sheet name="其他表格" sheetId="5" r:id="rId10"/>
  </sheets>
  <calcPr calcId="144525"/>
</workbook>
</file>

<file path=xl/calcChain.xml><?xml version="1.0" encoding="utf-8"?>
<calcChain xmlns="http://schemas.openxmlformats.org/spreadsheetml/2006/main">
  <c r="B177" i="1" l="1"/>
  <c r="B136" i="1"/>
  <c r="H2" i="7"/>
  <c r="F2" i="7"/>
  <c r="D2" i="7"/>
  <c r="E252" i="8"/>
  <c r="E231" i="8"/>
  <c r="E210" i="8"/>
  <c r="E189" i="8"/>
  <c r="E168" i="8"/>
  <c r="E147" i="8"/>
  <c r="E126" i="8"/>
  <c r="E105" i="8"/>
  <c r="E84" i="8"/>
  <c r="E63" i="8"/>
  <c r="E42" i="8"/>
  <c r="E21" i="8"/>
  <c r="B135" i="1"/>
  <c r="F28" i="5"/>
  <c r="G28" i="5" s="1"/>
  <c r="C296" i="9" s="1"/>
  <c r="E296" i="9" s="1"/>
  <c r="F29" i="5"/>
  <c r="G29" i="5" s="1"/>
  <c r="C129" i="9" s="1"/>
  <c r="F30" i="5"/>
  <c r="G30" i="5" s="1"/>
  <c r="C25" i="9" s="1"/>
  <c r="F31" i="5"/>
  <c r="F32" i="5"/>
  <c r="G32" i="5" s="1"/>
  <c r="C300" i="9" s="1"/>
  <c r="F33" i="5"/>
  <c r="G33" i="5" s="1"/>
  <c r="C301" i="9" s="1"/>
  <c r="F34" i="5"/>
  <c r="F35" i="5"/>
  <c r="F36" i="5"/>
  <c r="F37" i="5"/>
  <c r="G37" i="5" s="1"/>
  <c r="C305" i="9" s="1"/>
  <c r="F38" i="5"/>
  <c r="G38" i="5" s="1"/>
  <c r="C33" i="9" s="1"/>
  <c r="F39" i="5"/>
  <c r="F40" i="5"/>
  <c r="F41" i="5"/>
  <c r="F42" i="5"/>
  <c r="F43" i="5"/>
  <c r="F44" i="5"/>
  <c r="F45" i="5"/>
  <c r="F46" i="5"/>
  <c r="F47" i="5"/>
  <c r="L82" i="6"/>
  <c r="M83" i="6" s="1"/>
  <c r="L81" i="6"/>
  <c r="L80" i="6"/>
  <c r="L79" i="6"/>
  <c r="L78" i="6"/>
  <c r="L77" i="6"/>
  <c r="L76" i="6"/>
  <c r="L75" i="6"/>
  <c r="L74" i="6"/>
  <c r="L73" i="6"/>
  <c r="L72" i="6"/>
  <c r="L71" i="6"/>
  <c r="L70" i="6"/>
  <c r="L60" i="6"/>
  <c r="M61" i="6" s="1"/>
  <c r="L59" i="6"/>
  <c r="L58" i="6"/>
  <c r="L57" i="6"/>
  <c r="L56" i="6"/>
  <c r="L55" i="6"/>
  <c r="L54" i="6"/>
  <c r="L53" i="6"/>
  <c r="L52" i="6"/>
  <c r="L51" i="6"/>
  <c r="L50" i="6"/>
  <c r="L49" i="6"/>
  <c r="L48" i="6"/>
  <c r="L38" i="6"/>
  <c r="M39" i="6" s="1"/>
  <c r="L37" i="6"/>
  <c r="L36" i="6"/>
  <c r="L35" i="6"/>
  <c r="L34" i="6"/>
  <c r="L33" i="6"/>
  <c r="L32" i="6"/>
  <c r="L31" i="6"/>
  <c r="L30" i="6"/>
  <c r="L29" i="6"/>
  <c r="L28" i="6"/>
  <c r="L27" i="6"/>
  <c r="L26" i="6"/>
  <c r="L10" i="6"/>
  <c r="L9" i="6"/>
  <c r="L8" i="6"/>
  <c r="L7" i="6"/>
  <c r="L6" i="6"/>
  <c r="L5" i="6"/>
  <c r="L4" i="6"/>
  <c r="B23" i="10"/>
  <c r="G34" i="10"/>
  <c r="G35" i="10"/>
  <c r="G37" i="10"/>
  <c r="G38" i="10"/>
  <c r="G39" i="10"/>
  <c r="G40" i="10"/>
  <c r="G33" i="10"/>
  <c r="F34" i="10"/>
  <c r="F35" i="10"/>
  <c r="F37" i="10"/>
  <c r="F38" i="10"/>
  <c r="F39" i="10"/>
  <c r="F40" i="10"/>
  <c r="F33" i="10"/>
  <c r="B186" i="1"/>
  <c r="BF101" i="2"/>
  <c r="BB101" i="2" s="1"/>
  <c r="BE101" i="2"/>
  <c r="BF100" i="2"/>
  <c r="BB100" i="2" s="1"/>
  <c r="BE100" i="2"/>
  <c r="BF99" i="2"/>
  <c r="BB99" i="2" s="1"/>
  <c r="BE99" i="2"/>
  <c r="BF98" i="2"/>
  <c r="BE98" i="2"/>
  <c r="BF97" i="2"/>
  <c r="BB97" i="2" s="1"/>
  <c r="BE97" i="2"/>
  <c r="BF96" i="2"/>
  <c r="BB96" i="2" s="1"/>
  <c r="BE96" i="2"/>
  <c r="BF93" i="2"/>
  <c r="BB93" i="2" s="1"/>
  <c r="BE93" i="2"/>
  <c r="BF92" i="2"/>
  <c r="BB92" i="2" s="1"/>
  <c r="BE92" i="2"/>
  <c r="BF91" i="2"/>
  <c r="BB91" i="2" s="1"/>
  <c r="BE91" i="2"/>
  <c r="BF90" i="2"/>
  <c r="BE90" i="2"/>
  <c r="BF89" i="2"/>
  <c r="BB89" i="2" s="1"/>
  <c r="BE89" i="2"/>
  <c r="BF88" i="2"/>
  <c r="BE88" i="2"/>
  <c r="BF85" i="2"/>
  <c r="BB85" i="2" s="1"/>
  <c r="BE85" i="2"/>
  <c r="BF84" i="2"/>
  <c r="BE84" i="2"/>
  <c r="BF83" i="2"/>
  <c r="BB83" i="2" s="1"/>
  <c r="BE83" i="2"/>
  <c r="BF82" i="2"/>
  <c r="BE82" i="2"/>
  <c r="BF81" i="2"/>
  <c r="BB81" i="2" s="1"/>
  <c r="BE81" i="2"/>
  <c r="BF80" i="2"/>
  <c r="BE80" i="2"/>
  <c r="BF77" i="2"/>
  <c r="BB77" i="2" s="1"/>
  <c r="BE77" i="2"/>
  <c r="BF76" i="2"/>
  <c r="BE76" i="2"/>
  <c r="BF75" i="2"/>
  <c r="BB75" i="2" s="1"/>
  <c r="BE75" i="2"/>
  <c r="BF74" i="2"/>
  <c r="BE74" i="2"/>
  <c r="BF73" i="2"/>
  <c r="BB73" i="2" s="1"/>
  <c r="BE73" i="2"/>
  <c r="BF72" i="2"/>
  <c r="BE72" i="2"/>
  <c r="BF69" i="2"/>
  <c r="BE69" i="2"/>
  <c r="BF68" i="2"/>
  <c r="BB68" i="2" s="1"/>
  <c r="BE68" i="2"/>
  <c r="BF67" i="2"/>
  <c r="BB67" i="2" s="1"/>
  <c r="BE67" i="2"/>
  <c r="BF66" i="2"/>
  <c r="BB66" i="2" s="1"/>
  <c r="BE66" i="2"/>
  <c r="BF65" i="2"/>
  <c r="BE65" i="2"/>
  <c r="BF64" i="2"/>
  <c r="BB64" i="2" s="1"/>
  <c r="BE64" i="2"/>
  <c r="BF61" i="2"/>
  <c r="BE61" i="2"/>
  <c r="BF60" i="2"/>
  <c r="BE60" i="2"/>
  <c r="BF59" i="2"/>
  <c r="BB59" i="2" s="1"/>
  <c r="BE59" i="2"/>
  <c r="BF58" i="2"/>
  <c r="BE58" i="2"/>
  <c r="BF57" i="2"/>
  <c r="BE57" i="2"/>
  <c r="BF56" i="2"/>
  <c r="BE56" i="2"/>
  <c r="BF53" i="2"/>
  <c r="BE53" i="2"/>
  <c r="BA53" i="2" s="1"/>
  <c r="BF52" i="2"/>
  <c r="BE52" i="2"/>
  <c r="BA52" i="2" s="1"/>
  <c r="BF51" i="2"/>
  <c r="BB51" i="2" s="1"/>
  <c r="BE51" i="2"/>
  <c r="BA51" i="2" s="1"/>
  <c r="BF50" i="2"/>
  <c r="BB50" i="2" s="1"/>
  <c r="BE50" i="2"/>
  <c r="BA50" i="2" s="1"/>
  <c r="BF49" i="2"/>
  <c r="BE49" i="2"/>
  <c r="BA49" i="2" s="1"/>
  <c r="BF48" i="2"/>
  <c r="BE48" i="2"/>
  <c r="BA48" i="2" s="1"/>
  <c r="BF45" i="2"/>
  <c r="BE45" i="2"/>
  <c r="BA45" i="2" s="1"/>
  <c r="BF44" i="2"/>
  <c r="BE44" i="2"/>
  <c r="BA44" i="2" s="1"/>
  <c r="BF43" i="2"/>
  <c r="BB43" i="2" s="1"/>
  <c r="BE43" i="2"/>
  <c r="BA43" i="2" s="1"/>
  <c r="BF42" i="2"/>
  <c r="BE42" i="2"/>
  <c r="BA42" i="2" s="1"/>
  <c r="BF41" i="2"/>
  <c r="BE41" i="2"/>
  <c r="BA41" i="2" s="1"/>
  <c r="BF40" i="2"/>
  <c r="BE40" i="2"/>
  <c r="BA40" i="2" s="1"/>
  <c r="BF37" i="2"/>
  <c r="BE37" i="2"/>
  <c r="BA37" i="2" s="1"/>
  <c r="BF36" i="2"/>
  <c r="BB36" i="2" s="1"/>
  <c r="BE36" i="2"/>
  <c r="BA36" i="2" s="1"/>
  <c r="BF35" i="2"/>
  <c r="BE35" i="2"/>
  <c r="BA35" i="2" s="1"/>
  <c r="BF34" i="2"/>
  <c r="BB34" i="2" s="1"/>
  <c r="BE34" i="2"/>
  <c r="BA34" i="2" s="1"/>
  <c r="BF33" i="2"/>
  <c r="BE33" i="2"/>
  <c r="BA33" i="2" s="1"/>
  <c r="BE32" i="2"/>
  <c r="BA32" i="2" s="1"/>
  <c r="BF32" i="2"/>
  <c r="BB32" i="2" s="1"/>
  <c r="B23" i="1"/>
  <c r="K57" i="9"/>
  <c r="G16" i="10" s="1"/>
  <c r="I48" i="9"/>
  <c r="I49" i="9" s="1"/>
  <c r="I50" i="9" s="1"/>
  <c r="J53" i="9"/>
  <c r="J54" i="9" s="1"/>
  <c r="J55" i="9" s="1"/>
  <c r="J56" i="9" s="1"/>
  <c r="G4" i="10"/>
  <c r="G5" i="10"/>
  <c r="G6" i="10"/>
  <c r="G7" i="10"/>
  <c r="G8" i="10"/>
  <c r="G9" i="10"/>
  <c r="G10" i="10"/>
  <c r="G11" i="10"/>
  <c r="G12" i="10"/>
  <c r="G13" i="10"/>
  <c r="G14" i="10"/>
  <c r="G15" i="10"/>
  <c r="G3" i="10"/>
  <c r="F4" i="10"/>
  <c r="F5" i="10"/>
  <c r="F6" i="10"/>
  <c r="F7" i="10"/>
  <c r="F8" i="10"/>
  <c r="F9" i="10"/>
  <c r="F10" i="10"/>
  <c r="F11" i="10"/>
  <c r="F3" i="10"/>
  <c r="E4" i="10"/>
  <c r="E5" i="10"/>
  <c r="E6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3" i="10"/>
  <c r="B77" i="1"/>
  <c r="B76" i="1"/>
  <c r="B72" i="1"/>
  <c r="B71" i="1"/>
  <c r="B70" i="1"/>
  <c r="G252" i="8"/>
  <c r="G231" i="8"/>
  <c r="B116" i="1" s="1"/>
  <c r="G189" i="8"/>
  <c r="G168" i="8"/>
  <c r="G84" i="8"/>
  <c r="G63" i="8"/>
  <c r="G42" i="8"/>
  <c r="G21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G105" i="8" s="1"/>
  <c r="F86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G147" i="8" s="1"/>
  <c r="F128" i="8"/>
  <c r="F108" i="8"/>
  <c r="F192" i="8" s="1"/>
  <c r="F109" i="8"/>
  <c r="F193" i="8" s="1"/>
  <c r="F110" i="8"/>
  <c r="F194" i="8" s="1"/>
  <c r="F111" i="8"/>
  <c r="F195" i="8" s="1"/>
  <c r="F112" i="8"/>
  <c r="F196" i="8" s="1"/>
  <c r="F113" i="8"/>
  <c r="F197" i="8" s="1"/>
  <c r="F114" i="8"/>
  <c r="F198" i="8" s="1"/>
  <c r="F115" i="8"/>
  <c r="F199" i="8" s="1"/>
  <c r="F116" i="8"/>
  <c r="F200" i="8" s="1"/>
  <c r="F117" i="8"/>
  <c r="F201" i="8" s="1"/>
  <c r="F118" i="8"/>
  <c r="F202" i="8" s="1"/>
  <c r="F119" i="8"/>
  <c r="F203" i="8" s="1"/>
  <c r="F120" i="8"/>
  <c r="F204" i="8" s="1"/>
  <c r="F121" i="8"/>
  <c r="F205" i="8" s="1"/>
  <c r="F122" i="8"/>
  <c r="F206" i="8" s="1"/>
  <c r="F123" i="8"/>
  <c r="F207" i="8" s="1"/>
  <c r="F124" i="8"/>
  <c r="F208" i="8" s="1"/>
  <c r="F125" i="8"/>
  <c r="F209" i="8" s="1"/>
  <c r="F126" i="8"/>
  <c r="G126" i="8" s="1"/>
  <c r="F107" i="8"/>
  <c r="F191" i="8" s="1"/>
  <c r="K3" i="5"/>
  <c r="K4" i="5" s="1"/>
  <c r="K5" i="5" s="1"/>
  <c r="K6" i="5" s="1"/>
  <c r="K7" i="5" s="1"/>
  <c r="K8" i="5" s="1"/>
  <c r="K9" i="5" s="1"/>
  <c r="K10" i="5" s="1"/>
  <c r="K11" i="5" s="1"/>
  <c r="O252" i="8"/>
  <c r="R252" i="8"/>
  <c r="L252" i="8"/>
  <c r="R231" i="8"/>
  <c r="O231" i="8"/>
  <c r="L231" i="8"/>
  <c r="R210" i="8"/>
  <c r="O210" i="8"/>
  <c r="L210" i="8"/>
  <c r="R189" i="8"/>
  <c r="O189" i="8"/>
  <c r="L189" i="8"/>
  <c r="O168" i="8"/>
  <c r="R168" i="8"/>
  <c r="L168" i="8"/>
  <c r="R147" i="8"/>
  <c r="O147" i="8"/>
  <c r="L147" i="8"/>
  <c r="R84" i="8"/>
  <c r="O84" i="8"/>
  <c r="L84" i="8"/>
  <c r="R126" i="8"/>
  <c r="O126" i="8"/>
  <c r="L126" i="8"/>
  <c r="R105" i="8"/>
  <c r="O105" i="8"/>
  <c r="L105" i="8"/>
  <c r="K23" i="6"/>
  <c r="K16" i="6"/>
  <c r="K17" i="6"/>
  <c r="K18" i="6"/>
  <c r="K19" i="6"/>
  <c r="K20" i="6"/>
  <c r="K21" i="6"/>
  <c r="K22" i="6"/>
  <c r="J20" i="8" s="1"/>
  <c r="K4" i="6"/>
  <c r="R63" i="8"/>
  <c r="O63" i="8"/>
  <c r="R42" i="8"/>
  <c r="O42" i="8"/>
  <c r="R21" i="8"/>
  <c r="O21" i="8"/>
  <c r="L63" i="8"/>
  <c r="D67" i="6"/>
  <c r="D45" i="6"/>
  <c r="D23" i="6"/>
  <c r="L42" i="8"/>
  <c r="E22" i="2"/>
  <c r="AC22" i="2" s="1"/>
  <c r="J22" i="2"/>
  <c r="N22" i="2"/>
  <c r="P22" i="2"/>
  <c r="E23" i="2"/>
  <c r="Q23" i="2" s="1"/>
  <c r="J23" i="2"/>
  <c r="N23" i="2"/>
  <c r="P23" i="2"/>
  <c r="L21" i="8"/>
  <c r="P5" i="5"/>
  <c r="P6" i="5" s="1"/>
  <c r="P7" i="5" s="1"/>
  <c r="P8" i="5" s="1"/>
  <c r="P9" i="5" s="1"/>
  <c r="P10" i="5" s="1"/>
  <c r="P11" i="5" s="1"/>
  <c r="M10" i="5"/>
  <c r="N10" i="5" s="1"/>
  <c r="N9" i="5" s="1"/>
  <c r="M9" i="5"/>
  <c r="M8" i="5"/>
  <c r="M7" i="5"/>
  <c r="M6" i="5"/>
  <c r="M5" i="5"/>
  <c r="M4" i="5"/>
  <c r="M3" i="5"/>
  <c r="M2" i="5"/>
  <c r="M11" i="5"/>
  <c r="N125" i="2"/>
  <c r="N124" i="2"/>
  <c r="N123" i="2"/>
  <c r="N122" i="2"/>
  <c r="N121" i="2"/>
  <c r="N120" i="2"/>
  <c r="N117" i="2"/>
  <c r="N116" i="2"/>
  <c r="N115" i="2"/>
  <c r="N114" i="2"/>
  <c r="N113" i="2"/>
  <c r="N112" i="2"/>
  <c r="N109" i="2"/>
  <c r="N108" i="2"/>
  <c r="N107" i="2"/>
  <c r="N106" i="2"/>
  <c r="N105" i="2"/>
  <c r="N104" i="2"/>
  <c r="N45" i="2"/>
  <c r="N44" i="2"/>
  <c r="N43" i="2"/>
  <c r="N42" i="2"/>
  <c r="N41" i="2"/>
  <c r="N40" i="2"/>
  <c r="C64" i="2"/>
  <c r="C48" i="2"/>
  <c r="C120" i="2" s="1"/>
  <c r="C112" i="2"/>
  <c r="P125" i="2"/>
  <c r="J125" i="2"/>
  <c r="E125" i="2"/>
  <c r="Q125" i="2" s="1"/>
  <c r="P124" i="2"/>
  <c r="J124" i="2"/>
  <c r="E124" i="2"/>
  <c r="Q124" i="2" s="1"/>
  <c r="P123" i="2"/>
  <c r="J123" i="2"/>
  <c r="E123" i="2"/>
  <c r="Q123" i="2" s="1"/>
  <c r="P122" i="2"/>
  <c r="J122" i="2"/>
  <c r="E122" i="2"/>
  <c r="P121" i="2"/>
  <c r="J121" i="2"/>
  <c r="E121" i="2"/>
  <c r="Q121" i="2" s="1"/>
  <c r="P120" i="2"/>
  <c r="J120" i="2"/>
  <c r="E120" i="2"/>
  <c r="Q120" i="2" s="1"/>
  <c r="P117" i="2"/>
  <c r="J117" i="2"/>
  <c r="E117" i="2"/>
  <c r="Q117" i="2" s="1"/>
  <c r="P116" i="2"/>
  <c r="J116" i="2"/>
  <c r="E116" i="2"/>
  <c r="Q116" i="2" s="1"/>
  <c r="P115" i="2"/>
  <c r="J115" i="2"/>
  <c r="E115" i="2"/>
  <c r="P114" i="2"/>
  <c r="J114" i="2"/>
  <c r="E114" i="2"/>
  <c r="P113" i="2"/>
  <c r="J113" i="2"/>
  <c r="E113" i="2"/>
  <c r="Q113" i="2" s="1"/>
  <c r="P112" i="2"/>
  <c r="J112" i="2"/>
  <c r="E112" i="2"/>
  <c r="Q112" i="2" s="1"/>
  <c r="P109" i="2"/>
  <c r="J109" i="2"/>
  <c r="E109" i="2"/>
  <c r="Q109" i="2" s="1"/>
  <c r="P108" i="2"/>
  <c r="J108" i="2"/>
  <c r="E108" i="2"/>
  <c r="Q108" i="2" s="1"/>
  <c r="P107" i="2"/>
  <c r="J107" i="2"/>
  <c r="E107" i="2"/>
  <c r="P106" i="2"/>
  <c r="J106" i="2"/>
  <c r="E106" i="2"/>
  <c r="P105" i="2"/>
  <c r="J105" i="2"/>
  <c r="E105" i="2"/>
  <c r="Q105" i="2" s="1"/>
  <c r="P104" i="2"/>
  <c r="J104" i="2"/>
  <c r="E104" i="2"/>
  <c r="Q104" i="2" s="1"/>
  <c r="C20" i="8" l="1"/>
  <c r="C41" i="8"/>
  <c r="C62" i="8"/>
  <c r="C104" i="8"/>
  <c r="C125" i="8"/>
  <c r="C83" i="8"/>
  <c r="C146" i="8"/>
  <c r="C167" i="8"/>
  <c r="C188" i="8"/>
  <c r="C209" i="8"/>
  <c r="C230" i="8"/>
  <c r="C251" i="8"/>
  <c r="E301" i="9"/>
  <c r="F301" i="9" s="1"/>
  <c r="D296" i="9"/>
  <c r="F296" i="9"/>
  <c r="C297" i="9"/>
  <c r="E297" i="9" s="1"/>
  <c r="C306" i="9"/>
  <c r="E306" i="9" s="1"/>
  <c r="C298" i="9"/>
  <c r="C27" i="9"/>
  <c r="C216" i="9"/>
  <c r="C132" i="9"/>
  <c r="C23" i="9"/>
  <c r="E23" i="9" s="1"/>
  <c r="D23" i="9" s="1"/>
  <c r="C212" i="9"/>
  <c r="E212" i="9" s="1"/>
  <c r="C275" i="9"/>
  <c r="E275" i="9" s="1"/>
  <c r="C191" i="9"/>
  <c r="E191" i="9" s="1"/>
  <c r="D191" i="9" s="1"/>
  <c r="C172" i="9"/>
  <c r="C264" i="9"/>
  <c r="C153" i="9"/>
  <c r="C237" i="9"/>
  <c r="C256" i="9"/>
  <c r="C180" i="9"/>
  <c r="C32" i="9"/>
  <c r="E33" i="9" s="1"/>
  <c r="D33" i="9" s="1"/>
  <c r="C263" i="9"/>
  <c r="C179" i="9"/>
  <c r="C137" i="9"/>
  <c r="C284" i="9"/>
  <c r="C200" i="9"/>
  <c r="C242" i="9"/>
  <c r="C158" i="9"/>
  <c r="C221" i="9"/>
  <c r="C112" i="9"/>
  <c r="C259" i="9"/>
  <c r="C175" i="9"/>
  <c r="C217" i="9"/>
  <c r="C238" i="9"/>
  <c r="C154" i="9"/>
  <c r="C133" i="9"/>
  <c r="C280" i="9"/>
  <c r="C196" i="9"/>
  <c r="C24" i="9"/>
  <c r="E25" i="9" s="1"/>
  <c r="D25" i="9" s="1"/>
  <c r="C255" i="9"/>
  <c r="C171" i="9"/>
  <c r="C276" i="9"/>
  <c r="C192" i="9"/>
  <c r="C234" i="9"/>
  <c r="C150" i="9"/>
  <c r="C213" i="9"/>
  <c r="C201" i="9"/>
  <c r="C193" i="9"/>
  <c r="C285" i="9"/>
  <c r="C277" i="9"/>
  <c r="C170" i="9"/>
  <c r="E170" i="9" s="1"/>
  <c r="D170" i="9" s="1"/>
  <c r="C254" i="9"/>
  <c r="E254" i="9" s="1"/>
  <c r="D254" i="9" s="1"/>
  <c r="C174" i="9"/>
  <c r="C222" i="9"/>
  <c r="C214" i="9"/>
  <c r="C258" i="9"/>
  <c r="C149" i="9"/>
  <c r="E149" i="9" s="1"/>
  <c r="D149" i="9" s="1"/>
  <c r="C233" i="9"/>
  <c r="E233" i="9" s="1"/>
  <c r="D233" i="9" s="1"/>
  <c r="C159" i="9"/>
  <c r="C151" i="9"/>
  <c r="C195" i="9"/>
  <c r="C243" i="9"/>
  <c r="E243" i="9" s="1"/>
  <c r="D243" i="9" s="1"/>
  <c r="C235" i="9"/>
  <c r="C279" i="9"/>
  <c r="C138" i="9"/>
  <c r="C130" i="9"/>
  <c r="E130" i="9" s="1"/>
  <c r="D130" i="9" s="1"/>
  <c r="C128" i="9"/>
  <c r="E128" i="9" s="1"/>
  <c r="D128" i="9" s="1"/>
  <c r="C117" i="9"/>
  <c r="C109" i="9"/>
  <c r="C116" i="9"/>
  <c r="C108" i="9"/>
  <c r="C107" i="9"/>
  <c r="E107" i="9" s="1"/>
  <c r="D107" i="9" s="1"/>
  <c r="C111" i="9"/>
  <c r="C48" i="9"/>
  <c r="C67" i="9"/>
  <c r="C44" i="9"/>
  <c r="E44" i="9" s="1"/>
  <c r="D44" i="9" s="1"/>
  <c r="C75" i="9"/>
  <c r="C69" i="9"/>
  <c r="C65" i="9"/>
  <c r="E65" i="9" s="1"/>
  <c r="C7" i="9"/>
  <c r="C70" i="9"/>
  <c r="C49" i="9"/>
  <c r="C91" i="9"/>
  <c r="C95" i="9"/>
  <c r="C87" i="9"/>
  <c r="C96" i="9"/>
  <c r="C88" i="9"/>
  <c r="C53" i="9"/>
  <c r="C45" i="9"/>
  <c r="C54" i="9"/>
  <c r="C46" i="9"/>
  <c r="C74" i="9"/>
  <c r="C66" i="9"/>
  <c r="C86" i="9"/>
  <c r="E86" i="9" s="1"/>
  <c r="D86" i="9" s="1"/>
  <c r="C90" i="9"/>
  <c r="F12" i="10"/>
  <c r="C28" i="9"/>
  <c r="G34" i="5"/>
  <c r="C302" i="9" s="1"/>
  <c r="E302" i="9" s="1"/>
  <c r="G36" i="5"/>
  <c r="C304" i="9" s="1"/>
  <c r="G40" i="5"/>
  <c r="C308" i="9" s="1"/>
  <c r="C12" i="9"/>
  <c r="G31" i="5"/>
  <c r="C299" i="9" s="1"/>
  <c r="E300" i="9" s="1"/>
  <c r="G35" i="5"/>
  <c r="C303" i="9" s="1"/>
  <c r="G39" i="5"/>
  <c r="C307" i="9" s="1"/>
  <c r="C11" i="9"/>
  <c r="L83" i="6"/>
  <c r="M84" i="6" s="1"/>
  <c r="L61" i="6"/>
  <c r="M62" i="6" s="1"/>
  <c r="L39" i="6"/>
  <c r="M40" i="6" s="1"/>
  <c r="C2" i="9"/>
  <c r="E2" i="9" s="1"/>
  <c r="D2" i="9" s="1"/>
  <c r="C6" i="9"/>
  <c r="C4" i="9"/>
  <c r="C3" i="9"/>
  <c r="BD40" i="2"/>
  <c r="BD42" i="2"/>
  <c r="BD44" i="2"/>
  <c r="BD48" i="2"/>
  <c r="BD52" i="2"/>
  <c r="BD56" i="2"/>
  <c r="BD58" i="2"/>
  <c r="BD60" i="2"/>
  <c r="BD72" i="2"/>
  <c r="BD74" i="2"/>
  <c r="BD76" i="2"/>
  <c r="BD80" i="2"/>
  <c r="BD82" i="2"/>
  <c r="BD84" i="2"/>
  <c r="BD88" i="2"/>
  <c r="BD90" i="2"/>
  <c r="BD98" i="2"/>
  <c r="K58" i="9"/>
  <c r="K59" i="9" s="1"/>
  <c r="K60" i="9" s="1"/>
  <c r="BD100" i="2"/>
  <c r="BD69" i="2"/>
  <c r="BD73" i="2"/>
  <c r="BD75" i="2"/>
  <c r="BD77" i="2"/>
  <c r="BD81" i="2"/>
  <c r="BD83" i="2"/>
  <c r="BD85" i="2"/>
  <c r="BD89" i="2"/>
  <c r="BD91" i="2"/>
  <c r="BD93" i="2"/>
  <c r="BD99" i="2"/>
  <c r="BD34" i="2"/>
  <c r="BB58" i="2"/>
  <c r="BB76" i="2"/>
  <c r="BB98" i="2"/>
  <c r="BB60" i="2"/>
  <c r="BD68" i="2"/>
  <c r="BB40" i="2"/>
  <c r="BB48" i="2"/>
  <c r="BD92" i="2"/>
  <c r="BD37" i="2"/>
  <c r="BD50" i="2"/>
  <c r="BD66" i="2"/>
  <c r="BD96" i="2"/>
  <c r="BD53" i="2"/>
  <c r="BB44" i="2"/>
  <c r="BD51" i="2"/>
  <c r="BB72" i="2"/>
  <c r="BB88" i="2"/>
  <c r="BD36" i="2"/>
  <c r="BD33" i="2"/>
  <c r="BD35" i="2"/>
  <c r="BD41" i="2"/>
  <c r="BD45" i="2"/>
  <c r="BD49" i="2"/>
  <c r="BD57" i="2"/>
  <c r="BD61" i="2"/>
  <c r="BD65" i="2"/>
  <c r="BB42" i="2"/>
  <c r="BB56" i="2"/>
  <c r="BD97" i="2"/>
  <c r="BD101" i="2"/>
  <c r="BB90" i="2"/>
  <c r="BB82" i="2"/>
  <c r="BB80" i="2"/>
  <c r="BB84" i="2"/>
  <c r="BB74" i="2"/>
  <c r="BD67" i="2"/>
  <c r="BD64" i="2"/>
  <c r="BD59" i="2"/>
  <c r="BB52" i="2"/>
  <c r="BD43" i="2"/>
  <c r="BB35" i="2"/>
  <c r="BD32" i="2"/>
  <c r="BB65" i="2"/>
  <c r="BB69" i="2"/>
  <c r="BB57" i="2"/>
  <c r="BB61" i="2"/>
  <c r="BB49" i="2"/>
  <c r="BB53" i="2"/>
  <c r="BB41" i="2"/>
  <c r="BB45" i="2"/>
  <c r="BB33" i="2"/>
  <c r="BB37" i="2"/>
  <c r="G23" i="2"/>
  <c r="H23" i="2"/>
  <c r="H22" i="2"/>
  <c r="G22" i="2"/>
  <c r="B117" i="1"/>
  <c r="K6" i="10"/>
  <c r="R23" i="2"/>
  <c r="Q22" i="2"/>
  <c r="S23" i="2"/>
  <c r="AD23" i="2"/>
  <c r="R22" i="2"/>
  <c r="S22" i="2"/>
  <c r="T23" i="2"/>
  <c r="Y22" i="2"/>
  <c r="Z23" i="2"/>
  <c r="F13" i="10"/>
  <c r="J6" i="10"/>
  <c r="L3" i="10"/>
  <c r="J3" i="10"/>
  <c r="K4" i="10"/>
  <c r="I5" i="10"/>
  <c r="E7" i="10"/>
  <c r="H7" i="10" s="1"/>
  <c r="K5" i="10"/>
  <c r="H5" i="10"/>
  <c r="I6" i="10"/>
  <c r="I4" i="10"/>
  <c r="J5" i="10"/>
  <c r="I3" i="10"/>
  <c r="L4" i="10"/>
  <c r="H4" i="10"/>
  <c r="K3" i="10"/>
  <c r="L6" i="10"/>
  <c r="H6" i="10"/>
  <c r="J4" i="10"/>
  <c r="H3" i="10"/>
  <c r="L5" i="10"/>
  <c r="I51" i="9"/>
  <c r="E9" i="10"/>
  <c r="E8" i="10"/>
  <c r="J57" i="9"/>
  <c r="F15" i="10"/>
  <c r="F14" i="10"/>
  <c r="F210" i="8"/>
  <c r="G210" i="8" s="1"/>
  <c r="H21" i="8" s="1"/>
  <c r="G42" i="9" s="1"/>
  <c r="H42" i="9" s="1"/>
  <c r="N8" i="5"/>
  <c r="N7" i="5" s="1"/>
  <c r="N6" i="5" s="1"/>
  <c r="N5" i="5" s="1"/>
  <c r="N4" i="5" s="1"/>
  <c r="N3" i="5" s="1"/>
  <c r="N2" i="5" s="1"/>
  <c r="AV72" i="2" s="1"/>
  <c r="G20" i="8"/>
  <c r="G41" i="8"/>
  <c r="G83" i="8"/>
  <c r="G104" i="8"/>
  <c r="G125" i="8"/>
  <c r="G167" i="8"/>
  <c r="G188" i="8"/>
  <c r="G209" i="8"/>
  <c r="G251" i="8"/>
  <c r="AV40" i="2"/>
  <c r="AV41" i="2"/>
  <c r="AV42" i="2"/>
  <c r="AV43" i="2"/>
  <c r="L251" i="8"/>
  <c r="R251" i="8"/>
  <c r="O230" i="8"/>
  <c r="O251" i="8"/>
  <c r="C187" i="8"/>
  <c r="E187" i="8" s="1"/>
  <c r="L209" i="8"/>
  <c r="R209" i="8"/>
  <c r="R188" i="8"/>
  <c r="O209" i="8"/>
  <c r="L188" i="8"/>
  <c r="L167" i="8"/>
  <c r="R167" i="8"/>
  <c r="O167" i="8"/>
  <c r="L83" i="8"/>
  <c r="L146" i="8"/>
  <c r="O83" i="8"/>
  <c r="O146" i="8"/>
  <c r="R146" i="8"/>
  <c r="R83" i="8"/>
  <c r="L125" i="8"/>
  <c r="O125" i="8"/>
  <c r="C124" i="8"/>
  <c r="E124" i="8" s="1"/>
  <c r="L104" i="8"/>
  <c r="C103" i="8"/>
  <c r="E103" i="8" s="1"/>
  <c r="R104" i="8"/>
  <c r="L41" i="8"/>
  <c r="R41" i="8"/>
  <c r="O62" i="8"/>
  <c r="R62" i="8"/>
  <c r="O41" i="8"/>
  <c r="R20" i="8"/>
  <c r="L20" i="8"/>
  <c r="O20" i="8"/>
  <c r="L62" i="8"/>
  <c r="L22" i="2"/>
  <c r="L23" i="2"/>
  <c r="AC23" i="2"/>
  <c r="Y23" i="2"/>
  <c r="AA23" i="2" s="1"/>
  <c r="T22" i="2"/>
  <c r="AD22" i="2"/>
  <c r="AE22" i="2" s="1"/>
  <c r="AF22" i="2" s="1"/>
  <c r="Z22" i="2"/>
  <c r="Q122" i="2"/>
  <c r="Q115" i="2"/>
  <c r="Q107" i="2"/>
  <c r="Q106" i="2"/>
  <c r="L123" i="2"/>
  <c r="L125" i="2"/>
  <c r="L115" i="2"/>
  <c r="L124" i="2"/>
  <c r="L121" i="2"/>
  <c r="L120" i="2"/>
  <c r="L122" i="2"/>
  <c r="L116" i="2"/>
  <c r="L112" i="2"/>
  <c r="L114" i="2"/>
  <c r="L107" i="2"/>
  <c r="L113" i="2"/>
  <c r="L105" i="2"/>
  <c r="L106" i="2"/>
  <c r="L117" i="2"/>
  <c r="Q114" i="2"/>
  <c r="L108" i="2"/>
  <c r="L109" i="2"/>
  <c r="L104" i="2"/>
  <c r="R230" i="8" l="1"/>
  <c r="E230" i="8"/>
  <c r="C229" i="8"/>
  <c r="E229" i="8" s="1"/>
  <c r="G230" i="8"/>
  <c r="L230" i="8"/>
  <c r="C145" i="8"/>
  <c r="E146" i="8"/>
  <c r="G146" i="8"/>
  <c r="H20" i="8" s="1"/>
  <c r="G41" i="9" s="1"/>
  <c r="H41" i="9" s="1"/>
  <c r="C61" i="8"/>
  <c r="E62" i="8"/>
  <c r="G62" i="8"/>
  <c r="I42" i="9"/>
  <c r="B210" i="9"/>
  <c r="B21" i="9"/>
  <c r="B315" i="9"/>
  <c r="B294" i="9"/>
  <c r="B273" i="9"/>
  <c r="B252" i="9"/>
  <c r="B231" i="9"/>
  <c r="B189" i="9"/>
  <c r="B168" i="9"/>
  <c r="B147" i="9"/>
  <c r="B126" i="9"/>
  <c r="B105" i="9"/>
  <c r="B84" i="9"/>
  <c r="B63" i="9"/>
  <c r="B42" i="9"/>
  <c r="C208" i="8"/>
  <c r="E209" i="8"/>
  <c r="C82" i="8"/>
  <c r="E83" i="8"/>
  <c r="C40" i="8"/>
  <c r="R40" i="8" s="1"/>
  <c r="E41" i="8"/>
  <c r="O188" i="8"/>
  <c r="E188" i="8"/>
  <c r="R125" i="8"/>
  <c r="E125" i="8"/>
  <c r="C19" i="8"/>
  <c r="E20" i="8"/>
  <c r="J19" i="8"/>
  <c r="C250" i="8"/>
  <c r="E251" i="8"/>
  <c r="C166" i="8"/>
  <c r="E167" i="8"/>
  <c r="O104" i="8"/>
  <c r="E104" i="8"/>
  <c r="D301" i="9"/>
  <c r="E303" i="9"/>
  <c r="F303" i="9" s="1"/>
  <c r="E308" i="9"/>
  <c r="F308" i="9" s="1"/>
  <c r="E298" i="9"/>
  <c r="D298" i="9" s="1"/>
  <c r="D300" i="9"/>
  <c r="F300" i="9"/>
  <c r="D308" i="9"/>
  <c r="F298" i="9"/>
  <c r="E304" i="9"/>
  <c r="F306" i="9"/>
  <c r="D306" i="9"/>
  <c r="F302" i="9"/>
  <c r="D302" i="9"/>
  <c r="D297" i="9"/>
  <c r="F297" i="9"/>
  <c r="E307" i="9"/>
  <c r="E299" i="9"/>
  <c r="E305" i="9"/>
  <c r="F23" i="9"/>
  <c r="F191" i="9"/>
  <c r="E192" i="9"/>
  <c r="D192" i="9" s="1"/>
  <c r="F212" i="9"/>
  <c r="D212" i="9"/>
  <c r="F275" i="9"/>
  <c r="D275" i="9"/>
  <c r="F65" i="9"/>
  <c r="D65" i="9"/>
  <c r="E96" i="9"/>
  <c r="D96" i="9" s="1"/>
  <c r="E213" i="9"/>
  <c r="D213" i="9" s="1"/>
  <c r="E28" i="9"/>
  <c r="D28" i="9" s="1"/>
  <c r="E88" i="9"/>
  <c r="E175" i="9"/>
  <c r="D175" i="9" s="1"/>
  <c r="E276" i="9"/>
  <c r="D276" i="9" s="1"/>
  <c r="E133" i="9"/>
  <c r="E238" i="9"/>
  <c r="E180" i="9"/>
  <c r="E264" i="9"/>
  <c r="D264" i="9" s="1"/>
  <c r="E217" i="9"/>
  <c r="D217" i="9" s="1"/>
  <c r="E256" i="9"/>
  <c r="E112" i="9"/>
  <c r="E222" i="9"/>
  <c r="D222" i="9" s="1"/>
  <c r="E277" i="9"/>
  <c r="E201" i="9"/>
  <c r="D201" i="9" s="1"/>
  <c r="E154" i="9"/>
  <c r="E24" i="9"/>
  <c r="D24" i="9" s="1"/>
  <c r="E150" i="9"/>
  <c r="E280" i="9"/>
  <c r="E214" i="9"/>
  <c r="D214" i="9" s="1"/>
  <c r="E193" i="9"/>
  <c r="E255" i="9"/>
  <c r="D255" i="9" s="1"/>
  <c r="F130" i="9"/>
  <c r="F243" i="9"/>
  <c r="F233" i="9"/>
  <c r="C215" i="9"/>
  <c r="C173" i="9"/>
  <c r="E173" i="9" s="1"/>
  <c r="D173" i="9" s="1"/>
  <c r="C278" i="9"/>
  <c r="E278" i="9" s="1"/>
  <c r="D278" i="9" s="1"/>
  <c r="C194" i="9"/>
  <c r="E194" i="9" s="1"/>
  <c r="D194" i="9" s="1"/>
  <c r="C257" i="9"/>
  <c r="E257" i="9" s="1"/>
  <c r="D257" i="9" s="1"/>
  <c r="C236" i="9"/>
  <c r="C152" i="9"/>
  <c r="F170" i="9"/>
  <c r="C223" i="9"/>
  <c r="E223" i="9" s="1"/>
  <c r="D223" i="9" s="1"/>
  <c r="C286" i="9"/>
  <c r="E286" i="9" s="1"/>
  <c r="D286" i="9" s="1"/>
  <c r="C202" i="9"/>
  <c r="E202" i="9" s="1"/>
  <c r="D202" i="9" s="1"/>
  <c r="C265" i="9"/>
  <c r="E265" i="9" s="1"/>
  <c r="D265" i="9" s="1"/>
  <c r="C181" i="9"/>
  <c r="E181" i="9" s="1"/>
  <c r="D181" i="9" s="1"/>
  <c r="C244" i="9"/>
  <c r="E244" i="9" s="1"/>
  <c r="D244" i="9" s="1"/>
  <c r="C160" i="9"/>
  <c r="E160" i="9" s="1"/>
  <c r="D160" i="9" s="1"/>
  <c r="C287" i="9"/>
  <c r="C203" i="9"/>
  <c r="C245" i="9"/>
  <c r="E245" i="9" s="1"/>
  <c r="D245" i="9" s="1"/>
  <c r="C266" i="9"/>
  <c r="C182" i="9"/>
  <c r="C161" i="9"/>
  <c r="C224" i="9"/>
  <c r="F149" i="9"/>
  <c r="E234" i="9"/>
  <c r="D234" i="9" s="1"/>
  <c r="E235" i="9"/>
  <c r="D235" i="9" s="1"/>
  <c r="E171" i="9"/>
  <c r="D171" i="9" s="1"/>
  <c r="E45" i="9"/>
  <c r="D45" i="9" s="1"/>
  <c r="E138" i="9"/>
  <c r="D138" i="9" s="1"/>
  <c r="E285" i="9"/>
  <c r="D285" i="9" s="1"/>
  <c r="E129" i="9"/>
  <c r="D129" i="9" s="1"/>
  <c r="E172" i="9"/>
  <c r="D172" i="9" s="1"/>
  <c r="E259" i="9"/>
  <c r="D259" i="9" s="1"/>
  <c r="C239" i="9"/>
  <c r="E239" i="9" s="1"/>
  <c r="D239" i="9" s="1"/>
  <c r="C155" i="9"/>
  <c r="E155" i="9" s="1"/>
  <c r="D155" i="9" s="1"/>
  <c r="C281" i="9"/>
  <c r="E281" i="9" s="1"/>
  <c r="D281" i="9" s="1"/>
  <c r="C197" i="9"/>
  <c r="E197" i="9" s="1"/>
  <c r="D197" i="9" s="1"/>
  <c r="C260" i="9"/>
  <c r="E260" i="9" s="1"/>
  <c r="D260" i="9" s="1"/>
  <c r="C218" i="9"/>
  <c r="E218" i="9" s="1"/>
  <c r="D218" i="9" s="1"/>
  <c r="C176" i="9"/>
  <c r="E176" i="9" s="1"/>
  <c r="D176" i="9" s="1"/>
  <c r="F128" i="9"/>
  <c r="C219" i="9"/>
  <c r="C261" i="9"/>
  <c r="C240" i="9"/>
  <c r="C282" i="9"/>
  <c r="C198" i="9"/>
  <c r="C177" i="9"/>
  <c r="C156" i="9"/>
  <c r="C283" i="9"/>
  <c r="E283" i="9" s="1"/>
  <c r="D283" i="9" s="1"/>
  <c r="C199" i="9"/>
  <c r="E199" i="9" s="1"/>
  <c r="D199" i="9" s="1"/>
  <c r="C241" i="9"/>
  <c r="C220" i="9"/>
  <c r="E221" i="9" s="1"/>
  <c r="D221" i="9" s="1"/>
  <c r="C262" i="9"/>
  <c r="C178" i="9"/>
  <c r="C157" i="9"/>
  <c r="F254" i="9"/>
  <c r="E159" i="9"/>
  <c r="D159" i="9" s="1"/>
  <c r="E151" i="9"/>
  <c r="D151" i="9" s="1"/>
  <c r="E196" i="9"/>
  <c r="D196" i="9" s="1"/>
  <c r="C118" i="9"/>
  <c r="E118" i="9" s="1"/>
  <c r="C139" i="9"/>
  <c r="E139" i="9" s="1"/>
  <c r="D139" i="9" s="1"/>
  <c r="C114" i="9"/>
  <c r="C135" i="9"/>
  <c r="C115" i="9"/>
  <c r="E116" i="9" s="1"/>
  <c r="D116" i="9" s="1"/>
  <c r="C136" i="9"/>
  <c r="E117" i="9"/>
  <c r="C119" i="9"/>
  <c r="C140" i="9"/>
  <c r="C110" i="9"/>
  <c r="E110" i="9" s="1"/>
  <c r="D110" i="9" s="1"/>
  <c r="C131" i="9"/>
  <c r="C113" i="9"/>
  <c r="E113" i="9" s="1"/>
  <c r="C134" i="9"/>
  <c r="E134" i="9" s="1"/>
  <c r="D134" i="9" s="1"/>
  <c r="E108" i="9"/>
  <c r="D108" i="9" s="1"/>
  <c r="F107" i="9"/>
  <c r="E49" i="9"/>
  <c r="D49" i="9" s="1"/>
  <c r="E109" i="9"/>
  <c r="D109" i="9" s="1"/>
  <c r="E75" i="9"/>
  <c r="D75" i="9" s="1"/>
  <c r="E70" i="9"/>
  <c r="F44" i="9"/>
  <c r="G18" i="10"/>
  <c r="E66" i="9"/>
  <c r="D66" i="9" s="1"/>
  <c r="E54" i="9"/>
  <c r="D54" i="9" s="1"/>
  <c r="E87" i="9"/>
  <c r="E91" i="9"/>
  <c r="D91" i="9" s="1"/>
  <c r="G17" i="10"/>
  <c r="E46" i="9"/>
  <c r="C89" i="9"/>
  <c r="E89" i="9" s="1"/>
  <c r="D89" i="9" s="1"/>
  <c r="C68" i="9"/>
  <c r="C47" i="9"/>
  <c r="C50" i="9"/>
  <c r="E50" i="9" s="1"/>
  <c r="D50" i="9" s="1"/>
  <c r="C92" i="9"/>
  <c r="E92" i="9" s="1"/>
  <c r="D92" i="9" s="1"/>
  <c r="C71" i="9"/>
  <c r="E71" i="9" s="1"/>
  <c r="D71" i="9" s="1"/>
  <c r="F66" i="9"/>
  <c r="C93" i="9"/>
  <c r="C72" i="9"/>
  <c r="C51" i="9"/>
  <c r="C94" i="9"/>
  <c r="E95" i="9" s="1"/>
  <c r="D95" i="9" s="1"/>
  <c r="C73" i="9"/>
  <c r="C52" i="9"/>
  <c r="E53" i="9" s="1"/>
  <c r="D53" i="9" s="1"/>
  <c r="F86" i="9"/>
  <c r="F33" i="9"/>
  <c r="C97" i="9"/>
  <c r="E97" i="9" s="1"/>
  <c r="D97" i="9" s="1"/>
  <c r="C76" i="9"/>
  <c r="E76" i="9" s="1"/>
  <c r="D76" i="9" s="1"/>
  <c r="C55" i="9"/>
  <c r="E55" i="9" s="1"/>
  <c r="D55" i="9" s="1"/>
  <c r="C98" i="9"/>
  <c r="C77" i="9"/>
  <c r="C56" i="9"/>
  <c r="F25" i="9"/>
  <c r="E67" i="9"/>
  <c r="D67" i="9" s="1"/>
  <c r="F2" i="9"/>
  <c r="C8" i="9"/>
  <c r="E8" i="9" s="1"/>
  <c r="D8" i="9" s="1"/>
  <c r="C29" i="9"/>
  <c r="E29" i="9" s="1"/>
  <c r="D29" i="9" s="1"/>
  <c r="C13" i="9"/>
  <c r="E13" i="9" s="1"/>
  <c r="D13" i="9" s="1"/>
  <c r="C34" i="9"/>
  <c r="E34" i="9" s="1"/>
  <c r="D34" i="9" s="1"/>
  <c r="C14" i="9"/>
  <c r="C35" i="9"/>
  <c r="C5" i="9"/>
  <c r="E6" i="9" s="1"/>
  <c r="D6" i="9" s="1"/>
  <c r="C26" i="9"/>
  <c r="C9" i="9"/>
  <c r="C30" i="9"/>
  <c r="E30" i="9" s="1"/>
  <c r="D30" i="9" s="1"/>
  <c r="C10" i="9"/>
  <c r="E11" i="9" s="1"/>
  <c r="D11" i="9" s="1"/>
  <c r="C31" i="9"/>
  <c r="E3" i="9"/>
  <c r="D3" i="9" s="1"/>
  <c r="E12" i="9"/>
  <c r="D12" i="9" s="1"/>
  <c r="L84" i="6"/>
  <c r="M85" i="6" s="1"/>
  <c r="L62" i="6"/>
  <c r="M63" i="6"/>
  <c r="L40" i="6"/>
  <c r="M41" i="6" s="1"/>
  <c r="E7" i="9"/>
  <c r="D7" i="9" s="1"/>
  <c r="E4" i="9"/>
  <c r="D4" i="9" s="1"/>
  <c r="F22" i="2"/>
  <c r="F23" i="2"/>
  <c r="L7" i="10"/>
  <c r="AV33" i="2"/>
  <c r="AV34" i="2"/>
  <c r="J7" i="10"/>
  <c r="I7" i="10"/>
  <c r="K7" i="10"/>
  <c r="AA22" i="2"/>
  <c r="AB22" i="2" s="1"/>
  <c r="AE23" i="2"/>
  <c r="AF23" i="2" s="1"/>
  <c r="V23" i="2"/>
  <c r="X23" i="2" s="1"/>
  <c r="I21" i="8"/>
  <c r="K61" i="9"/>
  <c r="G19" i="10"/>
  <c r="I52" i="9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E10" i="10"/>
  <c r="J9" i="10"/>
  <c r="I9" i="10"/>
  <c r="H9" i="10"/>
  <c r="L9" i="10"/>
  <c r="K9" i="10"/>
  <c r="K8" i="10"/>
  <c r="J8" i="10"/>
  <c r="I8" i="10"/>
  <c r="H8" i="10"/>
  <c r="L8" i="10"/>
  <c r="F16" i="10"/>
  <c r="J58" i="9"/>
  <c r="AV83" i="2"/>
  <c r="AV80" i="2"/>
  <c r="AV98" i="2"/>
  <c r="AV91" i="2"/>
  <c r="AV88" i="2"/>
  <c r="AV81" i="2"/>
  <c r="AV74" i="2"/>
  <c r="AV73" i="2"/>
  <c r="AV48" i="2"/>
  <c r="AV66" i="2"/>
  <c r="AV65" i="2"/>
  <c r="AV96" i="2"/>
  <c r="AV64" i="2"/>
  <c r="AV32" i="2"/>
  <c r="AV57" i="2"/>
  <c r="AV92" i="2"/>
  <c r="AV56" i="2"/>
  <c r="AV97" i="2"/>
  <c r="AV49" i="2"/>
  <c r="AV90" i="2"/>
  <c r="AV58" i="2"/>
  <c r="AV89" i="2"/>
  <c r="AV82" i="2"/>
  <c r="AV50" i="2"/>
  <c r="C186" i="8"/>
  <c r="E186" i="8" s="1"/>
  <c r="G187" i="8"/>
  <c r="C123" i="8"/>
  <c r="G124" i="8"/>
  <c r="R103" i="8"/>
  <c r="G103" i="8"/>
  <c r="G229" i="8"/>
  <c r="AV36" i="2"/>
  <c r="AV100" i="2"/>
  <c r="AV69" i="2"/>
  <c r="AV45" i="2"/>
  <c r="AV101" i="2"/>
  <c r="AV75" i="2"/>
  <c r="AV85" i="2"/>
  <c r="AV37" i="2"/>
  <c r="AV68" i="2"/>
  <c r="AV77" i="2"/>
  <c r="AV51" i="2"/>
  <c r="AV60" i="2"/>
  <c r="AV53" i="2"/>
  <c r="AV84" i="2"/>
  <c r="AV93" i="2"/>
  <c r="AV67" i="2"/>
  <c r="AV76" i="2"/>
  <c r="AV59" i="2"/>
  <c r="AV52" i="2"/>
  <c r="AV99" i="2"/>
  <c r="AV61" i="2"/>
  <c r="AV35" i="2"/>
  <c r="AV44" i="2"/>
  <c r="C228" i="8"/>
  <c r="E228" i="8" s="1"/>
  <c r="R229" i="8"/>
  <c r="O229" i="8"/>
  <c r="L229" i="8"/>
  <c r="O187" i="8"/>
  <c r="L187" i="8"/>
  <c r="R187" i="8"/>
  <c r="R124" i="8"/>
  <c r="O124" i="8"/>
  <c r="L124" i="8"/>
  <c r="O103" i="8"/>
  <c r="C102" i="8"/>
  <c r="E102" i="8" s="1"/>
  <c r="L103" i="8"/>
  <c r="O40" i="8"/>
  <c r="L19" i="8"/>
  <c r="V22" i="2"/>
  <c r="X22" i="2" s="1"/>
  <c r="U22" i="2"/>
  <c r="W22" i="2" s="1"/>
  <c r="U23" i="2"/>
  <c r="W23" i="2" s="1"/>
  <c r="AB23" i="2"/>
  <c r="AH2" i="6"/>
  <c r="AF2" i="6"/>
  <c r="AD2" i="6"/>
  <c r="AB2" i="6"/>
  <c r="I71" i="6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D89" i="6" s="1"/>
  <c r="E89" i="6" s="1"/>
  <c r="F89" i="6" s="1"/>
  <c r="I66" i="6"/>
  <c r="D66" i="6" s="1"/>
  <c r="I65" i="6"/>
  <c r="D65" i="6" s="1"/>
  <c r="I44" i="6"/>
  <c r="D44" i="6" s="1"/>
  <c r="I22" i="6"/>
  <c r="D22" i="6" s="1"/>
  <c r="B105" i="1"/>
  <c r="B104" i="1"/>
  <c r="B103" i="1"/>
  <c r="B102" i="1"/>
  <c r="B101" i="1"/>
  <c r="B98" i="1"/>
  <c r="Z2" i="6"/>
  <c r="B97" i="1"/>
  <c r="X2" i="6"/>
  <c r="B94" i="1"/>
  <c r="B91" i="1"/>
  <c r="B90" i="1"/>
  <c r="V2" i="6"/>
  <c r="T2" i="6"/>
  <c r="R2" i="6"/>
  <c r="P2" i="6"/>
  <c r="B89" i="1"/>
  <c r="B88" i="1"/>
  <c r="I41" i="9" l="1"/>
  <c r="B209" i="9"/>
  <c r="B20" i="9"/>
  <c r="B314" i="9"/>
  <c r="B230" i="9"/>
  <c r="B146" i="9"/>
  <c r="B62" i="9"/>
  <c r="B272" i="9"/>
  <c r="B188" i="9"/>
  <c r="B104" i="9"/>
  <c r="B251" i="9"/>
  <c r="B167" i="9"/>
  <c r="B83" i="9"/>
  <c r="B125" i="9"/>
  <c r="B41" i="9"/>
  <c r="B293" i="9"/>
  <c r="O123" i="8"/>
  <c r="E123" i="8"/>
  <c r="I21" i="6"/>
  <c r="I64" i="6"/>
  <c r="C165" i="8"/>
  <c r="E166" i="8"/>
  <c r="G166" i="8"/>
  <c r="L166" i="8"/>
  <c r="R166" i="8"/>
  <c r="O166" i="8"/>
  <c r="C207" i="8"/>
  <c r="E208" i="8"/>
  <c r="O208" i="8"/>
  <c r="L208" i="8"/>
  <c r="R208" i="8"/>
  <c r="G208" i="8"/>
  <c r="C18" i="8"/>
  <c r="E19" i="8"/>
  <c r="J18" i="8"/>
  <c r="G19" i="8"/>
  <c r="R19" i="8"/>
  <c r="O19" i="8"/>
  <c r="C81" i="8"/>
  <c r="E82" i="8"/>
  <c r="G82" i="8"/>
  <c r="R82" i="8"/>
  <c r="L82" i="8"/>
  <c r="O82" i="8"/>
  <c r="C144" i="8"/>
  <c r="E145" i="8"/>
  <c r="G145" i="8"/>
  <c r="L145" i="8"/>
  <c r="R145" i="8"/>
  <c r="O145" i="8"/>
  <c r="C39" i="8"/>
  <c r="E40" i="8"/>
  <c r="G40" i="8"/>
  <c r="I43" i="6"/>
  <c r="L40" i="8"/>
  <c r="C249" i="8"/>
  <c r="E250" i="8"/>
  <c r="R250" i="8"/>
  <c r="L250" i="8"/>
  <c r="O250" i="8"/>
  <c r="G250" i="8"/>
  <c r="C60" i="8"/>
  <c r="E61" i="8"/>
  <c r="G61" i="8"/>
  <c r="R61" i="8"/>
  <c r="L61" i="8"/>
  <c r="O61" i="8"/>
  <c r="D303" i="9"/>
  <c r="F307" i="9"/>
  <c r="D307" i="9"/>
  <c r="D304" i="9"/>
  <c r="F304" i="9"/>
  <c r="D305" i="9"/>
  <c r="F305" i="9"/>
  <c r="F299" i="9"/>
  <c r="D299" i="9"/>
  <c r="F201" i="9"/>
  <c r="F96" i="9"/>
  <c r="F175" i="9"/>
  <c r="F213" i="9"/>
  <c r="E177" i="9"/>
  <c r="D177" i="9" s="1"/>
  <c r="F192" i="9"/>
  <c r="F264" i="9"/>
  <c r="F133" i="9"/>
  <c r="D133" i="9"/>
  <c r="F70" i="9"/>
  <c r="D70" i="9"/>
  <c r="F117" i="9"/>
  <c r="D117" i="9"/>
  <c r="F280" i="9"/>
  <c r="D280" i="9"/>
  <c r="F238" i="9"/>
  <c r="D238" i="9"/>
  <c r="F113" i="9"/>
  <c r="D113" i="9"/>
  <c r="F154" i="9"/>
  <c r="D154" i="9"/>
  <c r="F112" i="9"/>
  <c r="D112" i="9"/>
  <c r="F180" i="9"/>
  <c r="D180" i="9"/>
  <c r="F118" i="9"/>
  <c r="D118" i="9"/>
  <c r="F276" i="9"/>
  <c r="F46" i="9"/>
  <c r="D46" i="9"/>
  <c r="F150" i="9"/>
  <c r="D150" i="9"/>
  <c r="F277" i="9"/>
  <c r="D277" i="9"/>
  <c r="F256" i="9"/>
  <c r="D256" i="9"/>
  <c r="F88" i="9"/>
  <c r="D88" i="9"/>
  <c r="F87" i="9"/>
  <c r="D87" i="9"/>
  <c r="F193" i="9"/>
  <c r="D193" i="9"/>
  <c r="E219" i="9"/>
  <c r="D219" i="9" s="1"/>
  <c r="E157" i="9"/>
  <c r="D157" i="9" s="1"/>
  <c r="E241" i="9"/>
  <c r="D241" i="9" s="1"/>
  <c r="E266" i="9"/>
  <c r="F28" i="9"/>
  <c r="E258" i="9"/>
  <c r="D258" i="9" s="1"/>
  <c r="E182" i="9"/>
  <c r="F217" i="9"/>
  <c r="E200" i="9"/>
  <c r="E195" i="9"/>
  <c r="E287" i="9"/>
  <c r="F255" i="9"/>
  <c r="E114" i="9"/>
  <c r="F222" i="9"/>
  <c r="F45" i="9"/>
  <c r="E242" i="9"/>
  <c r="F24" i="9"/>
  <c r="E136" i="9"/>
  <c r="E178" i="9"/>
  <c r="E198" i="9"/>
  <c r="D198" i="9" s="1"/>
  <c r="E137" i="9"/>
  <c r="F214" i="9"/>
  <c r="E140" i="9"/>
  <c r="E262" i="9"/>
  <c r="E282" i="9"/>
  <c r="D282" i="9" s="1"/>
  <c r="F134" i="9"/>
  <c r="F260" i="9"/>
  <c r="F138" i="9"/>
  <c r="F160" i="9"/>
  <c r="E236" i="9"/>
  <c r="D236" i="9" s="1"/>
  <c r="E237" i="9"/>
  <c r="D237" i="9" s="1"/>
  <c r="F173" i="9"/>
  <c r="F139" i="9"/>
  <c r="F218" i="9"/>
  <c r="F278" i="9"/>
  <c r="F196" i="9"/>
  <c r="F197" i="9"/>
  <c r="F259" i="9"/>
  <c r="F171" i="9"/>
  <c r="F245" i="9"/>
  <c r="F244" i="9"/>
  <c r="F286" i="9"/>
  <c r="F257" i="9"/>
  <c r="E215" i="9"/>
  <c r="D215" i="9" s="1"/>
  <c r="E216" i="9"/>
  <c r="D216" i="9" s="1"/>
  <c r="E115" i="9"/>
  <c r="E135" i="9"/>
  <c r="D135" i="9" s="1"/>
  <c r="E279" i="9"/>
  <c r="D279" i="9" s="1"/>
  <c r="E220" i="9"/>
  <c r="D220" i="9" s="1"/>
  <c r="E156" i="9"/>
  <c r="D156" i="9" s="1"/>
  <c r="E240" i="9"/>
  <c r="D240" i="9" s="1"/>
  <c r="E174" i="9"/>
  <c r="D174" i="9" s="1"/>
  <c r="E158" i="9"/>
  <c r="D158" i="9" s="1"/>
  <c r="E224" i="9"/>
  <c r="D224" i="9" s="1"/>
  <c r="F151" i="9"/>
  <c r="F283" i="9"/>
  <c r="F239" i="9"/>
  <c r="F285" i="9"/>
  <c r="F221" i="9"/>
  <c r="F202" i="9"/>
  <c r="F199" i="9"/>
  <c r="F155" i="9"/>
  <c r="F129" i="9"/>
  <c r="F265" i="9"/>
  <c r="E152" i="9"/>
  <c r="D152" i="9" s="1"/>
  <c r="E153" i="9"/>
  <c r="D153" i="9" s="1"/>
  <c r="E131" i="9"/>
  <c r="D131" i="9" s="1"/>
  <c r="E132" i="9"/>
  <c r="D132" i="9" s="1"/>
  <c r="F159" i="9"/>
  <c r="F176" i="9"/>
  <c r="F281" i="9"/>
  <c r="F172" i="9"/>
  <c r="F235" i="9"/>
  <c r="F234" i="9"/>
  <c r="F181" i="9"/>
  <c r="F223" i="9"/>
  <c r="F194" i="9"/>
  <c r="E119" i="9"/>
  <c r="D119" i="9" s="1"/>
  <c r="E263" i="9"/>
  <c r="D263" i="9" s="1"/>
  <c r="E179" i="9"/>
  <c r="D179" i="9" s="1"/>
  <c r="E284" i="9"/>
  <c r="D284" i="9" s="1"/>
  <c r="E261" i="9"/>
  <c r="D261" i="9" s="1"/>
  <c r="E161" i="9"/>
  <c r="D161" i="9" s="1"/>
  <c r="E203" i="9"/>
  <c r="D203" i="9" s="1"/>
  <c r="F110" i="9"/>
  <c r="E111" i="9"/>
  <c r="D111" i="9" s="1"/>
  <c r="E9" i="9"/>
  <c r="D9" i="9" s="1"/>
  <c r="F49" i="9"/>
  <c r="E77" i="9"/>
  <c r="D77" i="9" s="1"/>
  <c r="F75" i="9"/>
  <c r="F108" i="9"/>
  <c r="F109" i="9"/>
  <c r="F116" i="9"/>
  <c r="F91" i="9"/>
  <c r="E73" i="9"/>
  <c r="E5" i="9"/>
  <c r="D5" i="9" s="1"/>
  <c r="E72" i="9"/>
  <c r="D72" i="9" s="1"/>
  <c r="E93" i="9"/>
  <c r="F54" i="9"/>
  <c r="E10" i="9"/>
  <c r="D10" i="9" s="1"/>
  <c r="E14" i="9"/>
  <c r="D14" i="9" s="1"/>
  <c r="E56" i="9"/>
  <c r="E52" i="9"/>
  <c r="D52" i="9" s="1"/>
  <c r="E51" i="9"/>
  <c r="D51" i="9" s="1"/>
  <c r="F95" i="9"/>
  <c r="F97" i="9"/>
  <c r="F92" i="9"/>
  <c r="F89" i="9"/>
  <c r="F67" i="9"/>
  <c r="F53" i="9"/>
  <c r="F76" i="9"/>
  <c r="F71" i="9"/>
  <c r="E68" i="9"/>
  <c r="D68" i="9" s="1"/>
  <c r="E69" i="9"/>
  <c r="D69" i="9" s="1"/>
  <c r="F55" i="9"/>
  <c r="E47" i="9"/>
  <c r="D47" i="9" s="1"/>
  <c r="E48" i="9"/>
  <c r="D48" i="9" s="1"/>
  <c r="F50" i="9"/>
  <c r="E74" i="9"/>
  <c r="D74" i="9" s="1"/>
  <c r="E90" i="9"/>
  <c r="D90" i="9" s="1"/>
  <c r="E98" i="9"/>
  <c r="D98" i="9" s="1"/>
  <c r="E94" i="9"/>
  <c r="D94" i="9" s="1"/>
  <c r="E35" i="9"/>
  <c r="D35" i="9" s="1"/>
  <c r="F30" i="9"/>
  <c r="F29" i="9"/>
  <c r="E31" i="9"/>
  <c r="D31" i="9" s="1"/>
  <c r="E32" i="9"/>
  <c r="D32" i="9" s="1"/>
  <c r="E27" i="9"/>
  <c r="D27" i="9" s="1"/>
  <c r="E26" i="9"/>
  <c r="D26" i="9" s="1"/>
  <c r="F34" i="9"/>
  <c r="F4" i="9"/>
  <c r="F3" i="9"/>
  <c r="F7" i="9"/>
  <c r="F6" i="9"/>
  <c r="F11" i="9"/>
  <c r="F12" i="9"/>
  <c r="F8" i="9"/>
  <c r="F13" i="9"/>
  <c r="L85" i="6"/>
  <c r="M86" i="6" s="1"/>
  <c r="L63" i="6"/>
  <c r="M64" i="6" s="1"/>
  <c r="L41" i="6"/>
  <c r="M42" i="6" s="1"/>
  <c r="I20" i="8"/>
  <c r="D88" i="6"/>
  <c r="E88" i="6" s="1"/>
  <c r="F88" i="6" s="1"/>
  <c r="K62" i="9"/>
  <c r="G20" i="10"/>
  <c r="I10" i="10"/>
  <c r="H10" i="10"/>
  <c r="L10" i="10"/>
  <c r="K10" i="10"/>
  <c r="J10" i="10"/>
  <c r="E11" i="10"/>
  <c r="F17" i="10"/>
  <c r="J59" i="9"/>
  <c r="H19" i="8"/>
  <c r="G40" i="9" s="1"/>
  <c r="H40" i="9" s="1"/>
  <c r="L123" i="8"/>
  <c r="C185" i="8"/>
  <c r="E185" i="8" s="1"/>
  <c r="G186" i="8"/>
  <c r="C122" i="8"/>
  <c r="E122" i="8" s="1"/>
  <c r="G123" i="8"/>
  <c r="C101" i="8"/>
  <c r="G102" i="8"/>
  <c r="G228" i="8"/>
  <c r="R123" i="8"/>
  <c r="C227" i="8"/>
  <c r="E227" i="8" s="1"/>
  <c r="O228" i="8"/>
  <c r="R228" i="8"/>
  <c r="L228" i="8"/>
  <c r="R186" i="8"/>
  <c r="O186" i="8"/>
  <c r="L186" i="8"/>
  <c r="R102" i="8"/>
  <c r="L102" i="8"/>
  <c r="O102" i="8"/>
  <c r="R39" i="8"/>
  <c r="O39" i="8"/>
  <c r="H89" i="6"/>
  <c r="L39" i="8"/>
  <c r="L18" i="8"/>
  <c r="E44" i="6"/>
  <c r="F44" i="6" s="1"/>
  <c r="H44" i="6" s="1"/>
  <c r="E23" i="6"/>
  <c r="F23" i="6" s="1"/>
  <c r="L16" i="6"/>
  <c r="M17" i="6" s="1"/>
  <c r="L15" i="6"/>
  <c r="L14" i="6"/>
  <c r="L13" i="6"/>
  <c r="L12" i="6"/>
  <c r="L11" i="6"/>
  <c r="E67" i="6"/>
  <c r="F67" i="6" s="1"/>
  <c r="H67" i="6" s="1"/>
  <c r="E66" i="6"/>
  <c r="F66" i="6" s="1"/>
  <c r="H66" i="6" s="1"/>
  <c r="E65" i="6"/>
  <c r="F65" i="6" s="1"/>
  <c r="H65" i="6" s="1"/>
  <c r="C49" i="6"/>
  <c r="E45" i="6"/>
  <c r="F45" i="6" s="1"/>
  <c r="H45" i="6" s="1"/>
  <c r="C27" i="6"/>
  <c r="C5" i="6"/>
  <c r="G41" i="5" l="1"/>
  <c r="I63" i="6"/>
  <c r="D64" i="6"/>
  <c r="E64" i="6" s="1"/>
  <c r="F64" i="6" s="1"/>
  <c r="H64" i="6" s="1"/>
  <c r="R101" i="8"/>
  <c r="E101" i="8"/>
  <c r="C59" i="8"/>
  <c r="E60" i="8"/>
  <c r="G60" i="8"/>
  <c r="L60" i="8"/>
  <c r="O60" i="8"/>
  <c r="R60" i="8"/>
  <c r="C38" i="8"/>
  <c r="E39" i="8"/>
  <c r="G39" i="8"/>
  <c r="C80" i="8"/>
  <c r="E81" i="8"/>
  <c r="G81" i="8"/>
  <c r="O81" i="8"/>
  <c r="L81" i="8"/>
  <c r="R81" i="8"/>
  <c r="C164" i="8"/>
  <c r="E165" i="8"/>
  <c r="G165" i="8"/>
  <c r="L165" i="8"/>
  <c r="R165" i="8"/>
  <c r="O165" i="8"/>
  <c r="D21" i="6"/>
  <c r="I20" i="6"/>
  <c r="K5" i="6"/>
  <c r="D43" i="6"/>
  <c r="E43" i="6" s="1"/>
  <c r="F43" i="6" s="1"/>
  <c r="H43" i="6" s="1"/>
  <c r="I42" i="6"/>
  <c r="I40" i="9"/>
  <c r="B313" i="9"/>
  <c r="B292" i="9"/>
  <c r="B271" i="9"/>
  <c r="B250" i="9"/>
  <c r="B229" i="9"/>
  <c r="B187" i="9"/>
  <c r="B166" i="9"/>
  <c r="B145" i="9"/>
  <c r="B124" i="9"/>
  <c r="B103" i="9"/>
  <c r="B82" i="9"/>
  <c r="B61" i="9"/>
  <c r="B40" i="9"/>
  <c r="B19" i="9"/>
  <c r="B208" i="9"/>
  <c r="C248" i="8"/>
  <c r="E249" i="8"/>
  <c r="L249" i="8"/>
  <c r="R249" i="8"/>
  <c r="G249" i="8"/>
  <c r="O249" i="8"/>
  <c r="C143" i="8"/>
  <c r="E144" i="8"/>
  <c r="L144" i="8"/>
  <c r="R144" i="8"/>
  <c r="O144" i="8"/>
  <c r="G144" i="8"/>
  <c r="C17" i="8"/>
  <c r="E18" i="8"/>
  <c r="J17" i="8"/>
  <c r="G18" i="8"/>
  <c r="O18" i="8"/>
  <c r="R18" i="8"/>
  <c r="C206" i="8"/>
  <c r="E207" i="8"/>
  <c r="L207" i="8"/>
  <c r="G207" i="8"/>
  <c r="O207" i="8"/>
  <c r="R207" i="8"/>
  <c r="F177" i="9"/>
  <c r="F241" i="9"/>
  <c r="F137" i="9"/>
  <c r="D137" i="9"/>
  <c r="F114" i="9"/>
  <c r="D114" i="9"/>
  <c r="F56" i="9"/>
  <c r="D56" i="9"/>
  <c r="F93" i="9"/>
  <c r="D93" i="9"/>
  <c r="F136" i="9"/>
  <c r="D136" i="9"/>
  <c r="F182" i="9"/>
  <c r="D182" i="9"/>
  <c r="F73" i="9"/>
  <c r="D73" i="9"/>
  <c r="F140" i="9"/>
  <c r="D140" i="9"/>
  <c r="F178" i="9"/>
  <c r="D178" i="9"/>
  <c r="F287" i="9"/>
  <c r="D287" i="9"/>
  <c r="F266" i="9"/>
  <c r="D266" i="9"/>
  <c r="F115" i="9"/>
  <c r="D115" i="9"/>
  <c r="F262" i="9"/>
  <c r="D262" i="9"/>
  <c r="F242" i="9"/>
  <c r="D242" i="9"/>
  <c r="F200" i="9"/>
  <c r="D200" i="9"/>
  <c r="F258" i="9"/>
  <c r="F157" i="9"/>
  <c r="F195" i="9"/>
  <c r="D195" i="9"/>
  <c r="F219" i="9"/>
  <c r="F111" i="9"/>
  <c r="F282" i="9"/>
  <c r="F119" i="9"/>
  <c r="F198" i="9"/>
  <c r="F284" i="9"/>
  <c r="F224" i="9"/>
  <c r="F131" i="9"/>
  <c r="F279" i="9"/>
  <c r="F179" i="9"/>
  <c r="F152" i="9"/>
  <c r="F158" i="9"/>
  <c r="F156" i="9"/>
  <c r="F135" i="9"/>
  <c r="F215" i="9"/>
  <c r="F9" i="9"/>
  <c r="F161" i="9"/>
  <c r="F153" i="9"/>
  <c r="F240" i="9"/>
  <c r="F216" i="9"/>
  <c r="F203" i="9"/>
  <c r="F236" i="9"/>
  <c r="F261" i="9"/>
  <c r="F263" i="9"/>
  <c r="F132" i="9"/>
  <c r="F174" i="9"/>
  <c r="F220" i="9"/>
  <c r="F237" i="9"/>
  <c r="F77" i="9"/>
  <c r="F51" i="9"/>
  <c r="F72" i="9"/>
  <c r="F14" i="9"/>
  <c r="F5" i="9"/>
  <c r="F52" i="9"/>
  <c r="F10" i="9"/>
  <c r="F90" i="9"/>
  <c r="F98" i="9"/>
  <c r="F94" i="9"/>
  <c r="F47" i="9"/>
  <c r="F68" i="9"/>
  <c r="F74" i="9"/>
  <c r="F48" i="9"/>
  <c r="F69" i="9"/>
  <c r="F26" i="9"/>
  <c r="F31" i="9"/>
  <c r="F32" i="9"/>
  <c r="F27" i="9"/>
  <c r="F35" i="9"/>
  <c r="L86" i="6"/>
  <c r="M87" i="6"/>
  <c r="L64" i="6"/>
  <c r="M65" i="6"/>
  <c r="L42" i="6"/>
  <c r="M43" i="6" s="1"/>
  <c r="I19" i="8"/>
  <c r="D87" i="6"/>
  <c r="E87" i="6" s="1"/>
  <c r="F87" i="6" s="1"/>
  <c r="H88" i="6"/>
  <c r="G21" i="10"/>
  <c r="K63" i="9"/>
  <c r="G22" i="10" s="1"/>
  <c r="E12" i="10"/>
  <c r="H11" i="10"/>
  <c r="L11" i="10"/>
  <c r="K11" i="10"/>
  <c r="J11" i="10"/>
  <c r="I11" i="10"/>
  <c r="J60" i="9"/>
  <c r="F18" i="10"/>
  <c r="L101" i="8"/>
  <c r="H18" i="8"/>
  <c r="G39" i="9" s="1"/>
  <c r="H39" i="9" s="1"/>
  <c r="C100" i="8"/>
  <c r="E100" i="8" s="1"/>
  <c r="G101" i="8"/>
  <c r="C121" i="8"/>
  <c r="E121" i="8" s="1"/>
  <c r="G122" i="8"/>
  <c r="L122" i="8"/>
  <c r="O122" i="8"/>
  <c r="R122" i="8"/>
  <c r="C184" i="8"/>
  <c r="E184" i="8" s="1"/>
  <c r="G185" i="8"/>
  <c r="O101" i="8"/>
  <c r="G227" i="8"/>
  <c r="C226" i="8"/>
  <c r="E226" i="8" s="1"/>
  <c r="O227" i="8"/>
  <c r="L227" i="8"/>
  <c r="R227" i="8"/>
  <c r="R185" i="8"/>
  <c r="O185" i="8"/>
  <c r="L185" i="8"/>
  <c r="O38" i="8"/>
  <c r="R38" i="8"/>
  <c r="L38" i="8"/>
  <c r="L17" i="8"/>
  <c r="C28" i="6"/>
  <c r="C50" i="6"/>
  <c r="L17" i="6"/>
  <c r="M18" i="6" s="1"/>
  <c r="G42" i="5" s="1"/>
  <c r="C310" i="9" s="1"/>
  <c r="H23" i="6"/>
  <c r="C6" i="6"/>
  <c r="BC101" i="2"/>
  <c r="BC100" i="2"/>
  <c r="BC99" i="2"/>
  <c r="BC98" i="2"/>
  <c r="BC97" i="2"/>
  <c r="BC96" i="2"/>
  <c r="BC93" i="2"/>
  <c r="BC92" i="2"/>
  <c r="BC91" i="2"/>
  <c r="BC90" i="2"/>
  <c r="BC89" i="2"/>
  <c r="BC88" i="2"/>
  <c r="BC85" i="2"/>
  <c r="BC84" i="2"/>
  <c r="BC83" i="2"/>
  <c r="BC82" i="2"/>
  <c r="BC81" i="2"/>
  <c r="BC80" i="2"/>
  <c r="BC77" i="2"/>
  <c r="BC76" i="2"/>
  <c r="BC75" i="2"/>
  <c r="BC74" i="2"/>
  <c r="BC73" i="2"/>
  <c r="BC72" i="2"/>
  <c r="BC69" i="2"/>
  <c r="BC68" i="2"/>
  <c r="BC67" i="2"/>
  <c r="BC66" i="2"/>
  <c r="BC65" i="2"/>
  <c r="BC64" i="2"/>
  <c r="BC61" i="2"/>
  <c r="BC60" i="2"/>
  <c r="BC59" i="2"/>
  <c r="BC58" i="2"/>
  <c r="BC57" i="2"/>
  <c r="BC56" i="2"/>
  <c r="BC53" i="2"/>
  <c r="BC52" i="2"/>
  <c r="BC51" i="2"/>
  <c r="BC50" i="2"/>
  <c r="BC49" i="2"/>
  <c r="BC48" i="2"/>
  <c r="BC45" i="2"/>
  <c r="BC44" i="2"/>
  <c r="BC43" i="2"/>
  <c r="BC42" i="2"/>
  <c r="BC41" i="2"/>
  <c r="BC40" i="2"/>
  <c r="BC32" i="2"/>
  <c r="BC33" i="2"/>
  <c r="BC34" i="2"/>
  <c r="BC35" i="2"/>
  <c r="BC36" i="2"/>
  <c r="BC37" i="2"/>
  <c r="AY37" i="2" s="1"/>
  <c r="BA101" i="2"/>
  <c r="BA100" i="2"/>
  <c r="BA99" i="2"/>
  <c r="BA98" i="2"/>
  <c r="BA97" i="2"/>
  <c r="BA96" i="2"/>
  <c r="BA93" i="2"/>
  <c r="BA92" i="2"/>
  <c r="BA91" i="2"/>
  <c r="BA90" i="2"/>
  <c r="BA89" i="2"/>
  <c r="BA88" i="2"/>
  <c r="BA85" i="2"/>
  <c r="BA84" i="2"/>
  <c r="BA83" i="2"/>
  <c r="BA82" i="2"/>
  <c r="BA81" i="2"/>
  <c r="BA80" i="2"/>
  <c r="BA77" i="2"/>
  <c r="BA76" i="2"/>
  <c r="BA75" i="2"/>
  <c r="BA74" i="2"/>
  <c r="BA73" i="2"/>
  <c r="BA72" i="2"/>
  <c r="BA69" i="2"/>
  <c r="BA68" i="2"/>
  <c r="BA67" i="2"/>
  <c r="BA66" i="2"/>
  <c r="BA65" i="2"/>
  <c r="BA64" i="2"/>
  <c r="BA61" i="2"/>
  <c r="BA60" i="2"/>
  <c r="BA59" i="2"/>
  <c r="BA58" i="2"/>
  <c r="BA57" i="2"/>
  <c r="BA56" i="2"/>
  <c r="C16" i="8" l="1"/>
  <c r="E17" i="8"/>
  <c r="J16" i="8"/>
  <c r="G17" i="8"/>
  <c r="R17" i="8"/>
  <c r="O17" i="8"/>
  <c r="C247" i="8"/>
  <c r="E248" i="8"/>
  <c r="G248" i="8"/>
  <c r="R248" i="8"/>
  <c r="L248" i="8"/>
  <c r="O248" i="8"/>
  <c r="C58" i="8"/>
  <c r="E59" i="8"/>
  <c r="G59" i="8"/>
  <c r="H17" i="8" s="1"/>
  <c r="G38" i="9" s="1"/>
  <c r="H38" i="9" s="1"/>
  <c r="L59" i="8"/>
  <c r="R59" i="8"/>
  <c r="O59" i="8"/>
  <c r="I62" i="6"/>
  <c r="D63" i="6"/>
  <c r="E63" i="6" s="1"/>
  <c r="F63" i="6" s="1"/>
  <c r="H63" i="6" s="1"/>
  <c r="C79" i="8"/>
  <c r="E80" i="8"/>
  <c r="G80" i="8"/>
  <c r="O80" i="8"/>
  <c r="R80" i="8"/>
  <c r="L80" i="8"/>
  <c r="E310" i="9"/>
  <c r="F310" i="9" s="1"/>
  <c r="I41" i="6"/>
  <c r="D42" i="6"/>
  <c r="E42" i="6" s="1"/>
  <c r="F42" i="6" s="1"/>
  <c r="H42" i="6" s="1"/>
  <c r="C163" i="8"/>
  <c r="E164" i="8"/>
  <c r="G164" i="8"/>
  <c r="R164" i="8"/>
  <c r="L164" i="8"/>
  <c r="O164" i="8"/>
  <c r="C309" i="9"/>
  <c r="E309" i="9" s="1"/>
  <c r="C267" i="9"/>
  <c r="E267" i="9" s="1"/>
  <c r="C162" i="9"/>
  <c r="E162" i="9" s="1"/>
  <c r="C99" i="9"/>
  <c r="E99" i="9" s="1"/>
  <c r="C183" i="9"/>
  <c r="E183" i="9" s="1"/>
  <c r="C288" i="9"/>
  <c r="E288" i="9" s="1"/>
  <c r="C141" i="9"/>
  <c r="E141" i="9" s="1"/>
  <c r="C120" i="9"/>
  <c r="E120" i="9" s="1"/>
  <c r="C57" i="9"/>
  <c r="E57" i="9" s="1"/>
  <c r="C225" i="9"/>
  <c r="E225" i="9" s="1"/>
  <c r="C204" i="9"/>
  <c r="E204" i="9" s="1"/>
  <c r="C78" i="9"/>
  <c r="E78" i="9" s="1"/>
  <c r="C36" i="9"/>
  <c r="E36" i="9" s="1"/>
  <c r="C246" i="9"/>
  <c r="E246" i="9" s="1"/>
  <c r="I39" i="9"/>
  <c r="B207" i="9"/>
  <c r="B18" i="9"/>
  <c r="B312" i="9"/>
  <c r="B291" i="9"/>
  <c r="B270" i="9"/>
  <c r="B249" i="9"/>
  <c r="B228" i="9"/>
  <c r="B186" i="9"/>
  <c r="B165" i="9"/>
  <c r="B144" i="9"/>
  <c r="B123" i="9"/>
  <c r="B102" i="9"/>
  <c r="B81" i="9"/>
  <c r="B60" i="9"/>
  <c r="B39" i="9"/>
  <c r="K6" i="6"/>
  <c r="C205" i="8"/>
  <c r="E206" i="8"/>
  <c r="G206" i="8"/>
  <c r="O206" i="8"/>
  <c r="L206" i="8"/>
  <c r="R206" i="8"/>
  <c r="C142" i="8"/>
  <c r="E143" i="8"/>
  <c r="G143" i="8"/>
  <c r="R143" i="8"/>
  <c r="O143" i="8"/>
  <c r="L143" i="8"/>
  <c r="D20" i="6"/>
  <c r="I19" i="6"/>
  <c r="C37" i="8"/>
  <c r="E38" i="8"/>
  <c r="G38" i="8"/>
  <c r="C15" i="9"/>
  <c r="E15" i="9" s="1"/>
  <c r="C247" i="9"/>
  <c r="E247" i="9" s="1"/>
  <c r="D247" i="9" s="1"/>
  <c r="C163" i="9"/>
  <c r="E163" i="9" s="1"/>
  <c r="D163" i="9" s="1"/>
  <c r="C289" i="9"/>
  <c r="E289" i="9" s="1"/>
  <c r="D289" i="9" s="1"/>
  <c r="C205" i="9"/>
  <c r="E205" i="9" s="1"/>
  <c r="D205" i="9" s="1"/>
  <c r="C268" i="9"/>
  <c r="E268" i="9" s="1"/>
  <c r="D268" i="9" s="1"/>
  <c r="C226" i="9"/>
  <c r="E226" i="9" s="1"/>
  <c r="D226" i="9" s="1"/>
  <c r="C184" i="9"/>
  <c r="E184" i="9" s="1"/>
  <c r="D184" i="9" s="1"/>
  <c r="C121" i="9"/>
  <c r="C142" i="9"/>
  <c r="E142" i="9" s="1"/>
  <c r="D142" i="9" s="1"/>
  <c r="C58" i="9"/>
  <c r="E58" i="9" s="1"/>
  <c r="D58" i="9" s="1"/>
  <c r="C100" i="9"/>
  <c r="C79" i="9"/>
  <c r="C16" i="9"/>
  <c r="C37" i="9"/>
  <c r="E37" i="9" s="1"/>
  <c r="D37" i="9" s="1"/>
  <c r="L87" i="6"/>
  <c r="M88" i="6" s="1"/>
  <c r="L65" i="6"/>
  <c r="M66" i="6" s="1"/>
  <c r="L43" i="6"/>
  <c r="M44" i="6" s="1"/>
  <c r="H87" i="6"/>
  <c r="N87" i="6"/>
  <c r="O87" i="6" s="1"/>
  <c r="I18" i="8"/>
  <c r="D86" i="6"/>
  <c r="E86" i="6" s="1"/>
  <c r="F86" i="6" s="1"/>
  <c r="N86" i="6" s="1"/>
  <c r="O86" i="6" s="1"/>
  <c r="L12" i="10"/>
  <c r="I12" i="10"/>
  <c r="H12" i="10"/>
  <c r="J12" i="10"/>
  <c r="K12" i="10"/>
  <c r="E13" i="10"/>
  <c r="J61" i="9"/>
  <c r="F19" i="10"/>
  <c r="G226" i="8"/>
  <c r="C99" i="8"/>
  <c r="G100" i="8"/>
  <c r="L100" i="8"/>
  <c r="R100" i="8"/>
  <c r="C120" i="8"/>
  <c r="E120" i="8" s="1"/>
  <c r="G121" i="8"/>
  <c r="L121" i="8"/>
  <c r="O121" i="8"/>
  <c r="R121" i="8"/>
  <c r="C183" i="8"/>
  <c r="E183" i="8" s="1"/>
  <c r="G184" i="8"/>
  <c r="O100" i="8"/>
  <c r="C225" i="8"/>
  <c r="E225" i="8" s="1"/>
  <c r="R226" i="8"/>
  <c r="O226" i="8"/>
  <c r="L226" i="8"/>
  <c r="O184" i="8"/>
  <c r="L184" i="8"/>
  <c r="R184" i="8"/>
  <c r="R37" i="8"/>
  <c r="O37" i="8"/>
  <c r="L37" i="8"/>
  <c r="L16" i="8"/>
  <c r="AZ98" i="2"/>
  <c r="AY51" i="2"/>
  <c r="O63" i="6"/>
  <c r="L18" i="6"/>
  <c r="M19" i="6" s="1"/>
  <c r="G43" i="5" s="1"/>
  <c r="C311" i="9" s="1"/>
  <c r="E311" i="9" s="1"/>
  <c r="C7" i="6"/>
  <c r="C51" i="6"/>
  <c r="C29" i="6"/>
  <c r="AY57" i="2"/>
  <c r="AY58" i="2"/>
  <c r="AZ51" i="2"/>
  <c r="AY49" i="2"/>
  <c r="AY50" i="2"/>
  <c r="AY101" i="2"/>
  <c r="AZ59" i="2"/>
  <c r="AZ60" i="2"/>
  <c r="AZ82" i="2"/>
  <c r="AZ83" i="2"/>
  <c r="AZ84" i="2"/>
  <c r="AZ85" i="2"/>
  <c r="AZ99" i="2"/>
  <c r="AZ101" i="2"/>
  <c r="AY35" i="2"/>
  <c r="AZ48" i="2"/>
  <c r="AY53" i="2"/>
  <c r="AY61" i="2"/>
  <c r="AY74" i="2"/>
  <c r="AY77" i="2"/>
  <c r="AY85" i="2"/>
  <c r="AZ96" i="2"/>
  <c r="AZ97" i="2"/>
  <c r="AY98" i="2"/>
  <c r="AY97" i="2"/>
  <c r="AY99" i="2"/>
  <c r="AY100" i="2"/>
  <c r="AY96" i="2"/>
  <c r="AZ100" i="2"/>
  <c r="AY88" i="2"/>
  <c r="AY89" i="2"/>
  <c r="AY92" i="2"/>
  <c r="AZ92" i="2"/>
  <c r="AZ88" i="2"/>
  <c r="AZ91" i="2"/>
  <c r="AZ93" i="2"/>
  <c r="AZ89" i="2"/>
  <c r="AY93" i="2"/>
  <c r="AZ90" i="2"/>
  <c r="AY90" i="2"/>
  <c r="AY91" i="2"/>
  <c r="AY82" i="2"/>
  <c r="AY80" i="2"/>
  <c r="AZ80" i="2"/>
  <c r="AY81" i="2"/>
  <c r="AY83" i="2"/>
  <c r="AT83" i="2" s="1"/>
  <c r="AY84" i="2"/>
  <c r="AT84" i="2" s="1"/>
  <c r="AZ81" i="2"/>
  <c r="AY72" i="2"/>
  <c r="AZ74" i="2"/>
  <c r="AZ75" i="2"/>
  <c r="AZ77" i="2"/>
  <c r="AZ76" i="2"/>
  <c r="AZ73" i="2"/>
  <c r="AZ72" i="2"/>
  <c r="AY73" i="2"/>
  <c r="AY75" i="2"/>
  <c r="AY76" i="2"/>
  <c r="AZ67" i="2"/>
  <c r="AZ68" i="2"/>
  <c r="AZ69" i="2"/>
  <c r="AY66" i="2"/>
  <c r="AY69" i="2"/>
  <c r="AY64" i="2"/>
  <c r="AZ66" i="2"/>
  <c r="AZ65" i="2"/>
  <c r="AZ64" i="2"/>
  <c r="AY65" i="2"/>
  <c r="AY67" i="2"/>
  <c r="AY68" i="2"/>
  <c r="AY59" i="2"/>
  <c r="AT59" i="2" s="1"/>
  <c r="AY60" i="2"/>
  <c r="AT60" i="2" s="1"/>
  <c r="AY56" i="2"/>
  <c r="AZ58" i="2"/>
  <c r="AZ61" i="2"/>
  <c r="AZ56" i="2"/>
  <c r="AZ57" i="2"/>
  <c r="AZ53" i="2"/>
  <c r="AY48" i="2"/>
  <c r="AZ49" i="2"/>
  <c r="AZ50" i="2"/>
  <c r="AY52" i="2"/>
  <c r="AZ52" i="2"/>
  <c r="AZ44" i="2"/>
  <c r="AZ45" i="2"/>
  <c r="AY45" i="2"/>
  <c r="AZ42" i="2"/>
  <c r="AY41" i="2"/>
  <c r="AZ41" i="2"/>
  <c r="AY42" i="2"/>
  <c r="AZ40" i="2"/>
  <c r="AY44" i="2"/>
  <c r="AT44" i="2" s="1"/>
  <c r="AY40" i="2"/>
  <c r="AY43" i="2"/>
  <c r="AZ43" i="2"/>
  <c r="AY33" i="2"/>
  <c r="AY32" i="2"/>
  <c r="AY36" i="2"/>
  <c r="AY34" i="2"/>
  <c r="AZ33" i="2"/>
  <c r="AZ35" i="2"/>
  <c r="AZ32" i="2"/>
  <c r="AZ34" i="2"/>
  <c r="AZ36" i="2"/>
  <c r="AZ37" i="2"/>
  <c r="AT37" i="2" s="1"/>
  <c r="B14" i="1"/>
  <c r="B46" i="1"/>
  <c r="B45" i="1"/>
  <c r="B44" i="1"/>
  <c r="B43" i="1"/>
  <c r="B36" i="1"/>
  <c r="I38" i="9" l="1"/>
  <c r="B311" i="9"/>
  <c r="B290" i="9"/>
  <c r="B269" i="9"/>
  <c r="B248" i="9"/>
  <c r="B227" i="9"/>
  <c r="B185" i="9"/>
  <c r="B164" i="9"/>
  <c r="B143" i="9"/>
  <c r="B122" i="9"/>
  <c r="B101" i="9"/>
  <c r="B80" i="9"/>
  <c r="B59" i="9"/>
  <c r="B38" i="9"/>
  <c r="B206" i="9"/>
  <c r="B17" i="9"/>
  <c r="D15" i="9"/>
  <c r="F15" i="9"/>
  <c r="D78" i="9"/>
  <c r="F78" i="9"/>
  <c r="C246" i="8"/>
  <c r="E247" i="8"/>
  <c r="G247" i="8"/>
  <c r="O247" i="8"/>
  <c r="R247" i="8"/>
  <c r="L247" i="8"/>
  <c r="R99" i="8"/>
  <c r="E99" i="8"/>
  <c r="E16" i="9"/>
  <c r="D16" i="9" s="1"/>
  <c r="C204" i="8"/>
  <c r="E205" i="8"/>
  <c r="R205" i="8"/>
  <c r="G205" i="8"/>
  <c r="L205" i="8"/>
  <c r="O205" i="8"/>
  <c r="D204" i="9"/>
  <c r="F204" i="9"/>
  <c r="D141" i="9"/>
  <c r="F141" i="9"/>
  <c r="D162" i="9"/>
  <c r="F162" i="9"/>
  <c r="C162" i="8"/>
  <c r="E163" i="8"/>
  <c r="G163" i="8"/>
  <c r="R163" i="8"/>
  <c r="L163" i="8"/>
  <c r="O163" i="8"/>
  <c r="I18" i="6"/>
  <c r="D19" i="6"/>
  <c r="D99" i="9"/>
  <c r="F99" i="9"/>
  <c r="E79" i="9"/>
  <c r="D79" i="9" s="1"/>
  <c r="E121" i="9"/>
  <c r="D121" i="9" s="1"/>
  <c r="D310" i="9"/>
  <c r="D246" i="9"/>
  <c r="F246" i="9"/>
  <c r="D225" i="9"/>
  <c r="F225" i="9"/>
  <c r="D288" i="9"/>
  <c r="F288" i="9"/>
  <c r="D267" i="9"/>
  <c r="F267" i="9"/>
  <c r="C78" i="8"/>
  <c r="E79" i="8"/>
  <c r="G79" i="8"/>
  <c r="H16" i="8" s="1"/>
  <c r="G37" i="9" s="1"/>
  <c r="H37" i="9" s="1"/>
  <c r="L79" i="8"/>
  <c r="O79" i="8"/>
  <c r="R79" i="8"/>
  <c r="C57" i="8"/>
  <c r="E58" i="8"/>
  <c r="G58" i="8"/>
  <c r="R58" i="8"/>
  <c r="O58" i="8"/>
  <c r="L58" i="8"/>
  <c r="C15" i="8"/>
  <c r="E16" i="8"/>
  <c r="J15" i="8"/>
  <c r="G16" i="8"/>
  <c r="R16" i="8"/>
  <c r="O16" i="8"/>
  <c r="D120" i="9"/>
  <c r="F120" i="9"/>
  <c r="I61" i="6"/>
  <c r="D62" i="6"/>
  <c r="E62" i="6" s="1"/>
  <c r="F62" i="6" s="1"/>
  <c r="K7" i="6"/>
  <c r="E100" i="9"/>
  <c r="D100" i="9" s="1"/>
  <c r="C36" i="8"/>
  <c r="E37" i="8"/>
  <c r="G37" i="8"/>
  <c r="C141" i="8"/>
  <c r="E142" i="8"/>
  <c r="O142" i="8"/>
  <c r="R142" i="8"/>
  <c r="G142" i="8"/>
  <c r="L142" i="8"/>
  <c r="D36" i="9"/>
  <c r="F36" i="9"/>
  <c r="D57" i="9"/>
  <c r="F57" i="9"/>
  <c r="D183" i="9"/>
  <c r="F183" i="9"/>
  <c r="D309" i="9"/>
  <c r="F309" i="9"/>
  <c r="I40" i="6"/>
  <c r="D41" i="6"/>
  <c r="E41" i="6" s="1"/>
  <c r="F41" i="6" s="1"/>
  <c r="F311" i="9"/>
  <c r="D311" i="9"/>
  <c r="F184" i="9"/>
  <c r="F289" i="9"/>
  <c r="F142" i="9"/>
  <c r="F268" i="9"/>
  <c r="F247" i="9"/>
  <c r="C227" i="9"/>
  <c r="E227" i="9" s="1"/>
  <c r="D227" i="9" s="1"/>
  <c r="C269" i="9"/>
  <c r="E269" i="9" s="1"/>
  <c r="D269" i="9" s="1"/>
  <c r="C185" i="9"/>
  <c r="E185" i="9" s="1"/>
  <c r="D185" i="9" s="1"/>
  <c r="C248" i="9"/>
  <c r="E248" i="9" s="1"/>
  <c r="D248" i="9" s="1"/>
  <c r="C290" i="9"/>
  <c r="E290" i="9" s="1"/>
  <c r="D290" i="9" s="1"/>
  <c r="C206" i="9"/>
  <c r="E206" i="9" s="1"/>
  <c r="D206" i="9" s="1"/>
  <c r="C164" i="9"/>
  <c r="E164" i="9" s="1"/>
  <c r="D164" i="9" s="1"/>
  <c r="F226" i="9"/>
  <c r="F163" i="9"/>
  <c r="F205" i="9"/>
  <c r="C122" i="9"/>
  <c r="E122" i="9" s="1"/>
  <c r="C143" i="9"/>
  <c r="E143" i="9" s="1"/>
  <c r="D143" i="9" s="1"/>
  <c r="F58" i="9"/>
  <c r="F100" i="9"/>
  <c r="F79" i="9"/>
  <c r="C101" i="9"/>
  <c r="E101" i="9" s="1"/>
  <c r="D101" i="9" s="1"/>
  <c r="C80" i="9"/>
  <c r="E80" i="9" s="1"/>
  <c r="D80" i="9" s="1"/>
  <c r="C59" i="9"/>
  <c r="E59" i="9" s="1"/>
  <c r="D59" i="9" s="1"/>
  <c r="F37" i="9"/>
  <c r="C17" i="9"/>
  <c r="E17" i="9" s="1"/>
  <c r="D17" i="9" s="1"/>
  <c r="C38" i="9"/>
  <c r="E38" i="9" s="1"/>
  <c r="D38" i="9" s="1"/>
  <c r="F16" i="9"/>
  <c r="L88" i="6"/>
  <c r="M89" i="6" s="1"/>
  <c r="N88" i="6"/>
  <c r="O88" i="6" s="1"/>
  <c r="L66" i="6"/>
  <c r="M67" i="6" s="1"/>
  <c r="L67" i="6" s="1"/>
  <c r="L44" i="6"/>
  <c r="M45" i="6" s="1"/>
  <c r="L45" i="6" s="1"/>
  <c r="AT32" i="2"/>
  <c r="AS32" i="2" s="1"/>
  <c r="AU32" i="2" s="1"/>
  <c r="AT40" i="2"/>
  <c r="AS40" i="2" s="1"/>
  <c r="AU40" i="2" s="1"/>
  <c r="AT67" i="2"/>
  <c r="AT75" i="2"/>
  <c r="AT72" i="2"/>
  <c r="AS72" i="2" s="1"/>
  <c r="AU72" i="2" s="1"/>
  <c r="AT91" i="2"/>
  <c r="AT97" i="2"/>
  <c r="AT53" i="2"/>
  <c r="AT64" i="2"/>
  <c r="AT90" i="2"/>
  <c r="AT43" i="2"/>
  <c r="AT42" i="2"/>
  <c r="AT52" i="2"/>
  <c r="AT61" i="2"/>
  <c r="AT51" i="2"/>
  <c r="AT41" i="2"/>
  <c r="AT65" i="2"/>
  <c r="AS65" i="2" s="1"/>
  <c r="AU65" i="2" s="1"/>
  <c r="AT73" i="2"/>
  <c r="AT92" i="2"/>
  <c r="AT96" i="2"/>
  <c r="AT98" i="2"/>
  <c r="AT33" i="2"/>
  <c r="AT77" i="2"/>
  <c r="AT49" i="2"/>
  <c r="AT56" i="2"/>
  <c r="AT81" i="2"/>
  <c r="AT85" i="2"/>
  <c r="AT50" i="2"/>
  <c r="AT57" i="2"/>
  <c r="AS57" i="2" s="1"/>
  <c r="AU57" i="2" s="1"/>
  <c r="AT36" i="2"/>
  <c r="AT45" i="2"/>
  <c r="AT68" i="2"/>
  <c r="AT66" i="2"/>
  <c r="AT76" i="2"/>
  <c r="AT82" i="2"/>
  <c r="AT93" i="2"/>
  <c r="AT88" i="2"/>
  <c r="AT99" i="2"/>
  <c r="AT101" i="2"/>
  <c r="AT58" i="2"/>
  <c r="AT34" i="2"/>
  <c r="AT48" i="2"/>
  <c r="AT69" i="2"/>
  <c r="AT80" i="2"/>
  <c r="AT89" i="2"/>
  <c r="AT100" i="2"/>
  <c r="AT74" i="2"/>
  <c r="AS74" i="2" s="1"/>
  <c r="AU74" i="2" s="1"/>
  <c r="AT35" i="2"/>
  <c r="AH87" i="6"/>
  <c r="X87" i="6"/>
  <c r="AD87" i="6"/>
  <c r="AF87" i="6"/>
  <c r="AB87" i="6"/>
  <c r="I17" i="8"/>
  <c r="D85" i="6"/>
  <c r="E85" i="6" s="1"/>
  <c r="F85" i="6" s="1"/>
  <c r="N85" i="6" s="1"/>
  <c r="O85" i="6" s="1"/>
  <c r="H86" i="6"/>
  <c r="E14" i="10"/>
  <c r="H13" i="10"/>
  <c r="L13" i="10"/>
  <c r="K13" i="10"/>
  <c r="I13" i="10"/>
  <c r="J13" i="10"/>
  <c r="F20" i="10"/>
  <c r="J62" i="9"/>
  <c r="L99" i="8"/>
  <c r="O99" i="8"/>
  <c r="C182" i="8"/>
  <c r="E182" i="8" s="1"/>
  <c r="G183" i="8"/>
  <c r="C119" i="8"/>
  <c r="E119" i="8" s="1"/>
  <c r="G120" i="8"/>
  <c r="L120" i="8"/>
  <c r="O120" i="8"/>
  <c r="R120" i="8"/>
  <c r="G225" i="8"/>
  <c r="C98" i="8"/>
  <c r="G99" i="8"/>
  <c r="C224" i="8"/>
  <c r="E224" i="8" s="1"/>
  <c r="R225" i="8"/>
  <c r="O225" i="8"/>
  <c r="L225" i="8"/>
  <c r="O183" i="8"/>
  <c r="L183" i="8"/>
  <c r="R183" i="8"/>
  <c r="R36" i="8"/>
  <c r="L15" i="8"/>
  <c r="Z63" i="6"/>
  <c r="X63" i="6"/>
  <c r="R63" i="6"/>
  <c r="T63" i="6"/>
  <c r="P63" i="6"/>
  <c r="O64" i="6"/>
  <c r="L19" i="6"/>
  <c r="M20" i="6" s="1"/>
  <c r="G44" i="5" s="1"/>
  <c r="C312" i="9" s="1"/>
  <c r="E312" i="9" s="1"/>
  <c r="C30" i="6"/>
  <c r="C52" i="6"/>
  <c r="C8" i="6"/>
  <c r="O42" i="6"/>
  <c r="C53" i="6"/>
  <c r="C31" i="6"/>
  <c r="E19" i="6"/>
  <c r="F19" i="6" s="1"/>
  <c r="N24" i="2"/>
  <c r="N25" i="2"/>
  <c r="N26" i="2"/>
  <c r="N27" i="2"/>
  <c r="N28" i="2"/>
  <c r="N29" i="2"/>
  <c r="C88" i="2"/>
  <c r="P101" i="2"/>
  <c r="J101" i="2"/>
  <c r="E101" i="2"/>
  <c r="P100" i="2"/>
  <c r="J100" i="2"/>
  <c r="E100" i="2"/>
  <c r="P99" i="2"/>
  <c r="J99" i="2"/>
  <c r="E99" i="2"/>
  <c r="P98" i="2"/>
  <c r="J98" i="2"/>
  <c r="E98" i="2"/>
  <c r="P97" i="2"/>
  <c r="J97" i="2"/>
  <c r="E97" i="2"/>
  <c r="P96" i="2"/>
  <c r="J96" i="2"/>
  <c r="E96" i="2"/>
  <c r="P93" i="2"/>
  <c r="J93" i="2"/>
  <c r="E93" i="2"/>
  <c r="P92" i="2"/>
  <c r="J92" i="2"/>
  <c r="E92" i="2"/>
  <c r="P91" i="2"/>
  <c r="J91" i="2"/>
  <c r="E91" i="2"/>
  <c r="P90" i="2"/>
  <c r="J90" i="2"/>
  <c r="E90" i="2"/>
  <c r="P89" i="2"/>
  <c r="J89" i="2"/>
  <c r="E89" i="2"/>
  <c r="P88" i="2"/>
  <c r="J88" i="2"/>
  <c r="E88" i="2"/>
  <c r="P85" i="2"/>
  <c r="J85" i="2"/>
  <c r="E85" i="2"/>
  <c r="P84" i="2"/>
  <c r="J84" i="2"/>
  <c r="E84" i="2"/>
  <c r="P83" i="2"/>
  <c r="J83" i="2"/>
  <c r="E83" i="2"/>
  <c r="P82" i="2"/>
  <c r="J82" i="2"/>
  <c r="E82" i="2"/>
  <c r="P81" i="2"/>
  <c r="J81" i="2"/>
  <c r="E81" i="2"/>
  <c r="P80" i="2"/>
  <c r="J80" i="2"/>
  <c r="E80" i="2"/>
  <c r="P77" i="2"/>
  <c r="J77" i="2"/>
  <c r="E77" i="2"/>
  <c r="P76" i="2"/>
  <c r="J76" i="2"/>
  <c r="E76" i="2"/>
  <c r="P75" i="2"/>
  <c r="J75" i="2"/>
  <c r="E75" i="2"/>
  <c r="P74" i="2"/>
  <c r="J74" i="2"/>
  <c r="E74" i="2"/>
  <c r="P73" i="2"/>
  <c r="J73" i="2"/>
  <c r="E73" i="2"/>
  <c r="P72" i="2"/>
  <c r="J72" i="2"/>
  <c r="E72" i="2"/>
  <c r="P69" i="2"/>
  <c r="J69" i="2"/>
  <c r="E69" i="2"/>
  <c r="P68" i="2"/>
  <c r="J68" i="2"/>
  <c r="E68" i="2"/>
  <c r="P67" i="2"/>
  <c r="J67" i="2"/>
  <c r="E67" i="2"/>
  <c r="P66" i="2"/>
  <c r="J66" i="2"/>
  <c r="E66" i="2"/>
  <c r="P65" i="2"/>
  <c r="J65" i="2"/>
  <c r="E65" i="2"/>
  <c r="P64" i="2"/>
  <c r="J64" i="2"/>
  <c r="E64" i="2"/>
  <c r="P61" i="2"/>
  <c r="J61" i="2"/>
  <c r="E61" i="2"/>
  <c r="P60" i="2"/>
  <c r="J60" i="2"/>
  <c r="E60" i="2"/>
  <c r="P59" i="2"/>
  <c r="J59" i="2"/>
  <c r="E59" i="2"/>
  <c r="P58" i="2"/>
  <c r="J58" i="2"/>
  <c r="E58" i="2"/>
  <c r="P57" i="2"/>
  <c r="J57" i="2"/>
  <c r="E57" i="2"/>
  <c r="P56" i="2"/>
  <c r="J56" i="2"/>
  <c r="E56" i="2"/>
  <c r="C96" i="2"/>
  <c r="P53" i="2"/>
  <c r="J53" i="2"/>
  <c r="E53" i="2"/>
  <c r="P52" i="2"/>
  <c r="J52" i="2"/>
  <c r="E52" i="2"/>
  <c r="P51" i="2"/>
  <c r="J51" i="2"/>
  <c r="E51" i="2"/>
  <c r="P50" i="2"/>
  <c r="J50" i="2"/>
  <c r="E50" i="2"/>
  <c r="P49" i="2"/>
  <c r="J49" i="2"/>
  <c r="E49" i="2"/>
  <c r="P48" i="2"/>
  <c r="J48" i="2"/>
  <c r="E48" i="2"/>
  <c r="P45" i="2"/>
  <c r="J45" i="2"/>
  <c r="E45" i="2"/>
  <c r="P44" i="2"/>
  <c r="J44" i="2"/>
  <c r="E44" i="2"/>
  <c r="P43" i="2"/>
  <c r="J43" i="2"/>
  <c r="E43" i="2"/>
  <c r="P42" i="2"/>
  <c r="J42" i="2"/>
  <c r="E42" i="2"/>
  <c r="P41" i="2"/>
  <c r="J41" i="2"/>
  <c r="E41" i="2"/>
  <c r="P40" i="2"/>
  <c r="J40" i="2"/>
  <c r="E40" i="2"/>
  <c r="P37" i="2"/>
  <c r="J37" i="2"/>
  <c r="E37" i="2"/>
  <c r="P36" i="2"/>
  <c r="J36" i="2"/>
  <c r="E36" i="2"/>
  <c r="P35" i="2"/>
  <c r="J35" i="2"/>
  <c r="E35" i="2"/>
  <c r="P34" i="2"/>
  <c r="J34" i="2"/>
  <c r="E34" i="2"/>
  <c r="P33" i="2"/>
  <c r="J33" i="2"/>
  <c r="E33" i="2"/>
  <c r="P32" i="2"/>
  <c r="J32" i="2"/>
  <c r="E32" i="2"/>
  <c r="P29" i="2"/>
  <c r="J29" i="2"/>
  <c r="E29" i="2"/>
  <c r="P28" i="2"/>
  <c r="J28" i="2"/>
  <c r="E28" i="2"/>
  <c r="P27" i="2"/>
  <c r="J27" i="2"/>
  <c r="E27" i="2"/>
  <c r="P26" i="2"/>
  <c r="J26" i="2"/>
  <c r="E26" i="2"/>
  <c r="P25" i="2"/>
  <c r="J25" i="2"/>
  <c r="E25" i="2"/>
  <c r="P24" i="2"/>
  <c r="J24" i="2"/>
  <c r="E24" i="2"/>
  <c r="I37" i="9" l="1"/>
  <c r="B205" i="9"/>
  <c r="B16" i="9"/>
  <c r="B289" i="9"/>
  <c r="B121" i="9"/>
  <c r="B37" i="9"/>
  <c r="B247" i="9"/>
  <c r="B163" i="9"/>
  <c r="B79" i="9"/>
  <c r="B310" i="9"/>
  <c r="B226" i="9"/>
  <c r="B142" i="9"/>
  <c r="B58" i="9"/>
  <c r="B184" i="9"/>
  <c r="B100" i="9"/>
  <c r="B268" i="9"/>
  <c r="G313" i="7"/>
  <c r="G271" i="7"/>
  <c r="G250" i="7"/>
  <c r="G19" i="7"/>
  <c r="G292" i="7"/>
  <c r="G229" i="7"/>
  <c r="G40" i="7"/>
  <c r="C35" i="8"/>
  <c r="E36" i="8"/>
  <c r="G36" i="8"/>
  <c r="C56" i="8"/>
  <c r="E57" i="8"/>
  <c r="G57" i="8"/>
  <c r="L57" i="8"/>
  <c r="O57" i="8"/>
  <c r="R57" i="8"/>
  <c r="C203" i="8"/>
  <c r="E204" i="8"/>
  <c r="G204" i="8"/>
  <c r="R204" i="8"/>
  <c r="L204" i="8"/>
  <c r="O204" i="8"/>
  <c r="L36" i="8"/>
  <c r="F121" i="9"/>
  <c r="I39" i="6"/>
  <c r="D40" i="6"/>
  <c r="E40" i="6" s="1"/>
  <c r="F40" i="6" s="1"/>
  <c r="C245" i="8"/>
  <c r="E246" i="8"/>
  <c r="G246" i="8"/>
  <c r="O246" i="8"/>
  <c r="R246" i="8"/>
  <c r="L246" i="8"/>
  <c r="C161" i="8"/>
  <c r="E162" i="8"/>
  <c r="G162" i="8"/>
  <c r="L162" i="8"/>
  <c r="R162" i="8"/>
  <c r="O162" i="8"/>
  <c r="K8" i="6"/>
  <c r="O36" i="8"/>
  <c r="C140" i="8"/>
  <c r="E141" i="8"/>
  <c r="G141" i="8"/>
  <c r="L141" i="8"/>
  <c r="R141" i="8"/>
  <c r="O141" i="8"/>
  <c r="H62" i="6"/>
  <c r="O62" i="6"/>
  <c r="L98" i="8"/>
  <c r="E98" i="8"/>
  <c r="H41" i="6"/>
  <c r="O41" i="6"/>
  <c r="I60" i="6"/>
  <c r="D61" i="6"/>
  <c r="E61" i="6" s="1"/>
  <c r="F61" i="6" s="1"/>
  <c r="C14" i="8"/>
  <c r="E15" i="8"/>
  <c r="J14" i="8"/>
  <c r="G15" i="8"/>
  <c r="O15" i="8"/>
  <c r="R15" i="8"/>
  <c r="C77" i="8"/>
  <c r="E78" i="8"/>
  <c r="R78" i="8"/>
  <c r="G78" i="8"/>
  <c r="O78" i="8"/>
  <c r="L78" i="8"/>
  <c r="I17" i="6"/>
  <c r="D18" i="6"/>
  <c r="E18" i="6" s="1"/>
  <c r="F18" i="6" s="1"/>
  <c r="D312" i="9"/>
  <c r="F312" i="9"/>
  <c r="F122" i="9"/>
  <c r="D122" i="9"/>
  <c r="F290" i="9"/>
  <c r="F143" i="9"/>
  <c r="F164" i="9"/>
  <c r="F185" i="9"/>
  <c r="F248" i="9"/>
  <c r="F227" i="9"/>
  <c r="C291" i="9"/>
  <c r="E291" i="9" s="1"/>
  <c r="D291" i="9" s="1"/>
  <c r="C207" i="9"/>
  <c r="E207" i="9" s="1"/>
  <c r="D207" i="9" s="1"/>
  <c r="C249" i="9"/>
  <c r="E249" i="9" s="1"/>
  <c r="D249" i="9" s="1"/>
  <c r="C228" i="9"/>
  <c r="E228" i="9" s="1"/>
  <c r="D228" i="9" s="1"/>
  <c r="C270" i="9"/>
  <c r="E270" i="9" s="1"/>
  <c r="D270" i="9" s="1"/>
  <c r="C186" i="9"/>
  <c r="E186" i="9" s="1"/>
  <c r="D186" i="9" s="1"/>
  <c r="C165" i="9"/>
  <c r="E165" i="9" s="1"/>
  <c r="D165" i="9" s="1"/>
  <c r="F206" i="9"/>
  <c r="F269" i="9"/>
  <c r="C123" i="9"/>
  <c r="E123" i="9" s="1"/>
  <c r="C144" i="9"/>
  <c r="E144" i="9" s="1"/>
  <c r="D144" i="9" s="1"/>
  <c r="C102" i="9"/>
  <c r="E102" i="9" s="1"/>
  <c r="D102" i="9" s="1"/>
  <c r="C81" i="9"/>
  <c r="E81" i="9" s="1"/>
  <c r="D81" i="9" s="1"/>
  <c r="C60" i="9"/>
  <c r="E60" i="9" s="1"/>
  <c r="D60" i="9" s="1"/>
  <c r="F59" i="9"/>
  <c r="F101" i="9"/>
  <c r="F80" i="9"/>
  <c r="F38" i="9"/>
  <c r="F17" i="9"/>
  <c r="C18" i="9"/>
  <c r="E18" i="9" s="1"/>
  <c r="D18" i="9" s="1"/>
  <c r="C39" i="9"/>
  <c r="E39" i="9" s="1"/>
  <c r="D39" i="9" s="1"/>
  <c r="L89" i="6"/>
  <c r="N89" i="6"/>
  <c r="O89" i="6" s="1"/>
  <c r="X88" i="6"/>
  <c r="AH88" i="6"/>
  <c r="AD88" i="6"/>
  <c r="AF88" i="6"/>
  <c r="AB88" i="6"/>
  <c r="S206" i="8"/>
  <c r="S17" i="8"/>
  <c r="S143" i="8"/>
  <c r="S164" i="8"/>
  <c r="S248" i="8"/>
  <c r="S80" i="8"/>
  <c r="S59" i="8"/>
  <c r="S101" i="8"/>
  <c r="S185" i="8"/>
  <c r="S227" i="8"/>
  <c r="S38" i="8"/>
  <c r="S122" i="8"/>
  <c r="H25" i="2"/>
  <c r="G25" i="2"/>
  <c r="G29" i="2"/>
  <c r="H29" i="2"/>
  <c r="G35" i="2"/>
  <c r="H35" i="2"/>
  <c r="Q41" i="2"/>
  <c r="H41" i="2"/>
  <c r="G41" i="2"/>
  <c r="Q45" i="2"/>
  <c r="G45" i="2"/>
  <c r="H45" i="2"/>
  <c r="Q51" i="2"/>
  <c r="H51" i="2"/>
  <c r="G51" i="2"/>
  <c r="G58" i="2"/>
  <c r="H58" i="2"/>
  <c r="Q64" i="2"/>
  <c r="G64" i="2"/>
  <c r="H64" i="2"/>
  <c r="Q68" i="2"/>
  <c r="G68" i="2"/>
  <c r="H68" i="2"/>
  <c r="Q74" i="2"/>
  <c r="G74" i="2"/>
  <c r="H74" i="2"/>
  <c r="G80" i="2"/>
  <c r="H80" i="2"/>
  <c r="G84" i="2"/>
  <c r="H84" i="2"/>
  <c r="G90" i="2"/>
  <c r="H90" i="2"/>
  <c r="Q96" i="2"/>
  <c r="G96" i="2"/>
  <c r="H96" i="2"/>
  <c r="Q100" i="2"/>
  <c r="G100" i="2"/>
  <c r="H100" i="2"/>
  <c r="G26" i="2"/>
  <c r="H26" i="2"/>
  <c r="G32" i="2"/>
  <c r="H32" i="2"/>
  <c r="H36" i="2"/>
  <c r="G36" i="2"/>
  <c r="Q42" i="2"/>
  <c r="G42" i="2"/>
  <c r="H42" i="2"/>
  <c r="Q48" i="2"/>
  <c r="G48" i="2"/>
  <c r="H48" i="2"/>
  <c r="Q52" i="2"/>
  <c r="G52" i="2"/>
  <c r="H52" i="2"/>
  <c r="Q59" i="2"/>
  <c r="H59" i="2"/>
  <c r="G59" i="2"/>
  <c r="H65" i="2"/>
  <c r="G65" i="2"/>
  <c r="H69" i="2"/>
  <c r="G69" i="2"/>
  <c r="H75" i="2"/>
  <c r="G75" i="2"/>
  <c r="H81" i="2"/>
  <c r="G81" i="2"/>
  <c r="H85" i="2"/>
  <c r="G85" i="2"/>
  <c r="Q91" i="2"/>
  <c r="H91" i="2"/>
  <c r="G91" i="2"/>
  <c r="G97" i="2"/>
  <c r="H97" i="2"/>
  <c r="H101" i="2"/>
  <c r="G101" i="2"/>
  <c r="G27" i="2"/>
  <c r="H27" i="2"/>
  <c r="H33" i="2"/>
  <c r="G33" i="2"/>
  <c r="H24" i="2"/>
  <c r="G24" i="2"/>
  <c r="H28" i="2"/>
  <c r="G28" i="2"/>
  <c r="G34" i="2"/>
  <c r="H34" i="2"/>
  <c r="H40" i="2"/>
  <c r="G40" i="2"/>
  <c r="Q44" i="2"/>
  <c r="H44" i="2"/>
  <c r="G44" i="2"/>
  <c r="H50" i="2"/>
  <c r="G50" i="2"/>
  <c r="G57" i="2"/>
  <c r="H57" i="2"/>
  <c r="H61" i="2"/>
  <c r="G61" i="2"/>
  <c r="Q67" i="2"/>
  <c r="G67" i="2"/>
  <c r="H67" i="2"/>
  <c r="G73" i="2"/>
  <c r="H73" i="2"/>
  <c r="H77" i="2"/>
  <c r="G77" i="2"/>
  <c r="G83" i="2"/>
  <c r="H83" i="2"/>
  <c r="H89" i="2"/>
  <c r="G89" i="2"/>
  <c r="G93" i="2"/>
  <c r="H93" i="2"/>
  <c r="Q99" i="2"/>
  <c r="H99" i="2"/>
  <c r="G99" i="2"/>
  <c r="H37" i="2"/>
  <c r="G37" i="2"/>
  <c r="Q43" i="2"/>
  <c r="H43" i="2"/>
  <c r="G43" i="2"/>
  <c r="H49" i="2"/>
  <c r="G49" i="2"/>
  <c r="H53" i="2"/>
  <c r="G53" i="2"/>
  <c r="H56" i="2"/>
  <c r="G56" i="2"/>
  <c r="Q60" i="2"/>
  <c r="H60" i="2"/>
  <c r="G60" i="2"/>
  <c r="H66" i="2"/>
  <c r="G66" i="2"/>
  <c r="H72" i="2"/>
  <c r="G72" i="2"/>
  <c r="H76" i="2"/>
  <c r="G76" i="2"/>
  <c r="Q82" i="2"/>
  <c r="H82" i="2"/>
  <c r="G82" i="2"/>
  <c r="H88" i="2"/>
  <c r="G88" i="2"/>
  <c r="H92" i="2"/>
  <c r="G92" i="2"/>
  <c r="H98" i="2"/>
  <c r="G98" i="2"/>
  <c r="Q33" i="2"/>
  <c r="Q37" i="2"/>
  <c r="Q35" i="2"/>
  <c r="Q32" i="2"/>
  <c r="Q36" i="2"/>
  <c r="AD29" i="2"/>
  <c r="AH86" i="6"/>
  <c r="X86" i="6"/>
  <c r="AF86" i="6"/>
  <c r="AB86" i="6"/>
  <c r="AD86" i="6"/>
  <c r="I16" i="8"/>
  <c r="D84" i="6"/>
  <c r="E84" i="6" s="1"/>
  <c r="F84" i="6" s="1"/>
  <c r="N84" i="6" s="1"/>
  <c r="O84" i="6" s="1"/>
  <c r="O98" i="8"/>
  <c r="H85" i="6"/>
  <c r="E15" i="10"/>
  <c r="L14" i="10"/>
  <c r="H14" i="10"/>
  <c r="J14" i="10"/>
  <c r="K14" i="10"/>
  <c r="I14" i="10"/>
  <c r="F21" i="10"/>
  <c r="J63" i="9"/>
  <c r="F22" i="10" s="1"/>
  <c r="R98" i="8"/>
  <c r="H15" i="8"/>
  <c r="G36" i="9" s="1"/>
  <c r="H36" i="9" s="1"/>
  <c r="G182" i="8"/>
  <c r="G224" i="8"/>
  <c r="G119" i="8"/>
  <c r="R119" i="8"/>
  <c r="L119" i="8"/>
  <c r="O119" i="8"/>
  <c r="G98" i="8"/>
  <c r="R224" i="8"/>
  <c r="L224" i="8"/>
  <c r="O224" i="8"/>
  <c r="R182" i="8"/>
  <c r="O182" i="8"/>
  <c r="L182" i="8"/>
  <c r="R35" i="8"/>
  <c r="G208" i="7"/>
  <c r="G187" i="7"/>
  <c r="G166" i="7"/>
  <c r="G145" i="7"/>
  <c r="G124" i="7"/>
  <c r="G103" i="7"/>
  <c r="G82" i="7"/>
  <c r="G61" i="7"/>
  <c r="L14" i="8"/>
  <c r="AJ23" i="2"/>
  <c r="AK23" i="2" s="1"/>
  <c r="AL23" i="2" s="1"/>
  <c r="AJ22" i="2"/>
  <c r="AK22" i="2" s="1"/>
  <c r="AL22" i="2" s="1"/>
  <c r="AG23" i="2"/>
  <c r="AG22" i="2"/>
  <c r="AS96" i="2"/>
  <c r="AU96" i="2" s="1"/>
  <c r="AS97" i="2"/>
  <c r="AU97" i="2" s="1"/>
  <c r="AS88" i="2"/>
  <c r="AU88" i="2" s="1"/>
  <c r="AS89" i="2"/>
  <c r="AU89" i="2" s="1"/>
  <c r="AS81" i="2"/>
  <c r="AU81" i="2" s="1"/>
  <c r="AS80" i="2"/>
  <c r="AU80" i="2" s="1"/>
  <c r="AS73" i="2"/>
  <c r="AU73" i="2" s="1"/>
  <c r="AS64" i="2"/>
  <c r="AU64" i="2" s="1"/>
  <c r="AS56" i="2"/>
  <c r="AU56" i="2" s="1"/>
  <c r="AS48" i="2"/>
  <c r="AU48" i="2" s="1"/>
  <c r="AS49" i="2"/>
  <c r="AU49" i="2" s="1"/>
  <c r="AS41" i="2"/>
  <c r="AU41" i="2" s="1"/>
  <c r="AS33" i="2"/>
  <c r="AU33" i="2" s="1"/>
  <c r="AS98" i="2"/>
  <c r="AU98" i="2" s="1"/>
  <c r="AS90" i="2"/>
  <c r="AU90" i="2" s="1"/>
  <c r="AS82" i="2"/>
  <c r="AU82" i="2" s="1"/>
  <c r="AS42" i="2"/>
  <c r="AU42" i="2" s="1"/>
  <c r="AS50" i="2"/>
  <c r="AU50" i="2" s="1"/>
  <c r="AS34" i="2"/>
  <c r="AU34" i="2" s="1"/>
  <c r="AS66" i="2"/>
  <c r="AU66" i="2" s="1"/>
  <c r="AS58" i="2"/>
  <c r="AU58" i="2" s="1"/>
  <c r="S104" i="2"/>
  <c r="U104" i="2" s="1"/>
  <c r="W104" i="2" s="1"/>
  <c r="S120" i="2"/>
  <c r="U120" i="2" s="1"/>
  <c r="W120" i="2" s="1"/>
  <c r="S112" i="2"/>
  <c r="U112" i="2" s="1"/>
  <c r="W112" i="2" s="1"/>
  <c r="S108" i="2"/>
  <c r="U108" i="2" s="1"/>
  <c r="W108" i="2" s="1"/>
  <c r="S124" i="2"/>
  <c r="U124" i="2" s="1"/>
  <c r="W124" i="2" s="1"/>
  <c r="S116" i="2"/>
  <c r="U116" i="2" s="1"/>
  <c r="W116" i="2" s="1"/>
  <c r="Z24" i="2"/>
  <c r="R104" i="2"/>
  <c r="R120" i="2"/>
  <c r="R112" i="2"/>
  <c r="T104" i="2"/>
  <c r="T112" i="2"/>
  <c r="T120" i="2"/>
  <c r="S125" i="2"/>
  <c r="U125" i="2" s="1"/>
  <c r="W125" i="2" s="1"/>
  <c r="S109" i="2"/>
  <c r="U109" i="2" s="1"/>
  <c r="W109" i="2" s="1"/>
  <c r="S117" i="2"/>
  <c r="U117" i="2" s="1"/>
  <c r="W117" i="2" s="1"/>
  <c r="R105" i="2"/>
  <c r="R121" i="2"/>
  <c r="R113" i="2"/>
  <c r="T113" i="2"/>
  <c r="T121" i="2"/>
  <c r="T105" i="2"/>
  <c r="S122" i="2"/>
  <c r="U122" i="2" s="1"/>
  <c r="W122" i="2" s="1"/>
  <c r="S106" i="2"/>
  <c r="U106" i="2" s="1"/>
  <c r="W106" i="2" s="1"/>
  <c r="S114" i="2"/>
  <c r="U114" i="2" s="1"/>
  <c r="W114" i="2" s="1"/>
  <c r="Y29" i="2"/>
  <c r="R109" i="2"/>
  <c r="R125" i="2"/>
  <c r="R117" i="2"/>
  <c r="T117" i="2"/>
  <c r="T125" i="2"/>
  <c r="T109" i="2"/>
  <c r="AC27" i="2"/>
  <c r="R107" i="2"/>
  <c r="R123" i="2"/>
  <c r="R115" i="2"/>
  <c r="T115" i="2"/>
  <c r="T123" i="2"/>
  <c r="T107" i="2"/>
  <c r="S113" i="2"/>
  <c r="U113" i="2" s="1"/>
  <c r="W113" i="2" s="1"/>
  <c r="S121" i="2"/>
  <c r="U121" i="2" s="1"/>
  <c r="W121" i="2" s="1"/>
  <c r="S105" i="2"/>
  <c r="U105" i="2" s="1"/>
  <c r="W105" i="2" s="1"/>
  <c r="R36" i="2"/>
  <c r="R108" i="2"/>
  <c r="R124" i="2"/>
  <c r="R116" i="2"/>
  <c r="T108" i="2"/>
  <c r="T116" i="2"/>
  <c r="T124" i="2"/>
  <c r="Y26" i="2"/>
  <c r="R106" i="2"/>
  <c r="R114" i="2"/>
  <c r="R122" i="2"/>
  <c r="T114" i="2"/>
  <c r="T122" i="2"/>
  <c r="T106" i="2"/>
  <c r="S123" i="2"/>
  <c r="U123" i="2" s="1"/>
  <c r="W123" i="2" s="1"/>
  <c r="S115" i="2"/>
  <c r="U115" i="2" s="1"/>
  <c r="W115" i="2" s="1"/>
  <c r="S107" i="2"/>
  <c r="U107" i="2" s="1"/>
  <c r="W107" i="2" s="1"/>
  <c r="Q77" i="2"/>
  <c r="S77" i="2"/>
  <c r="Z42" i="6"/>
  <c r="X42" i="6"/>
  <c r="T42" i="6"/>
  <c r="R42" i="6"/>
  <c r="P42" i="6"/>
  <c r="Z64" i="6"/>
  <c r="X64" i="6"/>
  <c r="R64" i="6"/>
  <c r="T64" i="6"/>
  <c r="P64" i="6"/>
  <c r="O65" i="6"/>
  <c r="L20" i="6"/>
  <c r="M21" i="6" s="1"/>
  <c r="G45" i="5" s="1"/>
  <c r="C313" i="9" s="1"/>
  <c r="E313" i="9" s="1"/>
  <c r="C9" i="6"/>
  <c r="O43" i="6"/>
  <c r="H19" i="6"/>
  <c r="O19" i="6"/>
  <c r="C54" i="6"/>
  <c r="C32" i="6"/>
  <c r="E20" i="6"/>
  <c r="F20" i="6" s="1"/>
  <c r="Q26" i="2"/>
  <c r="R29" i="2"/>
  <c r="R26" i="2"/>
  <c r="T27" i="2"/>
  <c r="Z28" i="2"/>
  <c r="Z25" i="2"/>
  <c r="S40" i="2"/>
  <c r="S32" i="2"/>
  <c r="R24" i="2"/>
  <c r="S42" i="2"/>
  <c r="Q40" i="2"/>
  <c r="T36" i="2"/>
  <c r="S28" i="2"/>
  <c r="Y24" i="2"/>
  <c r="AG29" i="2"/>
  <c r="S44" i="2"/>
  <c r="S34" i="2"/>
  <c r="S33" i="2"/>
  <c r="T29" i="2"/>
  <c r="Q34" i="2"/>
  <c r="R35" i="2"/>
  <c r="S37" i="2"/>
  <c r="R42" i="2"/>
  <c r="S45" i="2"/>
  <c r="T25" i="2"/>
  <c r="AG25" i="2"/>
  <c r="Y28" i="2"/>
  <c r="Z29" i="2"/>
  <c r="S36" i="2"/>
  <c r="T51" i="2"/>
  <c r="T43" i="2"/>
  <c r="T34" i="2"/>
  <c r="R37" i="2"/>
  <c r="S27" i="2"/>
  <c r="AG27" i="2"/>
  <c r="AC26" i="2"/>
  <c r="AC29" i="2"/>
  <c r="R32" i="2"/>
  <c r="R34" i="2"/>
  <c r="T37" i="2"/>
  <c r="S43" i="2"/>
  <c r="T24" i="2"/>
  <c r="S26" i="2"/>
  <c r="T28" i="2"/>
  <c r="AG24" i="2"/>
  <c r="AJ24" i="2"/>
  <c r="Y25" i="2"/>
  <c r="AJ26" i="2"/>
  <c r="AG28" i="2"/>
  <c r="T48" i="2"/>
  <c r="S49" i="2"/>
  <c r="R49" i="2"/>
  <c r="T52" i="2"/>
  <c r="S53" i="2"/>
  <c r="R53" i="2"/>
  <c r="S56" i="2"/>
  <c r="R56" i="2"/>
  <c r="T59" i="2"/>
  <c r="R60" i="2"/>
  <c r="R64" i="2"/>
  <c r="T66" i="2"/>
  <c r="R67" i="2"/>
  <c r="T72" i="2"/>
  <c r="T73" i="2"/>
  <c r="T74" i="2"/>
  <c r="T75" i="2"/>
  <c r="T81" i="2"/>
  <c r="R82" i="2"/>
  <c r="T85" i="2"/>
  <c r="T89" i="2"/>
  <c r="S90" i="2"/>
  <c r="R90" i="2"/>
  <c r="T93" i="2"/>
  <c r="T97" i="2"/>
  <c r="S98" i="2"/>
  <c r="R98" i="2"/>
  <c r="T101" i="2"/>
  <c r="AC25" i="2"/>
  <c r="S41" i="2"/>
  <c r="T49" i="2"/>
  <c r="S50" i="2"/>
  <c r="R50" i="2"/>
  <c r="T53" i="2"/>
  <c r="T56" i="2"/>
  <c r="S57" i="2"/>
  <c r="R57" i="2"/>
  <c r="T60" i="2"/>
  <c r="S61" i="2"/>
  <c r="R61" i="2"/>
  <c r="T64" i="2"/>
  <c r="S64" i="2"/>
  <c r="T67" i="2"/>
  <c r="R68" i="2"/>
  <c r="T77" i="2"/>
  <c r="T82" i="2"/>
  <c r="S83" i="2"/>
  <c r="R83" i="2"/>
  <c r="T90" i="2"/>
  <c r="R91" i="2"/>
  <c r="T98" i="2"/>
  <c r="R99" i="2"/>
  <c r="C72" i="2"/>
  <c r="AD25" i="2"/>
  <c r="T40" i="2"/>
  <c r="T41" i="2"/>
  <c r="T42" i="2"/>
  <c r="T44" i="2"/>
  <c r="T45" i="2"/>
  <c r="T50" i="2"/>
  <c r="R51" i="2"/>
  <c r="T57" i="2"/>
  <c r="S58" i="2"/>
  <c r="R58" i="2"/>
  <c r="T61" i="2"/>
  <c r="S65" i="2"/>
  <c r="R65" i="2"/>
  <c r="T68" i="2"/>
  <c r="S69" i="2"/>
  <c r="R69" i="2"/>
  <c r="R72" i="2"/>
  <c r="R73" i="2"/>
  <c r="R74" i="2"/>
  <c r="R75" i="2"/>
  <c r="R76" i="2"/>
  <c r="S80" i="2"/>
  <c r="R80" i="2"/>
  <c r="T83" i="2"/>
  <c r="S84" i="2"/>
  <c r="R84" i="2"/>
  <c r="S88" i="2"/>
  <c r="R88" i="2"/>
  <c r="T91" i="2"/>
  <c r="S92" i="2"/>
  <c r="R92" i="2"/>
  <c r="R96" i="2"/>
  <c r="T99" i="2"/>
  <c r="R100" i="2"/>
  <c r="T33" i="2"/>
  <c r="AD24" i="2"/>
  <c r="R48" i="2"/>
  <c r="R52" i="2"/>
  <c r="T58" i="2"/>
  <c r="R59" i="2"/>
  <c r="T65" i="2"/>
  <c r="S66" i="2"/>
  <c r="R66" i="2"/>
  <c r="T69" i="2"/>
  <c r="S72" i="2"/>
  <c r="S73" i="2"/>
  <c r="S75" i="2"/>
  <c r="S76" i="2"/>
  <c r="T76" i="2"/>
  <c r="R77" i="2"/>
  <c r="T80" i="2"/>
  <c r="S81" i="2"/>
  <c r="R81" i="2"/>
  <c r="T84" i="2"/>
  <c r="S85" i="2"/>
  <c r="R85" i="2"/>
  <c r="T88" i="2"/>
  <c r="S89" i="2"/>
  <c r="R89" i="2"/>
  <c r="T92" i="2"/>
  <c r="S93" i="2"/>
  <c r="R93" i="2"/>
  <c r="T96" i="2"/>
  <c r="S97" i="2"/>
  <c r="R97" i="2"/>
  <c r="T100" i="2"/>
  <c r="S101" i="2"/>
  <c r="R101" i="2"/>
  <c r="S96" i="2"/>
  <c r="S100" i="2"/>
  <c r="Q98" i="2"/>
  <c r="Q90" i="2"/>
  <c r="S91" i="2"/>
  <c r="Q81" i="2"/>
  <c r="Q83" i="2"/>
  <c r="Q85" i="2"/>
  <c r="Q75" i="2"/>
  <c r="Q73" i="2"/>
  <c r="Q66" i="2"/>
  <c r="S68" i="2"/>
  <c r="S60" i="2"/>
  <c r="Q56" i="2"/>
  <c r="Q58" i="2"/>
  <c r="Q97" i="2"/>
  <c r="S99" i="2"/>
  <c r="Q101" i="2"/>
  <c r="Q89" i="2"/>
  <c r="Q93" i="2"/>
  <c r="Q88" i="2"/>
  <c r="Q92" i="2"/>
  <c r="Q80" i="2"/>
  <c r="S82" i="2"/>
  <c r="Q84" i="2"/>
  <c r="Q72" i="2"/>
  <c r="S74" i="2"/>
  <c r="Q76" i="2"/>
  <c r="Q65" i="2"/>
  <c r="S67" i="2"/>
  <c r="Q69" i="2"/>
  <c r="Q57" i="2"/>
  <c r="S59" i="2"/>
  <c r="Q61" i="2"/>
  <c r="S48" i="2"/>
  <c r="S52" i="2"/>
  <c r="Q50" i="2"/>
  <c r="Q49" i="2"/>
  <c r="S51" i="2"/>
  <c r="Q53" i="2"/>
  <c r="L29" i="2"/>
  <c r="L40" i="2"/>
  <c r="L41" i="2"/>
  <c r="L42" i="2"/>
  <c r="L43" i="2"/>
  <c r="L45" i="2"/>
  <c r="L27" i="2"/>
  <c r="L24" i="2"/>
  <c r="L28" i="2"/>
  <c r="L44" i="2"/>
  <c r="L26" i="2"/>
  <c r="L25" i="2"/>
  <c r="T32" i="2"/>
  <c r="S35" i="2"/>
  <c r="T26" i="2"/>
  <c r="Q28" i="2"/>
  <c r="S24" i="2"/>
  <c r="R33" i="2"/>
  <c r="T35" i="2"/>
  <c r="R40" i="2"/>
  <c r="R41" i="2"/>
  <c r="R43" i="2"/>
  <c r="R44" i="2"/>
  <c r="R45" i="2"/>
  <c r="R27" i="2"/>
  <c r="R28" i="2"/>
  <c r="S29" i="2"/>
  <c r="AC24" i="2"/>
  <c r="Z26" i="2"/>
  <c r="Y27" i="2"/>
  <c r="AD27" i="2"/>
  <c r="AJ27" i="2"/>
  <c r="AC28" i="2"/>
  <c r="AG26" i="2"/>
  <c r="Z27" i="2"/>
  <c r="AD28" i="2"/>
  <c r="AJ28" i="2"/>
  <c r="AJ29" i="2"/>
  <c r="AJ25" i="2"/>
  <c r="AD26" i="2"/>
  <c r="Q24" i="2"/>
  <c r="Q25" i="2"/>
  <c r="Q27" i="2"/>
  <c r="Q29" i="2"/>
  <c r="R25" i="2"/>
  <c r="S25" i="2"/>
  <c r="G4" i="5"/>
  <c r="I36" i="9" l="1"/>
  <c r="B309" i="9"/>
  <c r="B288" i="9"/>
  <c r="B267" i="9"/>
  <c r="B246" i="9"/>
  <c r="B225" i="9"/>
  <c r="B183" i="9"/>
  <c r="B162" i="9"/>
  <c r="B141" i="9"/>
  <c r="B120" i="9"/>
  <c r="B99" i="9"/>
  <c r="B78" i="9"/>
  <c r="B57" i="9"/>
  <c r="B36" i="9"/>
  <c r="B204" i="9"/>
  <c r="B15" i="9"/>
  <c r="E14" i="8"/>
  <c r="G14" i="8"/>
  <c r="R14" i="8"/>
  <c r="O14" i="8"/>
  <c r="E35" i="8"/>
  <c r="G35" i="8"/>
  <c r="H14" i="8" s="1"/>
  <c r="G35" i="9" s="1"/>
  <c r="H35" i="9" s="1"/>
  <c r="E230" i="7"/>
  <c r="E293" i="7"/>
  <c r="E20" i="7"/>
  <c r="E272" i="7"/>
  <c r="E251" i="7"/>
  <c r="E314" i="7"/>
  <c r="E41" i="7"/>
  <c r="L35" i="8"/>
  <c r="H61" i="6"/>
  <c r="O61" i="6"/>
  <c r="E140" i="8"/>
  <c r="G140" i="8"/>
  <c r="O140" i="8"/>
  <c r="L140" i="8"/>
  <c r="R140" i="8"/>
  <c r="E245" i="8"/>
  <c r="R245" i="8"/>
  <c r="O245" i="8"/>
  <c r="G245" i="8"/>
  <c r="L245" i="8"/>
  <c r="E56" i="8"/>
  <c r="G56" i="8"/>
  <c r="R56" i="8"/>
  <c r="L56" i="8"/>
  <c r="O56" i="8"/>
  <c r="G314" i="7"/>
  <c r="G293" i="7"/>
  <c r="G272" i="7"/>
  <c r="G251" i="7"/>
  <c r="G41" i="7"/>
  <c r="G230" i="7"/>
  <c r="G20" i="7"/>
  <c r="D54" i="6"/>
  <c r="E54" i="6" s="1"/>
  <c r="F54" i="6" s="1"/>
  <c r="E77" i="8"/>
  <c r="O77" i="8"/>
  <c r="L77" i="8"/>
  <c r="G77" i="8"/>
  <c r="R77" i="8"/>
  <c r="I59" i="6"/>
  <c r="I58" i="6" s="1"/>
  <c r="I57" i="6" s="1"/>
  <c r="I56" i="6" s="1"/>
  <c r="I55" i="6" s="1"/>
  <c r="I54" i="6" s="1"/>
  <c r="I53" i="6" s="1"/>
  <c r="D60" i="6"/>
  <c r="E60" i="6" s="1"/>
  <c r="F60" i="6" s="1"/>
  <c r="Z62" i="6"/>
  <c r="P62" i="6"/>
  <c r="X62" i="6"/>
  <c r="R62" i="6"/>
  <c r="T62" i="6"/>
  <c r="H40" i="6"/>
  <c r="O40" i="6"/>
  <c r="I16" i="6"/>
  <c r="D17" i="6"/>
  <c r="E17" i="6" s="1"/>
  <c r="F17" i="6" s="1"/>
  <c r="K9" i="6"/>
  <c r="O35" i="8"/>
  <c r="H18" i="6"/>
  <c r="O18" i="6"/>
  <c r="T41" i="6"/>
  <c r="Z41" i="6"/>
  <c r="P41" i="6"/>
  <c r="X41" i="6"/>
  <c r="R41" i="6"/>
  <c r="E161" i="8"/>
  <c r="G161" i="8"/>
  <c r="L161" i="8"/>
  <c r="R161" i="8"/>
  <c r="O161" i="8"/>
  <c r="I38" i="6"/>
  <c r="D39" i="6"/>
  <c r="E39" i="6" s="1"/>
  <c r="F39" i="6" s="1"/>
  <c r="E203" i="8"/>
  <c r="L203" i="8"/>
  <c r="R203" i="8"/>
  <c r="O203" i="8"/>
  <c r="G203" i="8"/>
  <c r="D313" i="9"/>
  <c r="F313" i="9"/>
  <c r="F93" i="2"/>
  <c r="F83" i="2"/>
  <c r="F73" i="2"/>
  <c r="F34" i="2"/>
  <c r="F27" i="2"/>
  <c r="F97" i="2"/>
  <c r="F42" i="2"/>
  <c r="F96" i="2"/>
  <c r="F123" i="9"/>
  <c r="D123" i="9"/>
  <c r="F68" i="2"/>
  <c r="F186" i="9"/>
  <c r="F207" i="9"/>
  <c r="F165" i="9"/>
  <c r="F249" i="9"/>
  <c r="F144" i="9"/>
  <c r="F270" i="9"/>
  <c r="F291" i="9"/>
  <c r="C271" i="9"/>
  <c r="E271" i="9" s="1"/>
  <c r="D271" i="9" s="1"/>
  <c r="C187" i="9"/>
  <c r="E187" i="9" s="1"/>
  <c r="D187" i="9" s="1"/>
  <c r="C292" i="9"/>
  <c r="E292" i="9" s="1"/>
  <c r="D292" i="9" s="1"/>
  <c r="C208" i="9"/>
  <c r="E208" i="9" s="1"/>
  <c r="D208" i="9" s="1"/>
  <c r="C250" i="9"/>
  <c r="E250" i="9" s="1"/>
  <c r="D250" i="9" s="1"/>
  <c r="C166" i="9"/>
  <c r="E166" i="9" s="1"/>
  <c r="D166" i="9" s="1"/>
  <c r="C229" i="9"/>
  <c r="E229" i="9" s="1"/>
  <c r="D229" i="9" s="1"/>
  <c r="F228" i="9"/>
  <c r="C124" i="9"/>
  <c r="E124" i="9" s="1"/>
  <c r="D124" i="9" s="1"/>
  <c r="C145" i="9"/>
  <c r="E145" i="9" s="1"/>
  <c r="D145" i="9" s="1"/>
  <c r="F102" i="9"/>
  <c r="F81" i="9"/>
  <c r="F60" i="9"/>
  <c r="C82" i="9"/>
  <c r="E82" i="9" s="1"/>
  <c r="D82" i="9" s="1"/>
  <c r="C61" i="9"/>
  <c r="E61" i="9" s="1"/>
  <c r="D61" i="9" s="1"/>
  <c r="C103" i="9"/>
  <c r="E103" i="9" s="1"/>
  <c r="D103" i="9" s="1"/>
  <c r="F39" i="9"/>
  <c r="F18" i="9"/>
  <c r="C19" i="9"/>
  <c r="E19" i="9" s="1"/>
  <c r="D19" i="9" s="1"/>
  <c r="C40" i="9"/>
  <c r="E40" i="9" s="1"/>
  <c r="D40" i="9" s="1"/>
  <c r="AB89" i="6"/>
  <c r="AD89" i="6"/>
  <c r="AF89" i="6"/>
  <c r="AH89" i="6"/>
  <c r="X89" i="6"/>
  <c r="W17" i="8"/>
  <c r="S81" i="8"/>
  <c r="S207" i="8"/>
  <c r="S144" i="8"/>
  <c r="S165" i="8"/>
  <c r="S18" i="8"/>
  <c r="S249" i="8"/>
  <c r="S60" i="8"/>
  <c r="S39" i="8"/>
  <c r="S123" i="8"/>
  <c r="S228" i="8"/>
  <c r="S186" i="8"/>
  <c r="S102" i="8"/>
  <c r="P144" i="8"/>
  <c r="P18" i="8"/>
  <c r="P249" i="8"/>
  <c r="P81" i="8"/>
  <c r="P165" i="8"/>
  <c r="P207" i="8"/>
  <c r="P123" i="8"/>
  <c r="P60" i="8"/>
  <c r="P228" i="8"/>
  <c r="P186" i="8"/>
  <c r="P39" i="8"/>
  <c r="P102" i="8"/>
  <c r="F57" i="2"/>
  <c r="F26" i="2"/>
  <c r="F92" i="2"/>
  <c r="F82" i="2"/>
  <c r="F56" i="2"/>
  <c r="F49" i="2"/>
  <c r="F89" i="2"/>
  <c r="F77" i="2"/>
  <c r="F40" i="2"/>
  <c r="F28" i="2"/>
  <c r="F33" i="2"/>
  <c r="F101" i="2"/>
  <c r="F91" i="2"/>
  <c r="F66" i="2"/>
  <c r="F85" i="2"/>
  <c r="F65" i="2"/>
  <c r="F25" i="2"/>
  <c r="F76" i="2"/>
  <c r="F99" i="2"/>
  <c r="F61" i="2"/>
  <c r="F50" i="2"/>
  <c r="F75" i="2"/>
  <c r="F41" i="2"/>
  <c r="F90" i="2"/>
  <c r="F80" i="2"/>
  <c r="F64" i="2"/>
  <c r="F45" i="2"/>
  <c r="F29" i="2"/>
  <c r="F48" i="2"/>
  <c r="F32" i="2"/>
  <c r="F100" i="2"/>
  <c r="F84" i="2"/>
  <c r="F74" i="2"/>
  <c r="F35" i="2"/>
  <c r="F98" i="2"/>
  <c r="F88" i="2"/>
  <c r="F53" i="2"/>
  <c r="F43" i="2"/>
  <c r="F24" i="2"/>
  <c r="F51" i="2"/>
  <c r="F72" i="2"/>
  <c r="F60" i="2"/>
  <c r="F37" i="2"/>
  <c r="F67" i="2"/>
  <c r="F44" i="2"/>
  <c r="F81" i="2"/>
  <c r="F69" i="2"/>
  <c r="F59" i="2"/>
  <c r="F52" i="2"/>
  <c r="F36" i="2"/>
  <c r="F58" i="2"/>
  <c r="I15" i="8"/>
  <c r="D83" i="6"/>
  <c r="E83" i="6" s="1"/>
  <c r="F83" i="6" s="1"/>
  <c r="N83" i="6" s="1"/>
  <c r="O83" i="6" s="1"/>
  <c r="H84" i="6"/>
  <c r="X85" i="6"/>
  <c r="AH85" i="6"/>
  <c r="AF85" i="6"/>
  <c r="AB85" i="6"/>
  <c r="AD85" i="6"/>
  <c r="E16" i="10"/>
  <c r="I15" i="10"/>
  <c r="K15" i="10"/>
  <c r="J15" i="10"/>
  <c r="L15" i="10"/>
  <c r="H15" i="10"/>
  <c r="G5" i="5"/>
  <c r="G6" i="5" s="1"/>
  <c r="N59" i="2"/>
  <c r="L59" i="2" s="1"/>
  <c r="U59" i="2" s="1"/>
  <c r="N37" i="2"/>
  <c r="L37" i="2" s="1"/>
  <c r="U37" i="2" s="1"/>
  <c r="N33" i="2"/>
  <c r="L33" i="2" s="1"/>
  <c r="V33" i="2" s="1"/>
  <c r="X33" i="2" s="1"/>
  <c r="N56" i="2"/>
  <c r="L56" i="2" s="1"/>
  <c r="U56" i="2" s="1"/>
  <c r="N61" i="2"/>
  <c r="L61" i="2" s="1"/>
  <c r="V61" i="2" s="1"/>
  <c r="X61" i="2" s="1"/>
  <c r="N58" i="2"/>
  <c r="L58" i="2" s="1"/>
  <c r="V58" i="2" s="1"/>
  <c r="X58" i="2" s="1"/>
  <c r="N36" i="2"/>
  <c r="L36" i="2" s="1"/>
  <c r="V36" i="2" s="1"/>
  <c r="X36" i="2" s="1"/>
  <c r="N32" i="2"/>
  <c r="L32" i="2" s="1"/>
  <c r="V32" i="2" s="1"/>
  <c r="X32" i="2" s="1"/>
  <c r="N60" i="2"/>
  <c r="L60" i="2" s="1"/>
  <c r="V60" i="2" s="1"/>
  <c r="X60" i="2" s="1"/>
  <c r="N34" i="2"/>
  <c r="L34" i="2" s="1"/>
  <c r="V34" i="2" s="1"/>
  <c r="X34" i="2" s="1"/>
  <c r="N57" i="2"/>
  <c r="L57" i="2" s="1"/>
  <c r="U57" i="2" s="1"/>
  <c r="N35" i="2"/>
  <c r="L35" i="2" s="1"/>
  <c r="V35" i="2" s="1"/>
  <c r="X35" i="2" s="1"/>
  <c r="E209" i="7"/>
  <c r="E188" i="7"/>
  <c r="E167" i="7"/>
  <c r="E146" i="7"/>
  <c r="E125" i="7"/>
  <c r="E104" i="7"/>
  <c r="E83" i="7"/>
  <c r="E62" i="7"/>
  <c r="G209" i="7"/>
  <c r="G188" i="7"/>
  <c r="G167" i="7"/>
  <c r="G146" i="7"/>
  <c r="G125" i="7"/>
  <c r="G104" i="7"/>
  <c r="G83" i="7"/>
  <c r="G62" i="7"/>
  <c r="AH22" i="2"/>
  <c r="AI22" i="2" s="1"/>
  <c r="AH23" i="2"/>
  <c r="AI23" i="2" s="1"/>
  <c r="AH29" i="2"/>
  <c r="AH28" i="2"/>
  <c r="AH24" i="2"/>
  <c r="AA26" i="2"/>
  <c r="V115" i="2"/>
  <c r="X115" i="2" s="1"/>
  <c r="V113" i="2"/>
  <c r="X113" i="2" s="1"/>
  <c r="V109" i="2"/>
  <c r="X109" i="2" s="1"/>
  <c r="AS83" i="2"/>
  <c r="AU83" i="2" s="1"/>
  <c r="AS99" i="2"/>
  <c r="AU99" i="2" s="1"/>
  <c r="AS91" i="2"/>
  <c r="AU91" i="2" s="1"/>
  <c r="AS43" i="2"/>
  <c r="AU43" i="2" s="1"/>
  <c r="AS51" i="2"/>
  <c r="AU51" i="2" s="1"/>
  <c r="AS35" i="2"/>
  <c r="AU35" i="2" s="1"/>
  <c r="AS67" i="2"/>
  <c r="AU67" i="2" s="1"/>
  <c r="AS59" i="2"/>
  <c r="AU59" i="2" s="1"/>
  <c r="AS75" i="2"/>
  <c r="AU75" i="2" s="1"/>
  <c r="V121" i="2"/>
  <c r="X121" i="2" s="1"/>
  <c r="AE24" i="2"/>
  <c r="AF24" i="2" s="1"/>
  <c r="AA24" i="2"/>
  <c r="V122" i="2"/>
  <c r="X122" i="2" s="1"/>
  <c r="V123" i="2"/>
  <c r="X123" i="2" s="1"/>
  <c r="V112" i="2"/>
  <c r="X112" i="2" s="1"/>
  <c r="AE27" i="2"/>
  <c r="AF27" i="2" s="1"/>
  <c r="AA29" i="2"/>
  <c r="AE26" i="2"/>
  <c r="AF26" i="2" s="1"/>
  <c r="AH27" i="2"/>
  <c r="AI27" i="2" s="1"/>
  <c r="V106" i="2"/>
  <c r="X106" i="2" s="1"/>
  <c r="V124" i="2"/>
  <c r="X124" i="2" s="1"/>
  <c r="V125" i="2"/>
  <c r="X125" i="2" s="1"/>
  <c r="V104" i="2"/>
  <c r="X104" i="2" s="1"/>
  <c r="V108" i="2"/>
  <c r="X108" i="2" s="1"/>
  <c r="AH26" i="2"/>
  <c r="AA25" i="2"/>
  <c r="AH25" i="2"/>
  <c r="V114" i="2"/>
  <c r="X114" i="2" s="1"/>
  <c r="V116" i="2"/>
  <c r="X116" i="2" s="1"/>
  <c r="V107" i="2"/>
  <c r="X107" i="2" s="1"/>
  <c r="V117" i="2"/>
  <c r="X117" i="2" s="1"/>
  <c r="V105" i="2"/>
  <c r="X105" i="2" s="1"/>
  <c r="V120" i="2"/>
  <c r="X120" i="2" s="1"/>
  <c r="T19" i="6"/>
  <c r="R19" i="6"/>
  <c r="V19" i="6"/>
  <c r="P19" i="6"/>
  <c r="Z65" i="6"/>
  <c r="X65" i="6"/>
  <c r="R65" i="6"/>
  <c r="T65" i="6"/>
  <c r="P65" i="6"/>
  <c r="Z43" i="6"/>
  <c r="X43" i="6"/>
  <c r="T43" i="6"/>
  <c r="R43" i="6"/>
  <c r="P43" i="6"/>
  <c r="O66" i="6"/>
  <c r="C10" i="6"/>
  <c r="L21" i="6"/>
  <c r="M22" i="6" s="1"/>
  <c r="G46" i="5" s="1"/>
  <c r="C314" i="9" s="1"/>
  <c r="E314" i="9" s="1"/>
  <c r="O44" i="6"/>
  <c r="H20" i="6"/>
  <c r="O20" i="6"/>
  <c r="C55" i="6"/>
  <c r="D55" i="6" s="1"/>
  <c r="C33" i="6"/>
  <c r="E21" i="6"/>
  <c r="F21" i="6" s="1"/>
  <c r="E22" i="6"/>
  <c r="F22" i="6" s="1"/>
  <c r="AK26" i="2"/>
  <c r="AA28" i="2"/>
  <c r="AA27" i="2"/>
  <c r="AE25" i="2"/>
  <c r="AF25" i="2" s="1"/>
  <c r="AE29" i="2"/>
  <c r="AF29" i="2" s="1"/>
  <c r="V45" i="2"/>
  <c r="X45" i="2" s="1"/>
  <c r="U45" i="2"/>
  <c r="V43" i="2"/>
  <c r="X43" i="2" s="1"/>
  <c r="U43" i="2"/>
  <c r="V44" i="2"/>
  <c r="X44" i="2" s="1"/>
  <c r="U44" i="2"/>
  <c r="V42" i="2"/>
  <c r="X42" i="2" s="1"/>
  <c r="U42" i="2"/>
  <c r="V41" i="2"/>
  <c r="X41" i="2" s="1"/>
  <c r="U41" i="2"/>
  <c r="V40" i="2"/>
  <c r="X40" i="2" s="1"/>
  <c r="U40" i="2"/>
  <c r="V28" i="2"/>
  <c r="X28" i="2" s="1"/>
  <c r="V29" i="2"/>
  <c r="X29" i="2" s="1"/>
  <c r="V26" i="2"/>
  <c r="X26" i="2" s="1"/>
  <c r="V27" i="2"/>
  <c r="X27" i="2" s="1"/>
  <c r="V24" i="2"/>
  <c r="X24" i="2" s="1"/>
  <c r="V25" i="2"/>
  <c r="X25" i="2" s="1"/>
  <c r="U28" i="2"/>
  <c r="U29" i="2"/>
  <c r="U26" i="2"/>
  <c r="U27" i="2"/>
  <c r="U24" i="2"/>
  <c r="U25" i="2"/>
  <c r="AK25" i="2"/>
  <c r="AE28" i="2"/>
  <c r="AF28" i="2" s="1"/>
  <c r="AK24" i="2"/>
  <c r="AK28" i="2"/>
  <c r="AK29" i="2"/>
  <c r="AK27" i="2"/>
  <c r="O54" i="6" l="1"/>
  <c r="T54" i="6" s="1"/>
  <c r="I35" i="9"/>
  <c r="B203" i="9"/>
  <c r="B14" i="9"/>
  <c r="B308" i="9"/>
  <c r="B287" i="9"/>
  <c r="B266" i="9"/>
  <c r="B245" i="9"/>
  <c r="B224" i="9"/>
  <c r="B182" i="9"/>
  <c r="B161" i="9"/>
  <c r="B140" i="9"/>
  <c r="B119" i="9"/>
  <c r="B98" i="9"/>
  <c r="B77" i="9"/>
  <c r="B56" i="9"/>
  <c r="B35" i="9"/>
  <c r="I37" i="6"/>
  <c r="I36" i="6" s="1"/>
  <c r="I35" i="6" s="1"/>
  <c r="I34" i="6" s="1"/>
  <c r="I33" i="6" s="1"/>
  <c r="I32" i="6" s="1"/>
  <c r="D38" i="6"/>
  <c r="E38" i="6" s="1"/>
  <c r="F38" i="6" s="1"/>
  <c r="I15" i="6"/>
  <c r="I14" i="6" s="1"/>
  <c r="I13" i="6" s="1"/>
  <c r="I12" i="6" s="1"/>
  <c r="I11" i="6" s="1"/>
  <c r="I10" i="6" s="1"/>
  <c r="I9" i="6" s="1"/>
  <c r="D16" i="6"/>
  <c r="E16" i="6" s="1"/>
  <c r="F16" i="6" s="1"/>
  <c r="P206" i="8"/>
  <c r="P143" i="8"/>
  <c r="P122" i="8"/>
  <c r="P38" i="8"/>
  <c r="P17" i="8"/>
  <c r="P80" i="8"/>
  <c r="P185" i="8"/>
  <c r="P248" i="8"/>
  <c r="P164" i="8"/>
  <c r="P59" i="8"/>
  <c r="P101" i="8"/>
  <c r="P227" i="8"/>
  <c r="O60" i="6"/>
  <c r="H60" i="6"/>
  <c r="D10" i="6"/>
  <c r="E10" i="6" s="1"/>
  <c r="F10" i="6" s="1"/>
  <c r="O10" i="6" s="1"/>
  <c r="K10" i="6"/>
  <c r="G315" i="7"/>
  <c r="G231" i="7"/>
  <c r="G294" i="7"/>
  <c r="G21" i="7"/>
  <c r="G42" i="7"/>
  <c r="G273" i="7"/>
  <c r="G252" i="7"/>
  <c r="G249" i="7"/>
  <c r="G312" i="7"/>
  <c r="G228" i="7"/>
  <c r="G39" i="7"/>
  <c r="G291" i="7"/>
  <c r="G270" i="7"/>
  <c r="G18" i="7"/>
  <c r="G144" i="7"/>
  <c r="G123" i="7"/>
  <c r="G81" i="7"/>
  <c r="G102" i="7"/>
  <c r="G207" i="7"/>
  <c r="G186" i="7"/>
  <c r="G165" i="7"/>
  <c r="G60" i="7"/>
  <c r="I52" i="6"/>
  <c r="D53" i="6"/>
  <c r="E53" i="6" s="1"/>
  <c r="F53" i="6" s="1"/>
  <c r="D33" i="6"/>
  <c r="E252" i="7"/>
  <c r="E315" i="7"/>
  <c r="E231" i="7"/>
  <c r="E294" i="7"/>
  <c r="E273" i="7"/>
  <c r="E42" i="7"/>
  <c r="E21" i="7"/>
  <c r="C313" i="7"/>
  <c r="C229" i="7"/>
  <c r="C292" i="7"/>
  <c r="C40" i="7"/>
  <c r="C271" i="7"/>
  <c r="C250" i="7"/>
  <c r="C19" i="7"/>
  <c r="H39" i="6"/>
  <c r="O39" i="6"/>
  <c r="E313" i="7"/>
  <c r="E292" i="7"/>
  <c r="E271" i="7"/>
  <c r="E40" i="7"/>
  <c r="E250" i="7"/>
  <c r="E229" i="7"/>
  <c r="E19" i="7"/>
  <c r="E166" i="7"/>
  <c r="E82" i="7"/>
  <c r="E187" i="7"/>
  <c r="E145" i="7"/>
  <c r="E61" i="7"/>
  <c r="E208" i="7"/>
  <c r="E124" i="7"/>
  <c r="E103" i="7"/>
  <c r="V18" i="6"/>
  <c r="P18" i="6"/>
  <c r="R18" i="6"/>
  <c r="T18" i="6"/>
  <c r="O17" i="6"/>
  <c r="H17" i="6"/>
  <c r="X40" i="6"/>
  <c r="T40" i="6"/>
  <c r="Z40" i="6"/>
  <c r="R40" i="6"/>
  <c r="P40" i="6"/>
  <c r="S163" i="8"/>
  <c r="S79" i="8"/>
  <c r="S16" i="8"/>
  <c r="S205" i="8"/>
  <c r="S121" i="8"/>
  <c r="S184" i="8"/>
  <c r="S58" i="8"/>
  <c r="S37" i="8"/>
  <c r="S142" i="8"/>
  <c r="S226" i="8"/>
  <c r="S247" i="8"/>
  <c r="S100" i="8"/>
  <c r="Z61" i="6"/>
  <c r="P61" i="6"/>
  <c r="X61" i="6"/>
  <c r="T61" i="6"/>
  <c r="R61" i="6"/>
  <c r="F314" i="9"/>
  <c r="D314" i="9"/>
  <c r="F145" i="9"/>
  <c r="F229" i="9"/>
  <c r="F292" i="9"/>
  <c r="C251" i="9"/>
  <c r="E251" i="9" s="1"/>
  <c r="D251" i="9" s="1"/>
  <c r="C167" i="9"/>
  <c r="E167" i="9" s="1"/>
  <c r="D167" i="9" s="1"/>
  <c r="C272" i="9"/>
  <c r="E272" i="9" s="1"/>
  <c r="D272" i="9" s="1"/>
  <c r="C230" i="9"/>
  <c r="E230" i="9" s="1"/>
  <c r="D230" i="9" s="1"/>
  <c r="C293" i="9"/>
  <c r="E293" i="9" s="1"/>
  <c r="D293" i="9" s="1"/>
  <c r="C209" i="9"/>
  <c r="E209" i="9" s="1"/>
  <c r="D209" i="9" s="1"/>
  <c r="C188" i="9"/>
  <c r="E188" i="9" s="1"/>
  <c r="D188" i="9" s="1"/>
  <c r="F208" i="9"/>
  <c r="F250" i="9"/>
  <c r="F271" i="9"/>
  <c r="F166" i="9"/>
  <c r="F187" i="9"/>
  <c r="C125" i="9"/>
  <c r="E125" i="9" s="1"/>
  <c r="C146" i="9"/>
  <c r="E146" i="9" s="1"/>
  <c r="D146" i="9" s="1"/>
  <c r="F124" i="9"/>
  <c r="C62" i="9"/>
  <c r="E62" i="9" s="1"/>
  <c r="D62" i="9" s="1"/>
  <c r="C104" i="9"/>
  <c r="E104" i="9" s="1"/>
  <c r="D104" i="9" s="1"/>
  <c r="C83" i="9"/>
  <c r="E83" i="9" s="1"/>
  <c r="D83" i="9" s="1"/>
  <c r="F103" i="9"/>
  <c r="F82" i="9"/>
  <c r="F61" i="9"/>
  <c r="F40" i="9"/>
  <c r="F19" i="9"/>
  <c r="C20" i="9"/>
  <c r="E20" i="9" s="1"/>
  <c r="D20" i="9" s="1"/>
  <c r="C41" i="9"/>
  <c r="E41" i="9" s="1"/>
  <c r="D41" i="9" s="1"/>
  <c r="W18" i="8"/>
  <c r="S61" i="8"/>
  <c r="S145" i="8"/>
  <c r="S250" i="8"/>
  <c r="S19" i="8"/>
  <c r="S82" i="8"/>
  <c r="S208" i="8"/>
  <c r="S166" i="8"/>
  <c r="S103" i="8"/>
  <c r="S229" i="8"/>
  <c r="S187" i="8"/>
  <c r="S40" i="8"/>
  <c r="S124" i="8"/>
  <c r="P250" i="8"/>
  <c r="P145" i="8"/>
  <c r="P61" i="8"/>
  <c r="P166" i="8"/>
  <c r="P19" i="8"/>
  <c r="P208" i="8"/>
  <c r="P82" i="8"/>
  <c r="P187" i="8"/>
  <c r="P103" i="8"/>
  <c r="P40" i="8"/>
  <c r="P229" i="8"/>
  <c r="P124" i="8"/>
  <c r="V18" i="8"/>
  <c r="M206" i="8"/>
  <c r="T206" i="8" s="1"/>
  <c r="M143" i="8"/>
  <c r="T143" i="8" s="1"/>
  <c r="M248" i="8"/>
  <c r="M80" i="8"/>
  <c r="T80" i="8" s="1"/>
  <c r="M164" i="8"/>
  <c r="T164" i="8" s="1"/>
  <c r="M59" i="8"/>
  <c r="T59" i="8" s="1"/>
  <c r="M122" i="8"/>
  <c r="T122" i="8" s="1"/>
  <c r="M227" i="8"/>
  <c r="M38" i="8"/>
  <c r="M101" i="8"/>
  <c r="T101" i="8" s="1"/>
  <c r="M185" i="8"/>
  <c r="T185" i="8" s="1"/>
  <c r="C51" i="1"/>
  <c r="D51" i="1"/>
  <c r="E51" i="1"/>
  <c r="V57" i="2"/>
  <c r="X57" i="2" s="1"/>
  <c r="H83" i="6"/>
  <c r="I14" i="8"/>
  <c r="D82" i="6"/>
  <c r="E82" i="6" s="1"/>
  <c r="F82" i="6" s="1"/>
  <c r="N82" i="6" s="1"/>
  <c r="O82" i="6" s="1"/>
  <c r="AD84" i="6"/>
  <c r="AF84" i="6"/>
  <c r="AH84" i="6"/>
  <c r="AB84" i="6"/>
  <c r="X84" i="6"/>
  <c r="E17" i="10"/>
  <c r="L16" i="10"/>
  <c r="I16" i="10"/>
  <c r="H16" i="10"/>
  <c r="K16" i="10"/>
  <c r="J16" i="10"/>
  <c r="U36" i="2"/>
  <c r="B36" i="2" s="1"/>
  <c r="U33" i="2"/>
  <c r="W33" i="2" s="1"/>
  <c r="V37" i="2"/>
  <c r="X37" i="2" s="1"/>
  <c r="U58" i="2"/>
  <c r="B58" i="2" s="1"/>
  <c r="U34" i="2"/>
  <c r="B34" i="2" s="1"/>
  <c r="U35" i="2"/>
  <c r="W35" i="2" s="1"/>
  <c r="V56" i="2"/>
  <c r="X56" i="2" s="1"/>
  <c r="U60" i="2"/>
  <c r="B60" i="2" s="1"/>
  <c r="U61" i="2"/>
  <c r="W61" i="2" s="1"/>
  <c r="N69" i="2"/>
  <c r="L69" i="2" s="1"/>
  <c r="V69" i="2" s="1"/>
  <c r="X69" i="2" s="1"/>
  <c r="N65" i="2"/>
  <c r="L65" i="2" s="1"/>
  <c r="U65" i="2" s="1"/>
  <c r="W65" i="2" s="1"/>
  <c r="N66" i="2"/>
  <c r="L66" i="2" s="1"/>
  <c r="V66" i="2" s="1"/>
  <c r="X66" i="2" s="1"/>
  <c r="N68" i="2"/>
  <c r="L68" i="2" s="1"/>
  <c r="V68" i="2" s="1"/>
  <c r="X68" i="2" s="1"/>
  <c r="N64" i="2"/>
  <c r="L64" i="2" s="1"/>
  <c r="V64" i="2" s="1"/>
  <c r="X64" i="2" s="1"/>
  <c r="N67" i="2"/>
  <c r="L67" i="2" s="1"/>
  <c r="U67" i="2" s="1"/>
  <c r="W67" i="2" s="1"/>
  <c r="U32" i="2"/>
  <c r="W32" i="2" s="1"/>
  <c r="V59" i="2"/>
  <c r="X59" i="2" s="1"/>
  <c r="N53" i="2"/>
  <c r="L53" i="2" s="1"/>
  <c r="U53" i="2" s="1"/>
  <c r="W53" i="2" s="1"/>
  <c r="N49" i="2"/>
  <c r="L49" i="2" s="1"/>
  <c r="V49" i="2" s="1"/>
  <c r="X49" i="2" s="1"/>
  <c r="N50" i="2"/>
  <c r="L50" i="2" s="1"/>
  <c r="U50" i="2" s="1"/>
  <c r="W50" i="2" s="1"/>
  <c r="N51" i="2"/>
  <c r="L51" i="2" s="1"/>
  <c r="V51" i="2" s="1"/>
  <c r="X51" i="2" s="1"/>
  <c r="N52" i="2"/>
  <c r="L52" i="2" s="1"/>
  <c r="V52" i="2" s="1"/>
  <c r="X52" i="2" s="1"/>
  <c r="N48" i="2"/>
  <c r="L48" i="2" s="1"/>
  <c r="V48" i="2" s="1"/>
  <c r="X48" i="2" s="1"/>
  <c r="G189" i="7"/>
  <c r="G210" i="7"/>
  <c r="G147" i="7"/>
  <c r="G63" i="7"/>
  <c r="G168" i="7"/>
  <c r="G84" i="7"/>
  <c r="G105" i="7"/>
  <c r="G126" i="7"/>
  <c r="M17" i="8"/>
  <c r="E168" i="7"/>
  <c r="E84" i="7"/>
  <c r="E189" i="7"/>
  <c r="E105" i="7"/>
  <c r="E210" i="7"/>
  <c r="E126" i="7"/>
  <c r="E147" i="7"/>
  <c r="E63" i="7"/>
  <c r="C208" i="7"/>
  <c r="C187" i="7"/>
  <c r="C166" i="7"/>
  <c r="C145" i="7"/>
  <c r="C124" i="7"/>
  <c r="C103" i="7"/>
  <c r="C82" i="7"/>
  <c r="C61" i="7"/>
  <c r="AS100" i="2"/>
  <c r="AU100" i="2" s="1"/>
  <c r="AS92" i="2"/>
  <c r="AU92" i="2" s="1"/>
  <c r="AS84" i="2"/>
  <c r="AU84" i="2" s="1"/>
  <c r="AS44" i="2"/>
  <c r="AU44" i="2" s="1"/>
  <c r="AS52" i="2"/>
  <c r="AU52" i="2" s="1"/>
  <c r="AS36" i="2"/>
  <c r="AU36" i="2" s="1"/>
  <c r="AS68" i="2"/>
  <c r="AU68" i="2" s="1"/>
  <c r="AS60" i="2"/>
  <c r="AU60" i="2" s="1"/>
  <c r="AS76" i="2"/>
  <c r="AU76" i="2" s="1"/>
  <c r="G7" i="5"/>
  <c r="B123" i="2"/>
  <c r="B124" i="2"/>
  <c r="B120" i="2"/>
  <c r="B122" i="2"/>
  <c r="B125" i="2"/>
  <c r="B121" i="2"/>
  <c r="B113" i="2"/>
  <c r="B115" i="2"/>
  <c r="B117" i="2"/>
  <c r="B112" i="2"/>
  <c r="B116" i="2"/>
  <c r="B114" i="2"/>
  <c r="B107" i="2"/>
  <c r="B104" i="2"/>
  <c r="B109" i="2"/>
  <c r="B106" i="2"/>
  <c r="B108" i="2"/>
  <c r="B105" i="2"/>
  <c r="Z66" i="6"/>
  <c r="X66" i="6"/>
  <c r="R66" i="6"/>
  <c r="T66" i="6"/>
  <c r="P66" i="6"/>
  <c r="R20" i="6"/>
  <c r="T20" i="6"/>
  <c r="V20" i="6"/>
  <c r="P20" i="6"/>
  <c r="Z54" i="6"/>
  <c r="X54" i="6"/>
  <c r="R54" i="6"/>
  <c r="P54" i="6"/>
  <c r="Z44" i="6"/>
  <c r="X44" i="6"/>
  <c r="T44" i="6"/>
  <c r="R44" i="6"/>
  <c r="P44" i="6"/>
  <c r="O67" i="6"/>
  <c r="L22" i="6"/>
  <c r="M23" i="6" s="1"/>
  <c r="G47" i="5" s="1"/>
  <c r="C315" i="9" s="1"/>
  <c r="E315" i="9" s="1"/>
  <c r="C11" i="6"/>
  <c r="H54" i="6"/>
  <c r="O45" i="6"/>
  <c r="H21" i="6"/>
  <c r="O21" i="6"/>
  <c r="H22" i="6"/>
  <c r="O22" i="6"/>
  <c r="C56" i="6"/>
  <c r="D56" i="6" s="1"/>
  <c r="E55" i="6"/>
  <c r="F55" i="6" s="1"/>
  <c r="C34" i="6"/>
  <c r="D34" i="6" s="1"/>
  <c r="E33" i="6"/>
  <c r="F33" i="6" s="1"/>
  <c r="O33" i="6" s="1"/>
  <c r="W25" i="2"/>
  <c r="W24" i="2"/>
  <c r="W28" i="2"/>
  <c r="W27" i="2"/>
  <c r="W29" i="2"/>
  <c r="W59" i="2"/>
  <c r="W57" i="2"/>
  <c r="W56" i="2"/>
  <c r="W42" i="2"/>
  <c r="B42" i="2"/>
  <c r="W40" i="2"/>
  <c r="B40" i="2"/>
  <c r="W44" i="2"/>
  <c r="B44" i="2"/>
  <c r="W43" i="2"/>
  <c r="B43" i="2"/>
  <c r="W41" i="2"/>
  <c r="B41" i="2"/>
  <c r="W45" i="2"/>
  <c r="B45" i="2"/>
  <c r="W37" i="2"/>
  <c r="W26" i="2"/>
  <c r="AI26" i="2"/>
  <c r="AL26" i="2"/>
  <c r="AL29" i="2"/>
  <c r="AI29" i="2"/>
  <c r="AB29" i="2"/>
  <c r="AL27" i="2"/>
  <c r="AI24" i="2"/>
  <c r="AL28" i="2"/>
  <c r="AB27" i="2"/>
  <c r="AB24" i="2"/>
  <c r="AB26" i="2"/>
  <c r="AI25" i="2"/>
  <c r="AI28" i="2"/>
  <c r="AB25" i="2"/>
  <c r="AB28" i="2"/>
  <c r="AL25" i="2"/>
  <c r="AL24" i="2"/>
  <c r="E316" i="7" l="1"/>
  <c r="E274" i="7"/>
  <c r="E253" i="7"/>
  <c r="E43" i="7"/>
  <c r="E295" i="7"/>
  <c r="E232" i="7"/>
  <c r="E22" i="7"/>
  <c r="I8" i="6"/>
  <c r="D9" i="6"/>
  <c r="E9" i="6" s="1"/>
  <c r="F9" i="6" s="1"/>
  <c r="O55" i="6"/>
  <c r="R55" i="6" s="1"/>
  <c r="G241" i="7"/>
  <c r="G304" i="7"/>
  <c r="G220" i="7"/>
  <c r="G31" i="7"/>
  <c r="G283" i="7"/>
  <c r="G262" i="7"/>
  <c r="G10" i="7"/>
  <c r="C251" i="7"/>
  <c r="C230" i="7"/>
  <c r="C41" i="7"/>
  <c r="C293" i="7"/>
  <c r="C272" i="7"/>
  <c r="C314" i="7"/>
  <c r="C20" i="7"/>
  <c r="G253" i="7"/>
  <c r="G232" i="7"/>
  <c r="G43" i="7"/>
  <c r="G295" i="7"/>
  <c r="G316" i="7"/>
  <c r="G274" i="7"/>
  <c r="G22" i="7"/>
  <c r="T38" i="8"/>
  <c r="E312" i="7"/>
  <c r="E270" i="7"/>
  <c r="E249" i="7"/>
  <c r="E228" i="7"/>
  <c r="E39" i="7"/>
  <c r="E291" i="7"/>
  <c r="E18" i="7"/>
  <c r="E123" i="7"/>
  <c r="E144" i="7"/>
  <c r="E207" i="7"/>
  <c r="E81" i="7"/>
  <c r="E102" i="7"/>
  <c r="E60" i="7"/>
  <c r="E165" i="7"/>
  <c r="E186" i="7"/>
  <c r="M142" i="8"/>
  <c r="M37" i="8"/>
  <c r="M184" i="8"/>
  <c r="T184" i="8" s="1"/>
  <c r="M16" i="8"/>
  <c r="M79" i="8"/>
  <c r="M121" i="8"/>
  <c r="M247" i="8"/>
  <c r="M163" i="8"/>
  <c r="M58" i="8"/>
  <c r="M226" i="8"/>
  <c r="M205" i="8"/>
  <c r="T205" i="8" s="1"/>
  <c r="M100" i="8"/>
  <c r="X39" i="6"/>
  <c r="T39" i="6"/>
  <c r="P39" i="6"/>
  <c r="R39" i="6"/>
  <c r="Z39" i="6"/>
  <c r="O53" i="6"/>
  <c r="H53" i="6"/>
  <c r="H38" i="6"/>
  <c r="O38" i="6"/>
  <c r="G227" i="7"/>
  <c r="G290" i="7"/>
  <c r="G17" i="7"/>
  <c r="G311" i="7"/>
  <c r="G269" i="7"/>
  <c r="G248" i="7"/>
  <c r="G38" i="7"/>
  <c r="G185" i="7"/>
  <c r="G164" i="7"/>
  <c r="G101" i="7"/>
  <c r="G122" i="7"/>
  <c r="G80" i="7"/>
  <c r="G143" i="7"/>
  <c r="G206" i="7"/>
  <c r="G59" i="7"/>
  <c r="K11" i="6"/>
  <c r="D11" i="6"/>
  <c r="T227" i="8"/>
  <c r="S99" i="8"/>
  <c r="S120" i="8"/>
  <c r="S183" i="8"/>
  <c r="S225" i="8"/>
  <c r="S36" i="8"/>
  <c r="S246" i="8"/>
  <c r="S78" i="8"/>
  <c r="S162" i="8"/>
  <c r="S141" i="8"/>
  <c r="S57" i="8"/>
  <c r="S15" i="8"/>
  <c r="S204" i="8"/>
  <c r="W16" i="8"/>
  <c r="I51" i="6"/>
  <c r="D52" i="6"/>
  <c r="E52" i="6" s="1"/>
  <c r="F52" i="6" s="1"/>
  <c r="I31" i="6"/>
  <c r="D32" i="6"/>
  <c r="E32" i="6" s="1"/>
  <c r="F32" i="6" s="1"/>
  <c r="P100" i="8"/>
  <c r="P226" i="8"/>
  <c r="P16" i="8"/>
  <c r="V16" i="8" s="1"/>
  <c r="P205" i="8"/>
  <c r="P121" i="8"/>
  <c r="P37" i="8"/>
  <c r="P163" i="8"/>
  <c r="P142" i="8"/>
  <c r="P184" i="8"/>
  <c r="P79" i="8"/>
  <c r="P247" i="8"/>
  <c r="P58" i="8"/>
  <c r="T248" i="8"/>
  <c r="P17" i="6"/>
  <c r="T17" i="6"/>
  <c r="R17" i="6"/>
  <c r="V17" i="6"/>
  <c r="C312" i="7"/>
  <c r="C291" i="7"/>
  <c r="C270" i="7"/>
  <c r="C249" i="7"/>
  <c r="C228" i="7"/>
  <c r="C39" i="7"/>
  <c r="C18" i="7"/>
  <c r="C207" i="7"/>
  <c r="C60" i="7"/>
  <c r="C186" i="7"/>
  <c r="C165" i="7"/>
  <c r="C81" i="7"/>
  <c r="C102" i="7"/>
  <c r="C144" i="7"/>
  <c r="C123" i="7"/>
  <c r="R60" i="6"/>
  <c r="T60" i="6"/>
  <c r="X60" i="6"/>
  <c r="Z60" i="6"/>
  <c r="P60" i="6"/>
  <c r="V17" i="8"/>
  <c r="H16" i="6"/>
  <c r="O16" i="6"/>
  <c r="F315" i="9"/>
  <c r="D315" i="9"/>
  <c r="F125" i="9"/>
  <c r="D125" i="9"/>
  <c r="F146" i="9"/>
  <c r="F188" i="9"/>
  <c r="F272" i="9"/>
  <c r="C231" i="9"/>
  <c r="E231" i="9" s="1"/>
  <c r="D231" i="9" s="1"/>
  <c r="C252" i="9"/>
  <c r="E252" i="9" s="1"/>
  <c r="D252" i="9" s="1"/>
  <c r="C294" i="9"/>
  <c r="E294" i="9" s="1"/>
  <c r="D294" i="9" s="1"/>
  <c r="C210" i="9"/>
  <c r="E210" i="9" s="1"/>
  <c r="D210" i="9" s="1"/>
  <c r="C273" i="9"/>
  <c r="E273" i="9" s="1"/>
  <c r="D273" i="9" s="1"/>
  <c r="C189" i="9"/>
  <c r="E189" i="9" s="1"/>
  <c r="D189" i="9" s="1"/>
  <c r="C168" i="9"/>
  <c r="E168" i="9" s="1"/>
  <c r="D168" i="9" s="1"/>
  <c r="F230" i="9"/>
  <c r="F293" i="9"/>
  <c r="F251" i="9"/>
  <c r="F209" i="9"/>
  <c r="F167" i="9"/>
  <c r="C126" i="9"/>
  <c r="E126" i="9" s="1"/>
  <c r="C147" i="9"/>
  <c r="E147" i="9" s="1"/>
  <c r="D147" i="9" s="1"/>
  <c r="F104" i="9"/>
  <c r="F62" i="9"/>
  <c r="C105" i="9"/>
  <c r="E105" i="9" s="1"/>
  <c r="D105" i="9" s="1"/>
  <c r="C84" i="9"/>
  <c r="E84" i="9" s="1"/>
  <c r="D84" i="9" s="1"/>
  <c r="C63" i="9"/>
  <c r="E63" i="9" s="1"/>
  <c r="D63" i="9" s="1"/>
  <c r="F83" i="9"/>
  <c r="F41" i="9"/>
  <c r="C21" i="9"/>
  <c r="E21" i="9" s="1"/>
  <c r="D21" i="9" s="1"/>
  <c r="C42" i="9"/>
  <c r="E42" i="9" s="1"/>
  <c r="D42" i="9" s="1"/>
  <c r="F20" i="9"/>
  <c r="W19" i="8"/>
  <c r="S230" i="8"/>
  <c r="S125" i="8"/>
  <c r="S41" i="8"/>
  <c r="S20" i="8"/>
  <c r="S83" i="8"/>
  <c r="S209" i="8"/>
  <c r="S251" i="8"/>
  <c r="S146" i="8"/>
  <c r="S167" i="8"/>
  <c r="S62" i="8"/>
  <c r="S104" i="8"/>
  <c r="S188" i="8"/>
  <c r="P188" i="8"/>
  <c r="P104" i="8"/>
  <c r="P41" i="8"/>
  <c r="P251" i="8"/>
  <c r="P125" i="8"/>
  <c r="P167" i="8"/>
  <c r="P62" i="8"/>
  <c r="P146" i="8"/>
  <c r="P20" i="8"/>
  <c r="P230" i="8"/>
  <c r="P83" i="8"/>
  <c r="P209" i="8"/>
  <c r="V19" i="8"/>
  <c r="U17" i="8"/>
  <c r="M81" i="8"/>
  <c r="T81" i="8" s="1"/>
  <c r="M249" i="8"/>
  <c r="T249" i="8" s="1"/>
  <c r="M144" i="8"/>
  <c r="T144" i="8" s="1"/>
  <c r="M207" i="8"/>
  <c r="T207" i="8" s="1"/>
  <c r="M165" i="8"/>
  <c r="T165" i="8" s="1"/>
  <c r="M60" i="8"/>
  <c r="T60" i="8" s="1"/>
  <c r="M186" i="8"/>
  <c r="T186" i="8" s="1"/>
  <c r="M102" i="8"/>
  <c r="T102" i="8" s="1"/>
  <c r="M39" i="8"/>
  <c r="T39" i="8" s="1"/>
  <c r="M228" i="8"/>
  <c r="T228" i="8" s="1"/>
  <c r="M123" i="8"/>
  <c r="T123" i="8" s="1"/>
  <c r="B51" i="1"/>
  <c r="H145" i="9" s="1"/>
  <c r="G145" i="9" s="1"/>
  <c r="B57" i="2"/>
  <c r="AD83" i="6"/>
  <c r="AF83" i="6"/>
  <c r="AH83" i="6"/>
  <c r="AB83" i="6"/>
  <c r="X83" i="6"/>
  <c r="H82" i="6"/>
  <c r="K17" i="10"/>
  <c r="H17" i="10"/>
  <c r="L17" i="10"/>
  <c r="J17" i="10"/>
  <c r="I17" i="10"/>
  <c r="E18" i="10"/>
  <c r="W36" i="2"/>
  <c r="W34" i="2"/>
  <c r="B37" i="2"/>
  <c r="C37" i="2" s="1"/>
  <c r="U66" i="2"/>
  <c r="B66" i="2" s="1"/>
  <c r="B33" i="2"/>
  <c r="C105" i="2" s="1"/>
  <c r="B56" i="2"/>
  <c r="U68" i="2"/>
  <c r="B68" i="2" s="1"/>
  <c r="B32" i="2"/>
  <c r="C104" i="2" s="1"/>
  <c r="V50" i="2"/>
  <c r="X50" i="2" s="1"/>
  <c r="B61" i="2"/>
  <c r="W58" i="2"/>
  <c r="U49" i="2"/>
  <c r="B49" i="2" s="1"/>
  <c r="W60" i="2"/>
  <c r="B35" i="2"/>
  <c r="C107" i="2" s="1"/>
  <c r="V65" i="2"/>
  <c r="X65" i="2" s="1"/>
  <c r="B59" i="2"/>
  <c r="U51" i="2"/>
  <c r="W51" i="2" s="1"/>
  <c r="U69" i="2"/>
  <c r="B69" i="2" s="1"/>
  <c r="N101" i="2"/>
  <c r="L101" i="2" s="1"/>
  <c r="U101" i="2" s="1"/>
  <c r="N97" i="2"/>
  <c r="L97" i="2" s="1"/>
  <c r="U97" i="2" s="1"/>
  <c r="N91" i="2"/>
  <c r="L91" i="2" s="1"/>
  <c r="V91" i="2" s="1"/>
  <c r="X91" i="2" s="1"/>
  <c r="N75" i="2"/>
  <c r="L75" i="2" s="1"/>
  <c r="U75" i="2" s="1"/>
  <c r="N98" i="2"/>
  <c r="L98" i="2" s="1"/>
  <c r="U98" i="2" s="1"/>
  <c r="N88" i="2"/>
  <c r="L88" i="2" s="1"/>
  <c r="V88" i="2" s="1"/>
  <c r="X88" i="2" s="1"/>
  <c r="N76" i="2"/>
  <c r="L76" i="2" s="1"/>
  <c r="U76" i="2" s="1"/>
  <c r="N93" i="2"/>
  <c r="L93" i="2" s="1"/>
  <c r="V93" i="2" s="1"/>
  <c r="X93" i="2" s="1"/>
  <c r="N73" i="2"/>
  <c r="L73" i="2" s="1"/>
  <c r="V73" i="2" s="1"/>
  <c r="X73" i="2" s="1"/>
  <c r="N100" i="2"/>
  <c r="L100" i="2" s="1"/>
  <c r="V100" i="2" s="1"/>
  <c r="X100" i="2" s="1"/>
  <c r="N96" i="2"/>
  <c r="L96" i="2" s="1"/>
  <c r="U96" i="2" s="1"/>
  <c r="N90" i="2"/>
  <c r="L90" i="2" s="1"/>
  <c r="V90" i="2" s="1"/>
  <c r="X90" i="2" s="1"/>
  <c r="N74" i="2"/>
  <c r="L74" i="2" s="1"/>
  <c r="V74" i="2" s="1"/>
  <c r="X74" i="2" s="1"/>
  <c r="N92" i="2"/>
  <c r="L92" i="2" s="1"/>
  <c r="V92" i="2" s="1"/>
  <c r="X92" i="2" s="1"/>
  <c r="N72" i="2"/>
  <c r="L72" i="2" s="1"/>
  <c r="U72" i="2" s="1"/>
  <c r="N99" i="2"/>
  <c r="L99" i="2" s="1"/>
  <c r="U99" i="2" s="1"/>
  <c r="N89" i="2"/>
  <c r="L89" i="2" s="1"/>
  <c r="U89" i="2" s="1"/>
  <c r="N77" i="2"/>
  <c r="L77" i="2" s="1"/>
  <c r="U77" i="2" s="1"/>
  <c r="U48" i="2"/>
  <c r="B48" i="2" s="1"/>
  <c r="V67" i="2"/>
  <c r="X67" i="2" s="1"/>
  <c r="U52" i="2"/>
  <c r="W52" i="2" s="1"/>
  <c r="U64" i="2"/>
  <c r="W64" i="2" s="1"/>
  <c r="V53" i="2"/>
  <c r="X53" i="2" s="1"/>
  <c r="T17" i="8"/>
  <c r="C209" i="7"/>
  <c r="C188" i="7"/>
  <c r="C167" i="7"/>
  <c r="C146" i="7"/>
  <c r="C125" i="7"/>
  <c r="C104" i="7"/>
  <c r="C83" i="7"/>
  <c r="C62" i="7"/>
  <c r="G178" i="7"/>
  <c r="G136" i="7"/>
  <c r="G73" i="7"/>
  <c r="G199" i="7"/>
  <c r="G157" i="7"/>
  <c r="G115" i="7"/>
  <c r="G94" i="7"/>
  <c r="G52" i="7"/>
  <c r="M18" i="8"/>
  <c r="G211" i="7"/>
  <c r="G169" i="7"/>
  <c r="G106" i="7"/>
  <c r="G64" i="7"/>
  <c r="G190" i="7"/>
  <c r="G148" i="7"/>
  <c r="G127" i="7"/>
  <c r="G85" i="7"/>
  <c r="E211" i="7"/>
  <c r="E190" i="7"/>
  <c r="E148" i="7"/>
  <c r="E106" i="7"/>
  <c r="E64" i="7"/>
  <c r="E169" i="7"/>
  <c r="E127" i="7"/>
  <c r="E85" i="7"/>
  <c r="AS101" i="2"/>
  <c r="AU101" i="2" s="1"/>
  <c r="AS93" i="2"/>
  <c r="AU93" i="2" s="1"/>
  <c r="AS85" i="2"/>
  <c r="AU85" i="2" s="1"/>
  <c r="AS45" i="2"/>
  <c r="AU45" i="2" s="1"/>
  <c r="AS53" i="2"/>
  <c r="AU53" i="2" s="1"/>
  <c r="AS37" i="2"/>
  <c r="AU37" i="2" s="1"/>
  <c r="AS69" i="2"/>
  <c r="AU69" i="2" s="1"/>
  <c r="AS61" i="2"/>
  <c r="AU61" i="2" s="1"/>
  <c r="AS77" i="2"/>
  <c r="AU77" i="2" s="1"/>
  <c r="G8" i="5"/>
  <c r="C34" i="2"/>
  <c r="C106" i="2"/>
  <c r="C36" i="2"/>
  <c r="C108" i="2"/>
  <c r="T22" i="6"/>
  <c r="R22" i="6"/>
  <c r="V22" i="6"/>
  <c r="P22" i="6"/>
  <c r="Z45" i="6"/>
  <c r="P45" i="6"/>
  <c r="X45" i="6"/>
  <c r="T45" i="6"/>
  <c r="R45" i="6"/>
  <c r="Z55" i="6"/>
  <c r="T21" i="6"/>
  <c r="R21" i="6"/>
  <c r="V21" i="6"/>
  <c r="P21" i="6"/>
  <c r="Z67" i="6"/>
  <c r="X67" i="6"/>
  <c r="P67" i="6"/>
  <c r="R67" i="6"/>
  <c r="T67" i="6"/>
  <c r="H33" i="6"/>
  <c r="T33" i="6"/>
  <c r="H55" i="6"/>
  <c r="L23" i="6"/>
  <c r="O23" i="6"/>
  <c r="E11" i="6"/>
  <c r="F11" i="6" s="1"/>
  <c r="O11" i="6" s="1"/>
  <c r="C12" i="6"/>
  <c r="H10" i="6"/>
  <c r="T10" i="6"/>
  <c r="C57" i="6"/>
  <c r="D57" i="6" s="1"/>
  <c r="C58" i="6"/>
  <c r="D58" i="6" s="1"/>
  <c r="E56" i="6"/>
  <c r="F56" i="6" s="1"/>
  <c r="C36" i="6"/>
  <c r="D36" i="6" s="1"/>
  <c r="C35" i="6"/>
  <c r="D35" i="6" s="1"/>
  <c r="E34" i="6"/>
  <c r="F34" i="6" s="1"/>
  <c r="O34" i="6" s="1"/>
  <c r="E317" i="7" l="1"/>
  <c r="E296" i="7"/>
  <c r="E275" i="7"/>
  <c r="E44" i="7"/>
  <c r="E254" i="7"/>
  <c r="E233" i="7"/>
  <c r="E23" i="7"/>
  <c r="T247" i="8"/>
  <c r="G317" i="7"/>
  <c r="G275" i="7"/>
  <c r="G254" i="7"/>
  <c r="G233" i="7"/>
  <c r="G296" i="7"/>
  <c r="G44" i="7"/>
  <c r="G23" i="7"/>
  <c r="X55" i="6"/>
  <c r="P16" i="6"/>
  <c r="T16" i="6"/>
  <c r="R16" i="6"/>
  <c r="V16" i="6"/>
  <c r="O32" i="6"/>
  <c r="H32" i="6"/>
  <c r="T100" i="8"/>
  <c r="T163" i="8"/>
  <c r="U16" i="8"/>
  <c r="T16" i="8"/>
  <c r="I7" i="6"/>
  <c r="D8" i="6"/>
  <c r="E8" i="6" s="1"/>
  <c r="F8" i="6" s="1"/>
  <c r="C315" i="7"/>
  <c r="C273" i="7"/>
  <c r="C252" i="7"/>
  <c r="C231" i="7"/>
  <c r="C294" i="7"/>
  <c r="C21" i="7"/>
  <c r="C42" i="7"/>
  <c r="P55" i="6"/>
  <c r="S224" i="8"/>
  <c r="S119" i="8"/>
  <c r="S182" i="8"/>
  <c r="S98" i="8"/>
  <c r="S35" i="8"/>
  <c r="S203" i="8"/>
  <c r="S140" i="8"/>
  <c r="S56" i="8"/>
  <c r="S161" i="8"/>
  <c r="S245" i="8"/>
  <c r="S77" i="8"/>
  <c r="S14" i="8"/>
  <c r="C311" i="7"/>
  <c r="C269" i="7"/>
  <c r="C248" i="7"/>
  <c r="C290" i="7"/>
  <c r="C227" i="7"/>
  <c r="C38" i="7"/>
  <c r="C17" i="7"/>
  <c r="C164" i="7"/>
  <c r="C206" i="7"/>
  <c r="C80" i="7"/>
  <c r="C122" i="7"/>
  <c r="C185" i="7"/>
  <c r="C143" i="7"/>
  <c r="C101" i="7"/>
  <c r="C59" i="7"/>
  <c r="O52" i="6"/>
  <c r="H52" i="6"/>
  <c r="W15" i="8"/>
  <c r="Z53" i="6"/>
  <c r="P53" i="6"/>
  <c r="X53" i="6"/>
  <c r="R53" i="6"/>
  <c r="T53" i="6"/>
  <c r="P225" i="8"/>
  <c r="P120" i="8"/>
  <c r="P183" i="8"/>
  <c r="P99" i="8"/>
  <c r="P162" i="8"/>
  <c r="P204" i="8"/>
  <c r="P15" i="8"/>
  <c r="P57" i="8"/>
  <c r="P36" i="8"/>
  <c r="P141" i="8"/>
  <c r="P78" i="8"/>
  <c r="P246" i="8"/>
  <c r="T226" i="8"/>
  <c r="T121" i="8"/>
  <c r="T37" i="8"/>
  <c r="T55" i="6"/>
  <c r="M141" i="8"/>
  <c r="T141" i="8" s="1"/>
  <c r="M36" i="8"/>
  <c r="T36" i="8" s="1"/>
  <c r="M183" i="8"/>
  <c r="T183" i="8" s="1"/>
  <c r="M162" i="8"/>
  <c r="T162" i="8" s="1"/>
  <c r="M204" i="8"/>
  <c r="T204" i="8" s="1"/>
  <c r="M120" i="8"/>
  <c r="T120" i="8" s="1"/>
  <c r="M15" i="8"/>
  <c r="M225" i="8"/>
  <c r="T225" i="8" s="1"/>
  <c r="M246" i="8"/>
  <c r="T246" i="8" s="1"/>
  <c r="M57" i="8"/>
  <c r="T57" i="8" s="1"/>
  <c r="M99" i="8"/>
  <c r="T99" i="8" s="1"/>
  <c r="M78" i="8"/>
  <c r="I30" i="6"/>
  <c r="D31" i="6"/>
  <c r="E31" i="6" s="1"/>
  <c r="F31" i="6" s="1"/>
  <c r="E248" i="7"/>
  <c r="E227" i="7"/>
  <c r="E290" i="7"/>
  <c r="E38" i="7"/>
  <c r="E311" i="7"/>
  <c r="E269" i="7"/>
  <c r="E17" i="7"/>
  <c r="E59" i="7"/>
  <c r="E101" i="7"/>
  <c r="E80" i="7"/>
  <c r="E164" i="7"/>
  <c r="E206" i="7"/>
  <c r="E143" i="7"/>
  <c r="E185" i="7"/>
  <c r="E122" i="7"/>
  <c r="O56" i="6"/>
  <c r="T56" i="6" s="1"/>
  <c r="K12" i="6"/>
  <c r="D12" i="6"/>
  <c r="C316" i="7"/>
  <c r="C295" i="7"/>
  <c r="C274" i="7"/>
  <c r="C253" i="7"/>
  <c r="C232" i="7"/>
  <c r="C43" i="7"/>
  <c r="C22" i="7"/>
  <c r="G310" i="7"/>
  <c r="G289" i="7"/>
  <c r="G268" i="7"/>
  <c r="G37" i="7"/>
  <c r="G247" i="7"/>
  <c r="G226" i="7"/>
  <c r="G16" i="7"/>
  <c r="G184" i="7"/>
  <c r="G100" i="7"/>
  <c r="G142" i="7"/>
  <c r="G163" i="7"/>
  <c r="G79" i="7"/>
  <c r="G58" i="7"/>
  <c r="G205" i="7"/>
  <c r="G121" i="7"/>
  <c r="I50" i="6"/>
  <c r="D51" i="6"/>
  <c r="E51" i="6" s="1"/>
  <c r="F51" i="6" s="1"/>
  <c r="R38" i="6"/>
  <c r="Z38" i="6"/>
  <c r="P38" i="6"/>
  <c r="X38" i="6"/>
  <c r="T38" i="6"/>
  <c r="T58" i="8"/>
  <c r="T79" i="8"/>
  <c r="T142" i="8"/>
  <c r="O9" i="6"/>
  <c r="H9" i="6"/>
  <c r="F126" i="9"/>
  <c r="D126" i="9"/>
  <c r="F294" i="9"/>
  <c r="F147" i="9"/>
  <c r="F210" i="9"/>
  <c r="F273" i="9"/>
  <c r="F231" i="9"/>
  <c r="F168" i="9"/>
  <c r="F189" i="9"/>
  <c r="F252" i="9"/>
  <c r="F105" i="9"/>
  <c r="F84" i="9"/>
  <c r="F63" i="9"/>
  <c r="F42" i="9"/>
  <c r="F21" i="9"/>
  <c r="S84" i="8"/>
  <c r="S21" i="8"/>
  <c r="S126" i="8"/>
  <c r="S168" i="8"/>
  <c r="S252" i="8"/>
  <c r="S189" i="8"/>
  <c r="S63" i="8"/>
  <c r="S147" i="8"/>
  <c r="S105" i="8"/>
  <c r="S42" i="8"/>
  <c r="S231" i="8"/>
  <c r="S210" i="8"/>
  <c r="W20" i="8"/>
  <c r="P63" i="8"/>
  <c r="P84" i="8"/>
  <c r="P42" i="8"/>
  <c r="P105" i="8"/>
  <c r="P168" i="8"/>
  <c r="P189" i="8"/>
  <c r="P126" i="8"/>
  <c r="P21" i="8"/>
  <c r="P210" i="8"/>
  <c r="P252" i="8"/>
  <c r="P231" i="8"/>
  <c r="P147" i="8"/>
  <c r="V20" i="8"/>
  <c r="M209" i="8"/>
  <c r="T209" i="8" s="1"/>
  <c r="M125" i="8"/>
  <c r="T125" i="8" s="1"/>
  <c r="M230" i="8"/>
  <c r="T230" i="8" s="1"/>
  <c r="M41" i="8"/>
  <c r="T41" i="8" s="1"/>
  <c r="M146" i="8"/>
  <c r="T146" i="8" s="1"/>
  <c r="M62" i="8"/>
  <c r="T62" i="8" s="1"/>
  <c r="M167" i="8"/>
  <c r="T167" i="8" s="1"/>
  <c r="M104" i="8"/>
  <c r="T104" i="8" s="1"/>
  <c r="M83" i="8"/>
  <c r="T83" i="8" s="1"/>
  <c r="M251" i="8"/>
  <c r="T251" i="8" s="1"/>
  <c r="M188" i="8"/>
  <c r="T188" i="8" s="1"/>
  <c r="M250" i="8"/>
  <c r="T250" i="8" s="1"/>
  <c r="M61" i="8"/>
  <c r="T61" i="8" s="1"/>
  <c r="M208" i="8"/>
  <c r="T208" i="8" s="1"/>
  <c r="M166" i="8"/>
  <c r="T166" i="8" s="1"/>
  <c r="M82" i="8"/>
  <c r="T82" i="8" s="1"/>
  <c r="M145" i="8"/>
  <c r="T145" i="8" s="1"/>
  <c r="M187" i="8"/>
  <c r="T187" i="8" s="1"/>
  <c r="M124" i="8"/>
  <c r="T124" i="8" s="1"/>
  <c r="M229" i="8"/>
  <c r="T229" i="8" s="1"/>
  <c r="M103" i="8"/>
  <c r="T103" i="8" s="1"/>
  <c r="M40" i="8"/>
  <c r="T40" i="8" s="1"/>
  <c r="U18" i="8"/>
  <c r="H147" i="9"/>
  <c r="G147" i="9" s="1"/>
  <c r="H143" i="9"/>
  <c r="G143" i="9" s="1"/>
  <c r="H141" i="9"/>
  <c r="G141" i="9" s="1"/>
  <c r="H142" i="9"/>
  <c r="G142" i="9" s="1"/>
  <c r="H144" i="9"/>
  <c r="G144" i="9" s="1"/>
  <c r="H140" i="9"/>
  <c r="G140" i="9" s="1"/>
  <c r="H146" i="9"/>
  <c r="G146" i="9" s="1"/>
  <c r="AH82" i="6"/>
  <c r="AF82" i="6"/>
  <c r="X82" i="6"/>
  <c r="AD82" i="6"/>
  <c r="AB82" i="6"/>
  <c r="E19" i="10"/>
  <c r="L18" i="10"/>
  <c r="K18" i="10"/>
  <c r="J18" i="10"/>
  <c r="H18" i="10"/>
  <c r="I18" i="10"/>
  <c r="B50" i="2"/>
  <c r="W66" i="2"/>
  <c r="C109" i="2"/>
  <c r="W68" i="2"/>
  <c r="C33" i="2"/>
  <c r="C57" i="2" s="1"/>
  <c r="V99" i="2"/>
  <c r="X99" i="2" s="1"/>
  <c r="B52" i="2"/>
  <c r="B53" i="2"/>
  <c r="V96" i="2"/>
  <c r="X96" i="2" s="1"/>
  <c r="U93" i="2"/>
  <c r="W93" i="2" s="1"/>
  <c r="W48" i="2"/>
  <c r="B51" i="2"/>
  <c r="C32" i="2"/>
  <c r="C56" i="2" s="1"/>
  <c r="V76" i="2"/>
  <c r="X76" i="2" s="1"/>
  <c r="U91" i="2"/>
  <c r="W91" i="2" s="1"/>
  <c r="U88" i="2"/>
  <c r="W88" i="2" s="1"/>
  <c r="W49" i="2"/>
  <c r="V72" i="2"/>
  <c r="X72" i="2" s="1"/>
  <c r="V75" i="2"/>
  <c r="X75" i="2" s="1"/>
  <c r="B67" i="2"/>
  <c r="C35" i="2"/>
  <c r="C43" i="2" s="1"/>
  <c r="U90" i="2"/>
  <c r="W90" i="2" s="1"/>
  <c r="W69" i="2"/>
  <c r="V98" i="2"/>
  <c r="X98" i="2" s="1"/>
  <c r="B65" i="2"/>
  <c r="V101" i="2"/>
  <c r="X101" i="2" s="1"/>
  <c r="U73" i="2"/>
  <c r="B73" i="2" s="1"/>
  <c r="V89" i="2"/>
  <c r="X89" i="2" s="1"/>
  <c r="U74" i="2"/>
  <c r="W74" i="2" s="1"/>
  <c r="V97" i="2"/>
  <c r="X97" i="2" s="1"/>
  <c r="G9" i="5"/>
  <c r="G10" i="5" s="1"/>
  <c r="G11" i="5" s="1"/>
  <c r="G12" i="5" s="1"/>
  <c r="N85" i="2"/>
  <c r="L85" i="2" s="1"/>
  <c r="V85" i="2" s="1"/>
  <c r="X85" i="2" s="1"/>
  <c r="N81" i="2"/>
  <c r="L81" i="2" s="1"/>
  <c r="U81" i="2" s="1"/>
  <c r="N83" i="2"/>
  <c r="L83" i="2" s="1"/>
  <c r="U83" i="2" s="1"/>
  <c r="N84" i="2"/>
  <c r="L84" i="2" s="1"/>
  <c r="V84" i="2" s="1"/>
  <c r="X84" i="2" s="1"/>
  <c r="N80" i="2"/>
  <c r="L80" i="2" s="1"/>
  <c r="U80" i="2" s="1"/>
  <c r="N82" i="2"/>
  <c r="L82" i="2" s="1"/>
  <c r="U82" i="2" s="1"/>
  <c r="U100" i="2"/>
  <c r="W100" i="2" s="1"/>
  <c r="U92" i="2"/>
  <c r="B92" i="2" s="1"/>
  <c r="B64" i="2"/>
  <c r="V77" i="2"/>
  <c r="X77" i="2" s="1"/>
  <c r="T18" i="8"/>
  <c r="C189" i="7"/>
  <c r="C105" i="7"/>
  <c r="C210" i="7"/>
  <c r="C126" i="7"/>
  <c r="C147" i="7"/>
  <c r="C63" i="7"/>
  <c r="C168" i="7"/>
  <c r="C84" i="7"/>
  <c r="M19" i="8"/>
  <c r="M20" i="8"/>
  <c r="G200" i="7"/>
  <c r="G179" i="7"/>
  <c r="G158" i="7"/>
  <c r="G137" i="7"/>
  <c r="G116" i="7"/>
  <c r="G95" i="7"/>
  <c r="G74" i="7"/>
  <c r="G53" i="7"/>
  <c r="E212" i="7"/>
  <c r="E191" i="7"/>
  <c r="E170" i="7"/>
  <c r="E149" i="7"/>
  <c r="E128" i="7"/>
  <c r="E107" i="7"/>
  <c r="E86" i="7"/>
  <c r="E65" i="7"/>
  <c r="C211" i="7"/>
  <c r="C169" i="7"/>
  <c r="C127" i="7"/>
  <c r="C106" i="7"/>
  <c r="C64" i="7"/>
  <c r="C190" i="7"/>
  <c r="C148" i="7"/>
  <c r="C85" i="7"/>
  <c r="G212" i="7"/>
  <c r="G191" i="7"/>
  <c r="G170" i="7"/>
  <c r="G149" i="7"/>
  <c r="G128" i="7"/>
  <c r="G107" i="7"/>
  <c r="G86" i="7"/>
  <c r="G65" i="7"/>
  <c r="W76" i="2"/>
  <c r="W96" i="2"/>
  <c r="W75" i="2"/>
  <c r="W72" i="2"/>
  <c r="W97" i="2"/>
  <c r="W98" i="2"/>
  <c r="W89" i="2"/>
  <c r="W101" i="2"/>
  <c r="W99" i="2"/>
  <c r="W77" i="2"/>
  <c r="C45" i="2"/>
  <c r="C117" i="2" s="1"/>
  <c r="C82" i="2"/>
  <c r="C42" i="2"/>
  <c r="C84" i="2"/>
  <c r="C44" i="2"/>
  <c r="C85" i="2"/>
  <c r="C61" i="2"/>
  <c r="C60" i="2"/>
  <c r="C58" i="2"/>
  <c r="Z33" i="6"/>
  <c r="X33" i="6"/>
  <c r="R33" i="6"/>
  <c r="P33" i="6"/>
  <c r="P10" i="6"/>
  <c r="V10" i="6"/>
  <c r="R10" i="6"/>
  <c r="T23" i="6"/>
  <c r="R23" i="6"/>
  <c r="V23" i="6"/>
  <c r="P23" i="6"/>
  <c r="Z56" i="6"/>
  <c r="E58" i="6"/>
  <c r="F58" i="6" s="1"/>
  <c r="O58" i="6" s="1"/>
  <c r="E36" i="6"/>
  <c r="F36" i="6" s="1"/>
  <c r="H34" i="6"/>
  <c r="T34" i="6"/>
  <c r="E12" i="6"/>
  <c r="F12" i="6" s="1"/>
  <c r="C13" i="6"/>
  <c r="C14" i="6"/>
  <c r="T11" i="6"/>
  <c r="H11" i="6"/>
  <c r="H56" i="6"/>
  <c r="C59" i="6"/>
  <c r="D59" i="6" s="1"/>
  <c r="E57" i="6"/>
  <c r="F57" i="6" s="1"/>
  <c r="C37" i="6"/>
  <c r="D37" i="6" s="1"/>
  <c r="E35" i="6"/>
  <c r="F35" i="6" s="1"/>
  <c r="O35" i="6" s="1"/>
  <c r="E305" i="7" l="1"/>
  <c r="E284" i="7"/>
  <c r="E263" i="7"/>
  <c r="E32" i="7"/>
  <c r="E242" i="7"/>
  <c r="E221" i="7"/>
  <c r="E11" i="7"/>
  <c r="T57" i="6"/>
  <c r="O57" i="6"/>
  <c r="P56" i="6"/>
  <c r="G138" i="7" s="1"/>
  <c r="D14" i="6"/>
  <c r="K14" i="6"/>
  <c r="R56" i="6"/>
  <c r="O51" i="6"/>
  <c r="H51" i="6"/>
  <c r="I29" i="6"/>
  <c r="D30" i="6"/>
  <c r="E30" i="6" s="1"/>
  <c r="F30" i="6" s="1"/>
  <c r="G303" i="7"/>
  <c r="G219" i="7"/>
  <c r="G282" i="7"/>
  <c r="G9" i="7"/>
  <c r="G261" i="7"/>
  <c r="G30" i="7"/>
  <c r="G240" i="7"/>
  <c r="G177" i="7"/>
  <c r="G135" i="7"/>
  <c r="G198" i="7"/>
  <c r="G72" i="7"/>
  <c r="G51" i="7"/>
  <c r="G114" i="7"/>
  <c r="G156" i="7"/>
  <c r="G93" i="7"/>
  <c r="T52" i="6"/>
  <c r="R52" i="6"/>
  <c r="P52" i="6"/>
  <c r="X52" i="6"/>
  <c r="Z52" i="6"/>
  <c r="W14" i="8"/>
  <c r="G305" i="7"/>
  <c r="G263" i="7"/>
  <c r="G242" i="7"/>
  <c r="G284" i="7"/>
  <c r="G32" i="7"/>
  <c r="G221" i="7"/>
  <c r="G11" i="7"/>
  <c r="H8" i="6"/>
  <c r="O8" i="6"/>
  <c r="M224" i="8"/>
  <c r="M119" i="8"/>
  <c r="M182" i="8"/>
  <c r="M98" i="8"/>
  <c r="M203" i="8"/>
  <c r="M35" i="8"/>
  <c r="M56" i="8"/>
  <c r="M245" i="8"/>
  <c r="M140" i="8"/>
  <c r="M77" i="8"/>
  <c r="M161" i="8"/>
  <c r="M14" i="8"/>
  <c r="K13" i="6"/>
  <c r="D13" i="6"/>
  <c r="X56" i="6"/>
  <c r="C283" i="7"/>
  <c r="C262" i="7"/>
  <c r="C241" i="7"/>
  <c r="C220" i="7"/>
  <c r="C31" i="7"/>
  <c r="C304" i="7"/>
  <c r="C10" i="7"/>
  <c r="E310" i="7"/>
  <c r="E226" i="7"/>
  <c r="E289" i="7"/>
  <c r="E16" i="7"/>
  <c r="E268" i="7"/>
  <c r="E247" i="7"/>
  <c r="E37" i="7"/>
  <c r="E184" i="7"/>
  <c r="E100" i="7"/>
  <c r="E142" i="7"/>
  <c r="E58" i="7"/>
  <c r="E163" i="7"/>
  <c r="E79" i="7"/>
  <c r="E205" i="7"/>
  <c r="E121" i="7"/>
  <c r="I49" i="6"/>
  <c r="D50" i="6"/>
  <c r="E50" i="6" s="1"/>
  <c r="F50" i="6" s="1"/>
  <c r="T78" i="8"/>
  <c r="I6" i="6"/>
  <c r="D7" i="6"/>
  <c r="E7" i="6" s="1"/>
  <c r="F7" i="6" s="1"/>
  <c r="U15" i="8"/>
  <c r="T15" i="8"/>
  <c r="V15" i="8"/>
  <c r="C317" i="7"/>
  <c r="C233" i="7"/>
  <c r="C296" i="7"/>
  <c r="C275" i="7"/>
  <c r="C254" i="7"/>
  <c r="C44" i="7"/>
  <c r="C23" i="7"/>
  <c r="U20" i="8"/>
  <c r="T9" i="6"/>
  <c r="P9" i="6"/>
  <c r="V9" i="6"/>
  <c r="R9" i="6"/>
  <c r="P119" i="8"/>
  <c r="P182" i="8"/>
  <c r="P224" i="8"/>
  <c r="P98" i="8"/>
  <c r="P203" i="8"/>
  <c r="T203" i="8" s="1"/>
  <c r="P56" i="8"/>
  <c r="P77" i="8"/>
  <c r="T77" i="8" s="1"/>
  <c r="P140" i="8"/>
  <c r="T140" i="8" s="1"/>
  <c r="P245" i="8"/>
  <c r="T245" i="8" s="1"/>
  <c r="P161" i="8"/>
  <c r="T161" i="8" s="1"/>
  <c r="P14" i="8"/>
  <c r="P35" i="8"/>
  <c r="O31" i="6"/>
  <c r="H31" i="6"/>
  <c r="T32" i="6"/>
  <c r="P32" i="6"/>
  <c r="X32" i="6"/>
  <c r="Z32" i="6"/>
  <c r="R32" i="6"/>
  <c r="C247" i="7"/>
  <c r="C310" i="7"/>
  <c r="C226" i="7"/>
  <c r="C37" i="7"/>
  <c r="C289" i="7"/>
  <c r="C268" i="7"/>
  <c r="C16" i="7"/>
  <c r="C205" i="7"/>
  <c r="C121" i="7"/>
  <c r="C58" i="7"/>
  <c r="C184" i="7"/>
  <c r="C100" i="7"/>
  <c r="C163" i="7"/>
  <c r="C79" i="7"/>
  <c r="C142" i="7"/>
  <c r="W21" i="8"/>
  <c r="V21" i="8"/>
  <c r="M84" i="8"/>
  <c r="T84" i="8" s="1"/>
  <c r="M210" i="8"/>
  <c r="T210" i="8" s="1"/>
  <c r="M168" i="8"/>
  <c r="T168" i="8" s="1"/>
  <c r="M252" i="8"/>
  <c r="T252" i="8" s="1"/>
  <c r="M42" i="8"/>
  <c r="T42" i="8" s="1"/>
  <c r="M126" i="8"/>
  <c r="T126" i="8" s="1"/>
  <c r="M189" i="8"/>
  <c r="T189" i="8" s="1"/>
  <c r="M105" i="8"/>
  <c r="T105" i="8" s="1"/>
  <c r="M147" i="8"/>
  <c r="T147" i="8" s="1"/>
  <c r="M231" i="8"/>
  <c r="T231" i="8" s="1"/>
  <c r="M63" i="8"/>
  <c r="T63" i="8" s="1"/>
  <c r="U19" i="8"/>
  <c r="L19" i="10"/>
  <c r="I19" i="10"/>
  <c r="K19" i="10"/>
  <c r="J19" i="10"/>
  <c r="H19" i="10"/>
  <c r="E20" i="10"/>
  <c r="V80" i="2"/>
  <c r="X80" i="2" s="1"/>
  <c r="B88" i="2"/>
  <c r="V81" i="2"/>
  <c r="X81" i="2" s="1"/>
  <c r="C41" i="2"/>
  <c r="C89" i="2" s="1"/>
  <c r="C81" i="2"/>
  <c r="B99" i="2"/>
  <c r="B91" i="2"/>
  <c r="V83" i="2"/>
  <c r="X83" i="2" s="1"/>
  <c r="B100" i="2"/>
  <c r="B75" i="2"/>
  <c r="B93" i="2"/>
  <c r="B90" i="2"/>
  <c r="B72" i="2"/>
  <c r="B96" i="2"/>
  <c r="C59" i="2"/>
  <c r="B76" i="2"/>
  <c r="C80" i="2"/>
  <c r="C83" i="2"/>
  <c r="B101" i="2"/>
  <c r="V82" i="2"/>
  <c r="X82" i="2" s="1"/>
  <c r="W73" i="2"/>
  <c r="B97" i="2"/>
  <c r="U84" i="2"/>
  <c r="B84" i="2" s="1"/>
  <c r="B98" i="2"/>
  <c r="W92" i="2"/>
  <c r="B89" i="2"/>
  <c r="B74" i="2"/>
  <c r="U85" i="2"/>
  <c r="W85" i="2" s="1"/>
  <c r="B77" i="2"/>
  <c r="T19" i="8"/>
  <c r="T20" i="8"/>
  <c r="C212" i="7"/>
  <c r="C191" i="7"/>
  <c r="C170" i="7"/>
  <c r="C149" i="7"/>
  <c r="C128" i="7"/>
  <c r="C107" i="7"/>
  <c r="C86" i="7"/>
  <c r="C65" i="7"/>
  <c r="E200" i="7"/>
  <c r="E179" i="7"/>
  <c r="E158" i="7"/>
  <c r="E137" i="7"/>
  <c r="E116" i="7"/>
  <c r="E95" i="7"/>
  <c r="E74" i="7"/>
  <c r="E53" i="7"/>
  <c r="C178" i="7"/>
  <c r="C136" i="7"/>
  <c r="C94" i="7"/>
  <c r="C73" i="7"/>
  <c r="C199" i="7"/>
  <c r="C157" i="7"/>
  <c r="C115" i="7"/>
  <c r="C52" i="7"/>
  <c r="G180" i="7"/>
  <c r="G96" i="7"/>
  <c r="M21" i="8"/>
  <c r="W81" i="2"/>
  <c r="W80" i="2"/>
  <c r="W82" i="2"/>
  <c r="W83" i="2"/>
  <c r="C93" i="2"/>
  <c r="C51" i="2"/>
  <c r="C99" i="2" s="1"/>
  <c r="C67" i="2"/>
  <c r="C53" i="2"/>
  <c r="C77" i="2" s="1"/>
  <c r="C69" i="2"/>
  <c r="C52" i="2"/>
  <c r="C124" i="2" s="1"/>
  <c r="C68" i="2"/>
  <c r="C50" i="2"/>
  <c r="C122" i="2" s="1"/>
  <c r="C66" i="2"/>
  <c r="C116" i="2"/>
  <c r="C115" i="2"/>
  <c r="C114" i="2"/>
  <c r="C90" i="2"/>
  <c r="C91" i="2"/>
  <c r="C92" i="2"/>
  <c r="Z58" i="6"/>
  <c r="X58" i="6"/>
  <c r="R58" i="6"/>
  <c r="T58" i="6"/>
  <c r="P58" i="6"/>
  <c r="Z57" i="6"/>
  <c r="X57" i="6"/>
  <c r="R57" i="6"/>
  <c r="P57" i="6"/>
  <c r="R11" i="6"/>
  <c r="P11" i="6"/>
  <c r="V11" i="6"/>
  <c r="Z34" i="6"/>
  <c r="X34" i="6"/>
  <c r="R34" i="6"/>
  <c r="P34" i="6"/>
  <c r="H36" i="6"/>
  <c r="O36" i="6"/>
  <c r="H12" i="6"/>
  <c r="O12" i="6"/>
  <c r="T12" i="6" s="1"/>
  <c r="E37" i="6"/>
  <c r="F37" i="6" s="1"/>
  <c r="E13" i="6"/>
  <c r="F13" i="6" s="1"/>
  <c r="C15" i="6"/>
  <c r="H57" i="6"/>
  <c r="E59" i="6"/>
  <c r="F59" i="6" s="1"/>
  <c r="O59" i="6" s="1"/>
  <c r="H35" i="6"/>
  <c r="T35" i="6"/>
  <c r="E14" i="6"/>
  <c r="F14" i="6" s="1"/>
  <c r="H58" i="6"/>
  <c r="T56" i="8" l="1"/>
  <c r="T51" i="6"/>
  <c r="R51" i="6"/>
  <c r="P51" i="6"/>
  <c r="X51" i="6"/>
  <c r="Z51" i="6"/>
  <c r="K15" i="6"/>
  <c r="D15" i="6"/>
  <c r="C305" i="7"/>
  <c r="C221" i="7"/>
  <c r="C284" i="7"/>
  <c r="C263" i="7"/>
  <c r="C242" i="7"/>
  <c r="C11" i="7"/>
  <c r="C32" i="7"/>
  <c r="G54" i="7"/>
  <c r="E262" i="7"/>
  <c r="E241" i="7"/>
  <c r="E220" i="7"/>
  <c r="E304" i="7"/>
  <c r="E283" i="7"/>
  <c r="E31" i="7"/>
  <c r="E10" i="7"/>
  <c r="E157" i="7"/>
  <c r="E178" i="7"/>
  <c r="E136" i="7"/>
  <c r="E73" i="7"/>
  <c r="E94" i="7"/>
  <c r="E199" i="7"/>
  <c r="E52" i="7"/>
  <c r="E115" i="7"/>
  <c r="I5" i="6"/>
  <c r="D6" i="6"/>
  <c r="E6" i="6" s="1"/>
  <c r="F6" i="6" s="1"/>
  <c r="T224" i="8"/>
  <c r="I28" i="6"/>
  <c r="D29" i="6"/>
  <c r="E29" i="6" s="1"/>
  <c r="F29" i="6" s="1"/>
  <c r="G245" i="7"/>
  <c r="G224" i="7"/>
  <c r="G35" i="7"/>
  <c r="G287" i="7"/>
  <c r="G14" i="7"/>
  <c r="G266" i="7"/>
  <c r="G308" i="7"/>
  <c r="C261" i="7"/>
  <c r="C240" i="7"/>
  <c r="C303" i="7"/>
  <c r="C30" i="7"/>
  <c r="C282" i="7"/>
  <c r="C219" i="7"/>
  <c r="C9" i="7"/>
  <c r="C51" i="7"/>
  <c r="C93" i="7"/>
  <c r="C114" i="7"/>
  <c r="C72" i="7"/>
  <c r="C156" i="7"/>
  <c r="C135" i="7"/>
  <c r="C177" i="7"/>
  <c r="C198" i="7"/>
  <c r="O50" i="6"/>
  <c r="H50" i="6"/>
  <c r="T182" i="8"/>
  <c r="G306" i="7"/>
  <c r="G285" i="7"/>
  <c r="G264" i="7"/>
  <c r="G243" i="7"/>
  <c r="G222" i="7"/>
  <c r="G12" i="7"/>
  <c r="G33" i="7"/>
  <c r="G75" i="7"/>
  <c r="G159" i="7"/>
  <c r="V14" i="8"/>
  <c r="U14" i="8"/>
  <c r="T14" i="8"/>
  <c r="T98" i="8"/>
  <c r="T8" i="6"/>
  <c r="V8" i="6"/>
  <c r="P8" i="6"/>
  <c r="R8" i="6"/>
  <c r="G281" i="7"/>
  <c r="G260" i="7"/>
  <c r="G302" i="7"/>
  <c r="G239" i="7"/>
  <c r="G218" i="7"/>
  <c r="G29" i="7"/>
  <c r="G8" i="7"/>
  <c r="G155" i="7"/>
  <c r="G71" i="7"/>
  <c r="G134" i="7"/>
  <c r="G50" i="7"/>
  <c r="G113" i="7"/>
  <c r="G176" i="7"/>
  <c r="G92" i="7"/>
  <c r="G197" i="7"/>
  <c r="G307" i="7"/>
  <c r="G223" i="7"/>
  <c r="G286" i="7"/>
  <c r="G13" i="7"/>
  <c r="G265" i="7"/>
  <c r="G244" i="7"/>
  <c r="G34" i="7"/>
  <c r="E222" i="7"/>
  <c r="E285" i="7"/>
  <c r="E306" i="7"/>
  <c r="E264" i="7"/>
  <c r="E33" i="7"/>
  <c r="E243" i="7"/>
  <c r="E12" i="7"/>
  <c r="G117" i="7"/>
  <c r="G201" i="7"/>
  <c r="T31" i="6"/>
  <c r="X31" i="6"/>
  <c r="R31" i="6"/>
  <c r="Z31" i="6"/>
  <c r="P31" i="6"/>
  <c r="O7" i="6"/>
  <c r="H7" i="6"/>
  <c r="I48" i="6"/>
  <c r="D48" i="6" s="1"/>
  <c r="E48" i="6" s="1"/>
  <c r="F48" i="6" s="1"/>
  <c r="D49" i="6"/>
  <c r="E49" i="6" s="1"/>
  <c r="F49" i="6" s="1"/>
  <c r="T35" i="8"/>
  <c r="T119" i="8"/>
  <c r="H30" i="6"/>
  <c r="O30" i="6"/>
  <c r="U21" i="8"/>
  <c r="E22" i="10"/>
  <c r="E21" i="10"/>
  <c r="J20" i="10"/>
  <c r="L20" i="10"/>
  <c r="K20" i="10"/>
  <c r="I20" i="10"/>
  <c r="H20" i="10"/>
  <c r="B80" i="2"/>
  <c r="B82" i="2"/>
  <c r="B81" i="2"/>
  <c r="C113" i="2"/>
  <c r="C65" i="2"/>
  <c r="C49" i="2"/>
  <c r="C97" i="2" s="1"/>
  <c r="B83" i="2"/>
  <c r="W84" i="2"/>
  <c r="B85" i="2"/>
  <c r="T21" i="8"/>
  <c r="G181" i="7"/>
  <c r="G202" i="7"/>
  <c r="G97" i="7"/>
  <c r="G118" i="7"/>
  <c r="G139" i="7"/>
  <c r="G55" i="7"/>
  <c r="G160" i="7"/>
  <c r="G76" i="7"/>
  <c r="E201" i="7"/>
  <c r="E180" i="7"/>
  <c r="E159" i="7"/>
  <c r="E138" i="7"/>
  <c r="E117" i="7"/>
  <c r="E96" i="7"/>
  <c r="E75" i="7"/>
  <c r="E54" i="7"/>
  <c r="C200" i="7"/>
  <c r="C179" i="7"/>
  <c r="C158" i="7"/>
  <c r="C137" i="7"/>
  <c r="C116" i="7"/>
  <c r="C95" i="7"/>
  <c r="C74" i="7"/>
  <c r="C53" i="7"/>
  <c r="G203" i="7"/>
  <c r="G161" i="7"/>
  <c r="G119" i="7"/>
  <c r="G98" i="7"/>
  <c r="G56" i="7"/>
  <c r="G182" i="7"/>
  <c r="G140" i="7"/>
  <c r="G77" i="7"/>
  <c r="C101" i="2"/>
  <c r="C125" i="2"/>
  <c r="C123" i="2"/>
  <c r="C75" i="2"/>
  <c r="C100" i="2"/>
  <c r="C76" i="2"/>
  <c r="C98" i="2"/>
  <c r="C74" i="2"/>
  <c r="V12" i="6"/>
  <c r="R12" i="6"/>
  <c r="P12" i="6"/>
  <c r="Z35" i="6"/>
  <c r="X35" i="6"/>
  <c r="R35" i="6"/>
  <c r="P35" i="6"/>
  <c r="Z36" i="6"/>
  <c r="X36" i="6"/>
  <c r="T36" i="6"/>
  <c r="R36" i="6"/>
  <c r="P36" i="6"/>
  <c r="Z59" i="6"/>
  <c r="X59" i="6"/>
  <c r="R59" i="6"/>
  <c r="T59" i="6"/>
  <c r="P59" i="6"/>
  <c r="H59" i="6"/>
  <c r="H14" i="6"/>
  <c r="O14" i="6"/>
  <c r="H37" i="6"/>
  <c r="O37" i="6"/>
  <c r="E15" i="6"/>
  <c r="F15" i="6" s="1"/>
  <c r="H13" i="6"/>
  <c r="O13" i="6"/>
  <c r="T13" i="6" s="1"/>
  <c r="G309" i="7" l="1"/>
  <c r="G267" i="7"/>
  <c r="G246" i="7"/>
  <c r="G225" i="7"/>
  <c r="G36" i="7"/>
  <c r="G288" i="7"/>
  <c r="G15" i="7"/>
  <c r="H48" i="6"/>
  <c r="O48" i="6"/>
  <c r="E244" i="7"/>
  <c r="E307" i="7"/>
  <c r="E223" i="7"/>
  <c r="E34" i="7"/>
  <c r="E286" i="7"/>
  <c r="E265" i="7"/>
  <c r="E13" i="7"/>
  <c r="C243" i="7"/>
  <c r="C222" i="7"/>
  <c r="C33" i="7"/>
  <c r="C285" i="7"/>
  <c r="C306" i="7"/>
  <c r="C264" i="7"/>
  <c r="C12" i="7"/>
  <c r="T7" i="6"/>
  <c r="V7" i="6"/>
  <c r="R7" i="6"/>
  <c r="P7" i="6"/>
  <c r="T50" i="6"/>
  <c r="P50" i="6"/>
  <c r="R50" i="6"/>
  <c r="X50" i="6"/>
  <c r="Z50" i="6"/>
  <c r="O29" i="6"/>
  <c r="H29" i="6"/>
  <c r="I4" i="6"/>
  <c r="D4" i="6" s="1"/>
  <c r="E4" i="6" s="1"/>
  <c r="F4" i="6" s="1"/>
  <c r="D5" i="6"/>
  <c r="E5" i="6" s="1"/>
  <c r="F5" i="6" s="1"/>
  <c r="G259" i="7"/>
  <c r="G238" i="7"/>
  <c r="G217" i="7"/>
  <c r="G301" i="7"/>
  <c r="G280" i="7"/>
  <c r="G7" i="7"/>
  <c r="G28" i="7"/>
  <c r="G154" i="7"/>
  <c r="G70" i="7"/>
  <c r="G196" i="7"/>
  <c r="G133" i="7"/>
  <c r="G49" i="7"/>
  <c r="G175" i="7"/>
  <c r="G91" i="7"/>
  <c r="G112" i="7"/>
  <c r="C239" i="7"/>
  <c r="C302" i="7"/>
  <c r="C218" i="7"/>
  <c r="C29" i="7"/>
  <c r="C281" i="7"/>
  <c r="C260" i="7"/>
  <c r="C8" i="7"/>
  <c r="C176" i="7"/>
  <c r="C92" i="7"/>
  <c r="C134" i="7"/>
  <c r="C50" i="7"/>
  <c r="C71" i="7"/>
  <c r="C197" i="7"/>
  <c r="C113" i="7"/>
  <c r="C155" i="7"/>
  <c r="T30" i="6"/>
  <c r="R30" i="6"/>
  <c r="P30" i="6"/>
  <c r="X30" i="6"/>
  <c r="Z30" i="6"/>
  <c r="H49" i="6"/>
  <c r="O49" i="6"/>
  <c r="E240" i="7"/>
  <c r="E303" i="7"/>
  <c r="E219" i="7"/>
  <c r="E282" i="7"/>
  <c r="E261" i="7"/>
  <c r="E30" i="7"/>
  <c r="E9" i="7"/>
  <c r="E114" i="7"/>
  <c r="E72" i="7"/>
  <c r="E177" i="7"/>
  <c r="E135" i="7"/>
  <c r="E93" i="7"/>
  <c r="E198" i="7"/>
  <c r="E156" i="7"/>
  <c r="E51" i="7"/>
  <c r="I27" i="6"/>
  <c r="D28" i="6"/>
  <c r="E28" i="6" s="1"/>
  <c r="F28" i="6" s="1"/>
  <c r="C181" i="8"/>
  <c r="C97" i="8"/>
  <c r="C223" i="8"/>
  <c r="C118" i="8"/>
  <c r="C13" i="8"/>
  <c r="C34" i="8"/>
  <c r="C55" i="8"/>
  <c r="C244" i="8"/>
  <c r="C160" i="8"/>
  <c r="C202" i="8"/>
  <c r="J13" i="8"/>
  <c r="H139" i="9" s="1"/>
  <c r="G139" i="9" s="1"/>
  <c r="C76" i="8"/>
  <c r="C139" i="8"/>
  <c r="E308" i="7"/>
  <c r="E266" i="7"/>
  <c r="E245" i="7"/>
  <c r="E287" i="7"/>
  <c r="E224" i="7"/>
  <c r="E14" i="7"/>
  <c r="E35" i="7"/>
  <c r="H6" i="6"/>
  <c r="O6" i="6"/>
  <c r="H22" i="10"/>
  <c r="K22" i="10"/>
  <c r="J22" i="10"/>
  <c r="I22" i="10"/>
  <c r="L22" i="10"/>
  <c r="I21" i="10"/>
  <c r="K21" i="10"/>
  <c r="J21" i="10"/>
  <c r="L21" i="10"/>
  <c r="H21" i="10"/>
  <c r="C73" i="2"/>
  <c r="C121" i="2"/>
  <c r="E202" i="7"/>
  <c r="E118" i="7"/>
  <c r="E139" i="7"/>
  <c r="E55" i="7"/>
  <c r="E160" i="7"/>
  <c r="E76" i="7"/>
  <c r="E181" i="7"/>
  <c r="E97" i="7"/>
  <c r="E203" i="7"/>
  <c r="E182" i="7"/>
  <c r="E140" i="7"/>
  <c r="E98" i="7"/>
  <c r="E56" i="7"/>
  <c r="E161" i="7"/>
  <c r="E119" i="7"/>
  <c r="E77" i="7"/>
  <c r="G204" i="7"/>
  <c r="G183" i="7"/>
  <c r="G162" i="7"/>
  <c r="G141" i="7"/>
  <c r="G120" i="7"/>
  <c r="G99" i="7"/>
  <c r="G78" i="7"/>
  <c r="G57" i="7"/>
  <c r="C201" i="7"/>
  <c r="C180" i="7"/>
  <c r="C159" i="7"/>
  <c r="C138" i="7"/>
  <c r="C117" i="7"/>
  <c r="C96" i="7"/>
  <c r="C75" i="7"/>
  <c r="C54" i="7"/>
  <c r="V13" i="6"/>
  <c r="R13" i="6"/>
  <c r="P13" i="6"/>
  <c r="T14" i="6"/>
  <c r="P14" i="6"/>
  <c r="V14" i="6"/>
  <c r="R14" i="6"/>
  <c r="Z37" i="6"/>
  <c r="T37" i="6"/>
  <c r="X37" i="6"/>
  <c r="R37" i="6"/>
  <c r="P37" i="6"/>
  <c r="H15" i="6"/>
  <c r="O15" i="6"/>
  <c r="C33" i="8" l="1"/>
  <c r="E34" i="8"/>
  <c r="G34" i="8"/>
  <c r="O34" i="8"/>
  <c r="L34" i="8"/>
  <c r="R34" i="8"/>
  <c r="S34" i="8" s="1"/>
  <c r="W13" i="8" s="1"/>
  <c r="E309" i="7"/>
  <c r="E288" i="7"/>
  <c r="E267" i="7"/>
  <c r="E36" i="7"/>
  <c r="E246" i="7"/>
  <c r="E225" i="7"/>
  <c r="E15" i="7"/>
  <c r="C138" i="8"/>
  <c r="E139" i="8"/>
  <c r="G139" i="8"/>
  <c r="L139" i="8"/>
  <c r="R139" i="8"/>
  <c r="S139" i="8" s="1"/>
  <c r="O139" i="8"/>
  <c r="C159" i="8"/>
  <c r="E160" i="8"/>
  <c r="G160" i="8"/>
  <c r="O160" i="8"/>
  <c r="L160" i="8"/>
  <c r="R160" i="8"/>
  <c r="S160" i="8" s="1"/>
  <c r="C12" i="8"/>
  <c r="E13" i="8"/>
  <c r="J12" i="8"/>
  <c r="H138" i="9" s="1"/>
  <c r="G138" i="9" s="1"/>
  <c r="G13" i="8"/>
  <c r="O13" i="8"/>
  <c r="P13" i="8" s="1"/>
  <c r="R13" i="8"/>
  <c r="S13" i="8" s="1"/>
  <c r="L13" i="8"/>
  <c r="E181" i="8"/>
  <c r="C180" i="8"/>
  <c r="O181" i="8"/>
  <c r="G181" i="8"/>
  <c r="L181" i="8"/>
  <c r="R181" i="8"/>
  <c r="S181" i="8" s="1"/>
  <c r="H4" i="6"/>
  <c r="O4" i="6"/>
  <c r="C301" i="7"/>
  <c r="C217" i="7"/>
  <c r="C280" i="7"/>
  <c r="C259" i="7"/>
  <c r="C238" i="7"/>
  <c r="C28" i="7"/>
  <c r="C7" i="7"/>
  <c r="C154" i="7"/>
  <c r="C70" i="7"/>
  <c r="C91" i="7"/>
  <c r="C133" i="7"/>
  <c r="C49" i="7"/>
  <c r="C196" i="7"/>
  <c r="C112" i="7"/>
  <c r="C175" i="7"/>
  <c r="T6" i="6"/>
  <c r="P6" i="6"/>
  <c r="R6" i="6"/>
  <c r="V6" i="6"/>
  <c r="C201" i="8"/>
  <c r="E202" i="8"/>
  <c r="G202" i="8"/>
  <c r="L202" i="8"/>
  <c r="O202" i="8"/>
  <c r="R202" i="8"/>
  <c r="S202" i="8" s="1"/>
  <c r="H5" i="6"/>
  <c r="O5" i="6"/>
  <c r="C307" i="7"/>
  <c r="C265" i="7"/>
  <c r="C244" i="7"/>
  <c r="C223" i="7"/>
  <c r="C286" i="7"/>
  <c r="C34" i="7"/>
  <c r="C13" i="7"/>
  <c r="C75" i="8"/>
  <c r="E76" i="8"/>
  <c r="G76" i="8"/>
  <c r="R76" i="8"/>
  <c r="S76" i="8" s="1"/>
  <c r="O76" i="8"/>
  <c r="L76" i="8"/>
  <c r="C243" i="8"/>
  <c r="E244" i="8"/>
  <c r="G244" i="8"/>
  <c r="O244" i="8"/>
  <c r="R244" i="8"/>
  <c r="S244" i="8" s="1"/>
  <c r="L244" i="8"/>
  <c r="E118" i="8"/>
  <c r="C117" i="8"/>
  <c r="L118" i="8"/>
  <c r="G118" i="8"/>
  <c r="O118" i="8"/>
  <c r="R118" i="8"/>
  <c r="S118" i="8" s="1"/>
  <c r="H28" i="6"/>
  <c r="O28" i="6"/>
  <c r="C308" i="7"/>
  <c r="C287" i="7"/>
  <c r="C266" i="7"/>
  <c r="C35" i="7"/>
  <c r="C245" i="7"/>
  <c r="C224" i="7"/>
  <c r="C14" i="7"/>
  <c r="O97" i="8"/>
  <c r="P97" i="8" s="1"/>
  <c r="E97" i="8"/>
  <c r="C96" i="8"/>
  <c r="L97" i="8"/>
  <c r="G97" i="8"/>
  <c r="R97" i="8"/>
  <c r="S97" i="8" s="1"/>
  <c r="C54" i="8"/>
  <c r="E55" i="8"/>
  <c r="G55" i="8"/>
  <c r="R55" i="8"/>
  <c r="S55" i="8" s="1"/>
  <c r="O55" i="8"/>
  <c r="L55" i="8"/>
  <c r="E223" i="8"/>
  <c r="O223" i="8"/>
  <c r="R223" i="8"/>
  <c r="S223" i="8" s="1"/>
  <c r="L223" i="8"/>
  <c r="G223" i="8"/>
  <c r="C222" i="8"/>
  <c r="I26" i="6"/>
  <c r="D26" i="6" s="1"/>
  <c r="E26" i="6" s="1"/>
  <c r="F26" i="6" s="1"/>
  <c r="D27" i="6"/>
  <c r="E27" i="6" s="1"/>
  <c r="F27" i="6" s="1"/>
  <c r="T49" i="6"/>
  <c r="R49" i="6"/>
  <c r="P49" i="6"/>
  <c r="X49" i="6"/>
  <c r="Z49" i="6"/>
  <c r="E302" i="7"/>
  <c r="E218" i="7"/>
  <c r="E281" i="7"/>
  <c r="E29" i="7"/>
  <c r="E260" i="7"/>
  <c r="E239" i="7"/>
  <c r="E8" i="7"/>
  <c r="E155" i="7"/>
  <c r="E71" i="7"/>
  <c r="E134" i="7"/>
  <c r="E50" i="7"/>
  <c r="E176" i="7"/>
  <c r="E92" i="7"/>
  <c r="E197" i="7"/>
  <c r="E113" i="7"/>
  <c r="T29" i="6"/>
  <c r="R29" i="6"/>
  <c r="P29" i="6"/>
  <c r="X29" i="6"/>
  <c r="Z29" i="6"/>
  <c r="G237" i="7"/>
  <c r="G300" i="7"/>
  <c r="G216" i="7"/>
  <c r="G27" i="7"/>
  <c r="G279" i="7"/>
  <c r="G258" i="7"/>
  <c r="G6" i="7"/>
  <c r="G90" i="7"/>
  <c r="G69" i="7"/>
  <c r="G153" i="7"/>
  <c r="G195" i="7"/>
  <c r="G48" i="7"/>
  <c r="G111" i="7"/>
  <c r="G132" i="7"/>
  <c r="G174" i="7"/>
  <c r="T48" i="6"/>
  <c r="X48" i="6"/>
  <c r="P48" i="6"/>
  <c r="R48" i="6"/>
  <c r="Z48" i="6"/>
  <c r="P202" i="8"/>
  <c r="P139" i="8"/>
  <c r="P76" i="8"/>
  <c r="P160" i="8"/>
  <c r="P244" i="8"/>
  <c r="P55" i="8"/>
  <c r="P223" i="8"/>
  <c r="P34" i="8"/>
  <c r="P118" i="8"/>
  <c r="P181" i="8"/>
  <c r="E204" i="7"/>
  <c r="E183" i="7"/>
  <c r="E162" i="7"/>
  <c r="E141" i="7"/>
  <c r="E120" i="7"/>
  <c r="E99" i="7"/>
  <c r="E78" i="7"/>
  <c r="E57" i="7"/>
  <c r="C203" i="7"/>
  <c r="C161" i="7"/>
  <c r="C119" i="7"/>
  <c r="C56" i="7"/>
  <c r="C182" i="7"/>
  <c r="C140" i="7"/>
  <c r="C98" i="7"/>
  <c r="C77" i="7"/>
  <c r="C139" i="7"/>
  <c r="C55" i="7"/>
  <c r="C160" i="7"/>
  <c r="C76" i="7"/>
  <c r="C181" i="7"/>
  <c r="C97" i="7"/>
  <c r="C202" i="7"/>
  <c r="C118" i="7"/>
  <c r="R15" i="6"/>
  <c r="T15" i="6"/>
  <c r="V15" i="6"/>
  <c r="P15" i="6"/>
  <c r="T28" i="6" l="1"/>
  <c r="X28" i="6"/>
  <c r="R28" i="6"/>
  <c r="P28" i="6"/>
  <c r="Z28" i="6"/>
  <c r="G256" i="7"/>
  <c r="G277" i="7"/>
  <c r="G25" i="7"/>
  <c r="G67" i="7"/>
  <c r="G235" i="7"/>
  <c r="G298" i="7"/>
  <c r="G214" i="7"/>
  <c r="G4" i="7"/>
  <c r="G151" i="7"/>
  <c r="G46" i="7"/>
  <c r="G193" i="7"/>
  <c r="G109" i="7"/>
  <c r="G130" i="7"/>
  <c r="G172" i="7"/>
  <c r="G88" i="7"/>
  <c r="E280" i="7"/>
  <c r="E259" i="7"/>
  <c r="E28" i="7"/>
  <c r="E238" i="7"/>
  <c r="E217" i="7"/>
  <c r="E301" i="7"/>
  <c r="E7" i="7"/>
  <c r="E154" i="7"/>
  <c r="E70" i="7"/>
  <c r="E133" i="7"/>
  <c r="E49" i="7"/>
  <c r="E196" i="7"/>
  <c r="E175" i="7"/>
  <c r="E91" i="7"/>
  <c r="E112" i="7"/>
  <c r="G299" i="7"/>
  <c r="G215" i="7"/>
  <c r="G278" i="7"/>
  <c r="G5" i="7"/>
  <c r="G26" i="7"/>
  <c r="G257" i="7"/>
  <c r="G236" i="7"/>
  <c r="G131" i="7"/>
  <c r="G110" i="7"/>
  <c r="G68" i="7"/>
  <c r="G194" i="7"/>
  <c r="G47" i="7"/>
  <c r="G152" i="7"/>
  <c r="G89" i="7"/>
  <c r="G173" i="7"/>
  <c r="H26" i="6"/>
  <c r="O26" i="6"/>
  <c r="C53" i="8"/>
  <c r="E54" i="8"/>
  <c r="G54" i="8"/>
  <c r="O54" i="8"/>
  <c r="P54" i="8" s="1"/>
  <c r="L54" i="8"/>
  <c r="M54" i="8" s="1"/>
  <c r="T54" i="8" s="1"/>
  <c r="R54" i="8"/>
  <c r="S54" i="8" s="1"/>
  <c r="O96" i="8"/>
  <c r="P96" i="8" s="1"/>
  <c r="E96" i="8"/>
  <c r="G96" i="8"/>
  <c r="L96" i="8"/>
  <c r="M96" i="8" s="1"/>
  <c r="R96" i="8"/>
  <c r="S96" i="8" s="1"/>
  <c r="C95" i="8"/>
  <c r="E117" i="8"/>
  <c r="O117" i="8"/>
  <c r="P117" i="8" s="1"/>
  <c r="C116" i="8"/>
  <c r="R117" i="8"/>
  <c r="S117" i="8" s="1"/>
  <c r="G117" i="8"/>
  <c r="L117" i="8"/>
  <c r="M117" i="8" s="1"/>
  <c r="C200" i="8"/>
  <c r="E201" i="8"/>
  <c r="L201" i="8"/>
  <c r="M201" i="8" s="1"/>
  <c r="O201" i="8"/>
  <c r="P201" i="8" s="1"/>
  <c r="R201" i="8"/>
  <c r="S201" i="8" s="1"/>
  <c r="G201" i="8"/>
  <c r="T4" i="6"/>
  <c r="P4" i="6"/>
  <c r="V4" i="6"/>
  <c r="R4" i="6"/>
  <c r="C158" i="8"/>
  <c r="E159" i="8"/>
  <c r="O159" i="8"/>
  <c r="P159" i="8" s="1"/>
  <c r="G159" i="8"/>
  <c r="L159" i="8"/>
  <c r="M159" i="8" s="1"/>
  <c r="R159" i="8"/>
  <c r="S159" i="8" s="1"/>
  <c r="E180" i="8"/>
  <c r="C179" i="8"/>
  <c r="L180" i="8"/>
  <c r="M180" i="8" s="1"/>
  <c r="G180" i="8"/>
  <c r="R180" i="8"/>
  <c r="S180" i="8" s="1"/>
  <c r="O180" i="8"/>
  <c r="P180" i="8" s="1"/>
  <c r="C137" i="8"/>
  <c r="E138" i="8"/>
  <c r="G138" i="8"/>
  <c r="R138" i="8"/>
  <c r="S138" i="8" s="1"/>
  <c r="L138" i="8"/>
  <c r="M138" i="8" s="1"/>
  <c r="T138" i="8" s="1"/>
  <c r="O138" i="8"/>
  <c r="P138" i="8" s="1"/>
  <c r="E222" i="8"/>
  <c r="R222" i="8"/>
  <c r="S222" i="8" s="1"/>
  <c r="O222" i="8"/>
  <c r="P222" i="8" s="1"/>
  <c r="G222" i="8"/>
  <c r="L222" i="8"/>
  <c r="M222" i="8" s="1"/>
  <c r="T222" i="8" s="1"/>
  <c r="C221" i="8"/>
  <c r="C74" i="8"/>
  <c r="E75" i="8"/>
  <c r="G75" i="8"/>
  <c r="O75" i="8"/>
  <c r="P75" i="8" s="1"/>
  <c r="R75" i="8"/>
  <c r="S75" i="8" s="1"/>
  <c r="L75" i="8"/>
  <c r="M75" i="8" s="1"/>
  <c r="T5" i="6"/>
  <c r="P5" i="6"/>
  <c r="V5" i="6"/>
  <c r="R5" i="6"/>
  <c r="C225" i="7"/>
  <c r="C288" i="7"/>
  <c r="C267" i="7"/>
  <c r="C246" i="7"/>
  <c r="C36" i="7"/>
  <c r="C309" i="7"/>
  <c r="C15" i="7"/>
  <c r="C11" i="8"/>
  <c r="E12" i="8"/>
  <c r="J11" i="8"/>
  <c r="H137" i="9" s="1"/>
  <c r="G137" i="9" s="1"/>
  <c r="G12" i="8"/>
  <c r="R12" i="8"/>
  <c r="S12" i="8" s="1"/>
  <c r="O12" i="8"/>
  <c r="P12" i="8" s="1"/>
  <c r="V12" i="8" s="1"/>
  <c r="L12" i="8"/>
  <c r="M12" i="8" s="1"/>
  <c r="H27" i="6"/>
  <c r="O27" i="6"/>
  <c r="C242" i="8"/>
  <c r="E243" i="8"/>
  <c r="R243" i="8"/>
  <c r="S243" i="8" s="1"/>
  <c r="G243" i="8"/>
  <c r="L243" i="8"/>
  <c r="M243" i="8" s="1"/>
  <c r="T243" i="8" s="1"/>
  <c r="O243" i="8"/>
  <c r="P243" i="8" s="1"/>
  <c r="C279" i="7"/>
  <c r="C258" i="7"/>
  <c r="C300" i="7"/>
  <c r="C237" i="7"/>
  <c r="C216" i="7"/>
  <c r="C27" i="7"/>
  <c r="C6" i="7"/>
  <c r="C111" i="7"/>
  <c r="C90" i="7"/>
  <c r="C132" i="7"/>
  <c r="C48" i="7"/>
  <c r="C69" i="7"/>
  <c r="C195" i="7"/>
  <c r="C174" i="7"/>
  <c r="C153" i="7"/>
  <c r="H13" i="8"/>
  <c r="C32" i="8"/>
  <c r="E33" i="8"/>
  <c r="G33" i="8"/>
  <c r="O33" i="8"/>
  <c r="P33" i="8" s="1"/>
  <c r="L33" i="8"/>
  <c r="M33" i="8" s="1"/>
  <c r="R33" i="8"/>
  <c r="S33" i="8" s="1"/>
  <c r="V13" i="8"/>
  <c r="M160" i="8"/>
  <c r="T160" i="8" s="1"/>
  <c r="M76" i="8"/>
  <c r="T76" i="8" s="1"/>
  <c r="M202" i="8"/>
  <c r="T202" i="8" s="1"/>
  <c r="M244" i="8"/>
  <c r="T244" i="8" s="1"/>
  <c r="M139" i="8"/>
  <c r="T139" i="8" s="1"/>
  <c r="M55" i="8"/>
  <c r="T55" i="8" s="1"/>
  <c r="M34" i="8"/>
  <c r="T34" i="8" s="1"/>
  <c r="M118" i="8"/>
  <c r="T118" i="8" s="1"/>
  <c r="M181" i="8"/>
  <c r="T181" i="8" s="1"/>
  <c r="M97" i="8"/>
  <c r="T97" i="8" s="1"/>
  <c r="M223" i="8"/>
  <c r="T223" i="8" s="1"/>
  <c r="U12" i="8"/>
  <c r="M13" i="8"/>
  <c r="C204" i="7"/>
  <c r="C183" i="7"/>
  <c r="C162" i="7"/>
  <c r="C141" i="7"/>
  <c r="C120" i="7"/>
  <c r="C99" i="7"/>
  <c r="C78" i="7"/>
  <c r="C57" i="7"/>
  <c r="E116" i="8" l="1"/>
  <c r="R116" i="8"/>
  <c r="S116" i="8" s="1"/>
  <c r="C115" i="8"/>
  <c r="L116" i="8"/>
  <c r="M116" i="8" s="1"/>
  <c r="T116" i="8" s="1"/>
  <c r="O116" i="8"/>
  <c r="P116" i="8" s="1"/>
  <c r="G116" i="8"/>
  <c r="U13" i="8"/>
  <c r="G34" i="9"/>
  <c r="I13" i="8"/>
  <c r="C257" i="7"/>
  <c r="C236" i="7"/>
  <c r="C215" i="7"/>
  <c r="C26" i="7"/>
  <c r="C299" i="7"/>
  <c r="C278" i="7"/>
  <c r="C5" i="7"/>
  <c r="C194" i="7"/>
  <c r="C152" i="7"/>
  <c r="C89" i="7"/>
  <c r="C110" i="7"/>
  <c r="C68" i="7"/>
  <c r="C173" i="7"/>
  <c r="C131" i="7"/>
  <c r="C47" i="7"/>
  <c r="E221" i="8"/>
  <c r="G221" i="8"/>
  <c r="C220" i="8"/>
  <c r="O221" i="8"/>
  <c r="P221" i="8" s="1"/>
  <c r="R221" i="8"/>
  <c r="S221" i="8" s="1"/>
  <c r="L221" i="8"/>
  <c r="M221" i="8" s="1"/>
  <c r="E179" i="8"/>
  <c r="R179" i="8"/>
  <c r="S179" i="8" s="1"/>
  <c r="O179" i="8"/>
  <c r="P179" i="8" s="1"/>
  <c r="G179" i="8"/>
  <c r="C178" i="8"/>
  <c r="L179" i="8"/>
  <c r="M179" i="8" s="1"/>
  <c r="T179" i="8" s="1"/>
  <c r="E95" i="8"/>
  <c r="R95" i="8"/>
  <c r="S95" i="8" s="1"/>
  <c r="L95" i="8"/>
  <c r="M95" i="8" s="1"/>
  <c r="T95" i="8" s="1"/>
  <c r="C94" i="8"/>
  <c r="O95" i="8"/>
  <c r="P95" i="8" s="1"/>
  <c r="G95" i="8"/>
  <c r="T26" i="6"/>
  <c r="R26" i="6"/>
  <c r="P26" i="6"/>
  <c r="X26" i="6"/>
  <c r="Z26" i="6"/>
  <c r="E258" i="7"/>
  <c r="E237" i="7"/>
  <c r="E300" i="7"/>
  <c r="E27" i="7"/>
  <c r="E279" i="7"/>
  <c r="E216" i="7"/>
  <c r="E6" i="7"/>
  <c r="E48" i="7"/>
  <c r="E69" i="7"/>
  <c r="E132" i="7"/>
  <c r="E195" i="7"/>
  <c r="E174" i="7"/>
  <c r="E90" i="7"/>
  <c r="E111" i="7"/>
  <c r="E153" i="7"/>
  <c r="C241" i="8"/>
  <c r="E242" i="8"/>
  <c r="O242" i="8"/>
  <c r="P242" i="8" s="1"/>
  <c r="L242" i="8"/>
  <c r="M242" i="8" s="1"/>
  <c r="G242" i="8"/>
  <c r="R242" i="8"/>
  <c r="S242" i="8" s="1"/>
  <c r="T27" i="6"/>
  <c r="X27" i="6"/>
  <c r="Z27" i="6"/>
  <c r="R27" i="6"/>
  <c r="P27" i="6"/>
  <c r="W12" i="8"/>
  <c r="C10" i="8"/>
  <c r="E11" i="8"/>
  <c r="J10" i="8"/>
  <c r="H136" i="9" s="1"/>
  <c r="G136" i="9" s="1"/>
  <c r="G11" i="8"/>
  <c r="R11" i="8"/>
  <c r="S11" i="8" s="1"/>
  <c r="W11" i="8" s="1"/>
  <c r="O11" i="8"/>
  <c r="P11" i="8" s="1"/>
  <c r="L11" i="8"/>
  <c r="M11" i="8" s="1"/>
  <c r="T75" i="8"/>
  <c r="C277" i="7"/>
  <c r="C256" i="7"/>
  <c r="C214" i="7"/>
  <c r="C298" i="7"/>
  <c r="C235" i="7"/>
  <c r="C25" i="7"/>
  <c r="C4" i="7"/>
  <c r="C172" i="7"/>
  <c r="C88" i="7"/>
  <c r="C151" i="7"/>
  <c r="C67" i="7"/>
  <c r="C193" i="7"/>
  <c r="C130" i="7"/>
  <c r="C46" i="7"/>
  <c r="C109" i="7"/>
  <c r="T117" i="8"/>
  <c r="T96" i="8"/>
  <c r="C199" i="8"/>
  <c r="E200" i="8"/>
  <c r="L200" i="8"/>
  <c r="M200" i="8" s="1"/>
  <c r="G200" i="8"/>
  <c r="O200" i="8"/>
  <c r="P200" i="8" s="1"/>
  <c r="R200" i="8"/>
  <c r="S200" i="8" s="1"/>
  <c r="T12" i="8"/>
  <c r="T33" i="8"/>
  <c r="C31" i="8"/>
  <c r="E32" i="8"/>
  <c r="G32" i="8"/>
  <c r="O32" i="8"/>
  <c r="P32" i="8" s="1"/>
  <c r="R32" i="8"/>
  <c r="S32" i="8" s="1"/>
  <c r="L32" i="8"/>
  <c r="M32" i="8" s="1"/>
  <c r="H12" i="8"/>
  <c r="C73" i="8"/>
  <c r="E74" i="8"/>
  <c r="R74" i="8"/>
  <c r="S74" i="8" s="1"/>
  <c r="O74" i="8"/>
  <c r="P74" i="8" s="1"/>
  <c r="L74" i="8"/>
  <c r="M74" i="8" s="1"/>
  <c r="T74" i="8" s="1"/>
  <c r="G74" i="8"/>
  <c r="C136" i="8"/>
  <c r="E137" i="8"/>
  <c r="G137" i="8"/>
  <c r="R137" i="8"/>
  <c r="S137" i="8" s="1"/>
  <c r="O137" i="8"/>
  <c r="P137" i="8" s="1"/>
  <c r="L137" i="8"/>
  <c r="M137" i="8" s="1"/>
  <c r="T180" i="8"/>
  <c r="T159" i="8"/>
  <c r="C157" i="8"/>
  <c r="E158" i="8"/>
  <c r="L158" i="8"/>
  <c r="M158" i="8" s="1"/>
  <c r="T158" i="8" s="1"/>
  <c r="R158" i="8"/>
  <c r="S158" i="8" s="1"/>
  <c r="G158" i="8"/>
  <c r="O158" i="8"/>
  <c r="P158" i="8" s="1"/>
  <c r="T201" i="8"/>
  <c r="C52" i="8"/>
  <c r="E53" i="8"/>
  <c r="G53" i="8"/>
  <c r="L53" i="8"/>
  <c r="M53" i="8" s="1"/>
  <c r="T53" i="8" s="1"/>
  <c r="O53" i="8"/>
  <c r="P53" i="8" s="1"/>
  <c r="R53" i="8"/>
  <c r="S53" i="8" s="1"/>
  <c r="T13" i="8"/>
  <c r="C72" i="8" l="1"/>
  <c r="E73" i="8"/>
  <c r="G73" i="8"/>
  <c r="R73" i="8"/>
  <c r="S73" i="8" s="1"/>
  <c r="L73" i="8"/>
  <c r="M73" i="8" s="1"/>
  <c r="O73" i="8"/>
  <c r="P73" i="8" s="1"/>
  <c r="C51" i="8"/>
  <c r="E52" i="8"/>
  <c r="G52" i="8"/>
  <c r="L52" i="8"/>
  <c r="M52" i="8" s="1"/>
  <c r="T52" i="8" s="1"/>
  <c r="O52" i="8"/>
  <c r="P52" i="8" s="1"/>
  <c r="R52" i="8"/>
  <c r="S52" i="8" s="1"/>
  <c r="C30" i="8"/>
  <c r="E31" i="8"/>
  <c r="G31" i="8"/>
  <c r="R31" i="8"/>
  <c r="S31" i="8" s="1"/>
  <c r="L31" i="8"/>
  <c r="M31" i="8" s="1"/>
  <c r="O31" i="8"/>
  <c r="P31" i="8" s="1"/>
  <c r="C198" i="8"/>
  <c r="E199" i="8"/>
  <c r="O199" i="8"/>
  <c r="P199" i="8" s="1"/>
  <c r="R199" i="8"/>
  <c r="S199" i="8" s="1"/>
  <c r="L199" i="8"/>
  <c r="M199" i="8" s="1"/>
  <c r="G199" i="8"/>
  <c r="V11" i="8"/>
  <c r="R94" i="8"/>
  <c r="S94" i="8" s="1"/>
  <c r="E94" i="8"/>
  <c r="O94" i="8"/>
  <c r="P94" i="8" s="1"/>
  <c r="L94" i="8"/>
  <c r="M94" i="8" s="1"/>
  <c r="G94" i="8"/>
  <c r="C93" i="8"/>
  <c r="H34" i="9"/>
  <c r="D81" i="6"/>
  <c r="E81" i="6" s="1"/>
  <c r="F81" i="6" s="1"/>
  <c r="C240" i="8"/>
  <c r="E241" i="8"/>
  <c r="G241" i="8"/>
  <c r="L241" i="8"/>
  <c r="M241" i="8" s="1"/>
  <c r="R241" i="8"/>
  <c r="S241" i="8" s="1"/>
  <c r="O241" i="8"/>
  <c r="P241" i="8" s="1"/>
  <c r="E220" i="8"/>
  <c r="L220" i="8"/>
  <c r="M220" i="8" s="1"/>
  <c r="O220" i="8"/>
  <c r="P220" i="8" s="1"/>
  <c r="C219" i="8"/>
  <c r="G220" i="8"/>
  <c r="R220" i="8"/>
  <c r="S220" i="8" s="1"/>
  <c r="E115" i="8"/>
  <c r="C114" i="8"/>
  <c r="L115" i="8"/>
  <c r="M115" i="8" s="1"/>
  <c r="G115" i="8"/>
  <c r="R115" i="8"/>
  <c r="S115" i="8" s="1"/>
  <c r="O115" i="8"/>
  <c r="P115" i="8" s="1"/>
  <c r="T137" i="8"/>
  <c r="G33" i="9"/>
  <c r="I12" i="8"/>
  <c r="T200" i="8"/>
  <c r="H11" i="8"/>
  <c r="T242" i="8"/>
  <c r="T221" i="8"/>
  <c r="C9" i="8"/>
  <c r="E10" i="8"/>
  <c r="J9" i="8"/>
  <c r="H135" i="9" s="1"/>
  <c r="G135" i="9" s="1"/>
  <c r="G10" i="8"/>
  <c r="R10" i="8"/>
  <c r="S10" i="8" s="1"/>
  <c r="O10" i="8"/>
  <c r="P10" i="8" s="1"/>
  <c r="L10" i="8"/>
  <c r="M10" i="8" s="1"/>
  <c r="E178" i="8"/>
  <c r="G178" i="8"/>
  <c r="R178" i="8"/>
  <c r="S178" i="8" s="1"/>
  <c r="O178" i="8"/>
  <c r="P178" i="8" s="1"/>
  <c r="C177" i="8"/>
  <c r="L178" i="8"/>
  <c r="M178" i="8" s="1"/>
  <c r="C156" i="8"/>
  <c r="E157" i="8"/>
  <c r="G157" i="8"/>
  <c r="L157" i="8"/>
  <c r="M157" i="8" s="1"/>
  <c r="R157" i="8"/>
  <c r="S157" i="8" s="1"/>
  <c r="O157" i="8"/>
  <c r="P157" i="8" s="1"/>
  <c r="C135" i="8"/>
  <c r="E136" i="8"/>
  <c r="G136" i="8"/>
  <c r="O136" i="8"/>
  <c r="P136" i="8" s="1"/>
  <c r="R136" i="8"/>
  <c r="S136" i="8" s="1"/>
  <c r="L136" i="8"/>
  <c r="M136" i="8" s="1"/>
  <c r="T32" i="8"/>
  <c r="U11" i="8"/>
  <c r="T11" i="8"/>
  <c r="E236" i="7"/>
  <c r="E299" i="7"/>
  <c r="E215" i="7"/>
  <c r="E278" i="7"/>
  <c r="E257" i="7"/>
  <c r="E26" i="7"/>
  <c r="E5" i="7"/>
  <c r="E89" i="7"/>
  <c r="E47" i="7"/>
  <c r="E152" i="7"/>
  <c r="E194" i="7"/>
  <c r="E68" i="7"/>
  <c r="E173" i="7"/>
  <c r="E131" i="7"/>
  <c r="E110" i="7"/>
  <c r="E277" i="7"/>
  <c r="E214" i="7"/>
  <c r="E256" i="7"/>
  <c r="E235" i="7"/>
  <c r="E46" i="7"/>
  <c r="E25" i="7"/>
  <c r="E298" i="7"/>
  <c r="E4" i="7"/>
  <c r="E130" i="7"/>
  <c r="E88" i="7"/>
  <c r="E193" i="7"/>
  <c r="E109" i="7"/>
  <c r="E151" i="7"/>
  <c r="E67" i="7"/>
  <c r="E172" i="7"/>
  <c r="C134" i="8" l="1"/>
  <c r="E135" i="8"/>
  <c r="G135" i="8"/>
  <c r="L135" i="8"/>
  <c r="M135" i="8" s="1"/>
  <c r="O135" i="8"/>
  <c r="P135" i="8" s="1"/>
  <c r="R135" i="8"/>
  <c r="S135" i="8" s="1"/>
  <c r="H10" i="8"/>
  <c r="C239" i="8"/>
  <c r="E240" i="8"/>
  <c r="R240" i="8"/>
  <c r="S240" i="8" s="1"/>
  <c r="G240" i="8"/>
  <c r="O240" i="8"/>
  <c r="P240" i="8" s="1"/>
  <c r="L240" i="8"/>
  <c r="M240" i="8" s="1"/>
  <c r="C155" i="8"/>
  <c r="E156" i="8"/>
  <c r="R156" i="8"/>
  <c r="S156" i="8" s="1"/>
  <c r="O156" i="8"/>
  <c r="P156" i="8" s="1"/>
  <c r="L156" i="8"/>
  <c r="M156" i="8" s="1"/>
  <c r="T156" i="8" s="1"/>
  <c r="G156" i="8"/>
  <c r="V10" i="8"/>
  <c r="G32" i="9"/>
  <c r="I11" i="8"/>
  <c r="T115" i="8"/>
  <c r="I34" i="9"/>
  <c r="B307" i="9"/>
  <c r="B286" i="9"/>
  <c r="B265" i="9"/>
  <c r="B244" i="9"/>
  <c r="B223" i="9"/>
  <c r="B181" i="9"/>
  <c r="B160" i="9"/>
  <c r="B139" i="9"/>
  <c r="B118" i="9"/>
  <c r="B97" i="9"/>
  <c r="B76" i="9"/>
  <c r="B55" i="9"/>
  <c r="B34" i="9"/>
  <c r="B202" i="9"/>
  <c r="B13" i="9"/>
  <c r="T136" i="8"/>
  <c r="T157" i="8"/>
  <c r="T178" i="8"/>
  <c r="W10" i="8"/>
  <c r="C8" i="8"/>
  <c r="E9" i="8"/>
  <c r="J8" i="8"/>
  <c r="H134" i="9" s="1"/>
  <c r="G134" i="9" s="1"/>
  <c r="G9" i="8"/>
  <c r="R9" i="8"/>
  <c r="S9" i="8" s="1"/>
  <c r="O9" i="8"/>
  <c r="P9" i="8" s="1"/>
  <c r="L9" i="8"/>
  <c r="M9" i="8" s="1"/>
  <c r="E114" i="8"/>
  <c r="O114" i="8"/>
  <c r="P114" i="8" s="1"/>
  <c r="G114" i="8"/>
  <c r="L114" i="8"/>
  <c r="M114" i="8" s="1"/>
  <c r="T114" i="8" s="1"/>
  <c r="C113" i="8"/>
  <c r="R114" i="8"/>
  <c r="S114" i="8" s="1"/>
  <c r="E219" i="8"/>
  <c r="C218" i="8"/>
  <c r="G219" i="8"/>
  <c r="R219" i="8"/>
  <c r="S219" i="8" s="1"/>
  <c r="O219" i="8"/>
  <c r="P219" i="8" s="1"/>
  <c r="L219" i="8"/>
  <c r="M219" i="8" s="1"/>
  <c r="T219" i="8" s="1"/>
  <c r="R93" i="8"/>
  <c r="S93" i="8" s="1"/>
  <c r="E93" i="8"/>
  <c r="C92" i="8"/>
  <c r="L93" i="8"/>
  <c r="M93" i="8" s="1"/>
  <c r="T93" i="8" s="1"/>
  <c r="O93" i="8"/>
  <c r="P93" i="8" s="1"/>
  <c r="G93" i="8"/>
  <c r="T199" i="8"/>
  <c r="C197" i="8"/>
  <c r="E198" i="8"/>
  <c r="L198" i="8"/>
  <c r="M198" i="8" s="1"/>
  <c r="O198" i="8"/>
  <c r="P198" i="8" s="1"/>
  <c r="R198" i="8"/>
  <c r="S198" i="8" s="1"/>
  <c r="G198" i="8"/>
  <c r="C50" i="8"/>
  <c r="E51" i="8"/>
  <c r="G51" i="8"/>
  <c r="O51" i="8"/>
  <c r="P51" i="8" s="1"/>
  <c r="R51" i="8"/>
  <c r="S51" i="8" s="1"/>
  <c r="L51" i="8"/>
  <c r="M51" i="8" s="1"/>
  <c r="E177" i="8"/>
  <c r="C176" i="8"/>
  <c r="R177" i="8"/>
  <c r="S177" i="8" s="1"/>
  <c r="G177" i="8"/>
  <c r="L177" i="8"/>
  <c r="M177" i="8" s="1"/>
  <c r="T177" i="8" s="1"/>
  <c r="O177" i="8"/>
  <c r="P177" i="8" s="1"/>
  <c r="U10" i="8"/>
  <c r="T10" i="8"/>
  <c r="H33" i="9"/>
  <c r="D80" i="6"/>
  <c r="E80" i="6" s="1"/>
  <c r="F80" i="6" s="1"/>
  <c r="T220" i="8"/>
  <c r="T241" i="8"/>
  <c r="N81" i="6"/>
  <c r="O81" i="6" s="1"/>
  <c r="H81" i="6"/>
  <c r="T94" i="8"/>
  <c r="T31" i="8"/>
  <c r="C29" i="8"/>
  <c r="E30" i="8"/>
  <c r="G30" i="8"/>
  <c r="O30" i="8"/>
  <c r="P30" i="8" s="1"/>
  <c r="R30" i="8"/>
  <c r="S30" i="8" s="1"/>
  <c r="L30" i="8"/>
  <c r="M30" i="8" s="1"/>
  <c r="T73" i="8"/>
  <c r="C71" i="8"/>
  <c r="E72" i="8"/>
  <c r="G72" i="8"/>
  <c r="R72" i="8"/>
  <c r="S72" i="8" s="1"/>
  <c r="L72" i="8"/>
  <c r="M72" i="8" s="1"/>
  <c r="O72" i="8"/>
  <c r="P72" i="8" s="1"/>
  <c r="AF81" i="6" l="1"/>
  <c r="AB81" i="6"/>
  <c r="X81" i="6"/>
  <c r="AH81" i="6"/>
  <c r="AD81" i="6"/>
  <c r="I33" i="9"/>
  <c r="B201" i="9"/>
  <c r="B12" i="9"/>
  <c r="B264" i="9"/>
  <c r="B180" i="9"/>
  <c r="B96" i="9"/>
  <c r="B306" i="9"/>
  <c r="B222" i="9"/>
  <c r="B138" i="9"/>
  <c r="B54" i="9"/>
  <c r="B285" i="9"/>
  <c r="B117" i="9"/>
  <c r="B33" i="9"/>
  <c r="B243" i="9"/>
  <c r="B159" i="9"/>
  <c r="B75" i="9"/>
  <c r="C196" i="8"/>
  <c r="E197" i="8"/>
  <c r="G197" i="8"/>
  <c r="L197" i="8"/>
  <c r="M197" i="8" s="1"/>
  <c r="O197" i="8"/>
  <c r="P197" i="8" s="1"/>
  <c r="R197" i="8"/>
  <c r="S197" i="8" s="1"/>
  <c r="E218" i="8"/>
  <c r="R218" i="8"/>
  <c r="S218" i="8" s="1"/>
  <c r="L218" i="8"/>
  <c r="M218" i="8" s="1"/>
  <c r="T218" i="8" s="1"/>
  <c r="G218" i="8"/>
  <c r="C217" i="8"/>
  <c r="O218" i="8"/>
  <c r="P218" i="8" s="1"/>
  <c r="U9" i="8"/>
  <c r="T9" i="8"/>
  <c r="C154" i="8"/>
  <c r="E155" i="8"/>
  <c r="G155" i="8"/>
  <c r="L155" i="8"/>
  <c r="M155" i="8" s="1"/>
  <c r="R155" i="8"/>
  <c r="S155" i="8" s="1"/>
  <c r="O155" i="8"/>
  <c r="P155" i="8" s="1"/>
  <c r="C49" i="8"/>
  <c r="E50" i="8"/>
  <c r="G50" i="8"/>
  <c r="L50" i="8"/>
  <c r="M50" i="8" s="1"/>
  <c r="O50" i="8"/>
  <c r="P50" i="8" s="1"/>
  <c r="R50" i="8"/>
  <c r="S50" i="8" s="1"/>
  <c r="T198" i="8"/>
  <c r="W9" i="8"/>
  <c r="C7" i="8"/>
  <c r="E8" i="8"/>
  <c r="J7" i="8"/>
  <c r="H133" i="9" s="1"/>
  <c r="G133" i="9" s="1"/>
  <c r="O8" i="8"/>
  <c r="P8" i="8" s="1"/>
  <c r="G8" i="8"/>
  <c r="R8" i="8"/>
  <c r="S8" i="8" s="1"/>
  <c r="L8" i="8"/>
  <c r="M8" i="8" s="1"/>
  <c r="C238" i="8"/>
  <c r="E239" i="8"/>
  <c r="L239" i="8"/>
  <c r="M239" i="8" s="1"/>
  <c r="G239" i="8"/>
  <c r="R239" i="8"/>
  <c r="S239" i="8" s="1"/>
  <c r="O239" i="8"/>
  <c r="P239" i="8" s="1"/>
  <c r="T135" i="8"/>
  <c r="C28" i="8"/>
  <c r="E29" i="8"/>
  <c r="G29" i="8"/>
  <c r="R29" i="8"/>
  <c r="S29" i="8" s="1"/>
  <c r="L29" i="8"/>
  <c r="M29" i="8" s="1"/>
  <c r="O29" i="8"/>
  <c r="P29" i="8" s="1"/>
  <c r="T30" i="8"/>
  <c r="N80" i="6"/>
  <c r="O80" i="6" s="1"/>
  <c r="H80" i="6"/>
  <c r="E176" i="8"/>
  <c r="C175" i="8"/>
  <c r="R176" i="8"/>
  <c r="S176" i="8" s="1"/>
  <c r="G176" i="8"/>
  <c r="O176" i="8"/>
  <c r="P176" i="8" s="1"/>
  <c r="L176" i="8"/>
  <c r="M176" i="8" s="1"/>
  <c r="T176" i="8" s="1"/>
  <c r="E113" i="8"/>
  <c r="L113" i="8"/>
  <c r="M113" i="8" s="1"/>
  <c r="C112" i="8"/>
  <c r="O113" i="8"/>
  <c r="P113" i="8" s="1"/>
  <c r="G113" i="8"/>
  <c r="R113" i="8"/>
  <c r="S113" i="8" s="1"/>
  <c r="H9" i="8"/>
  <c r="G31" i="9"/>
  <c r="I10" i="8"/>
  <c r="T72" i="8"/>
  <c r="C70" i="8"/>
  <c r="E71" i="8"/>
  <c r="G71" i="8"/>
  <c r="O71" i="8"/>
  <c r="P71" i="8" s="1"/>
  <c r="R71" i="8"/>
  <c r="S71" i="8" s="1"/>
  <c r="L71" i="8"/>
  <c r="M71" i="8" s="1"/>
  <c r="T71" i="8" s="1"/>
  <c r="T51" i="8"/>
  <c r="R92" i="8"/>
  <c r="S92" i="8" s="1"/>
  <c r="E92" i="8"/>
  <c r="L92" i="8"/>
  <c r="M92" i="8" s="1"/>
  <c r="O92" i="8"/>
  <c r="P92" i="8" s="1"/>
  <c r="C91" i="8"/>
  <c r="G92" i="8"/>
  <c r="V9" i="8"/>
  <c r="H32" i="9"/>
  <c r="D79" i="6"/>
  <c r="E79" i="6" s="1"/>
  <c r="F79" i="6" s="1"/>
  <c r="T240" i="8"/>
  <c r="C133" i="8"/>
  <c r="E134" i="8"/>
  <c r="G134" i="8"/>
  <c r="L134" i="8"/>
  <c r="M134" i="8" s="1"/>
  <c r="R134" i="8"/>
  <c r="S134" i="8" s="1"/>
  <c r="O134" i="8"/>
  <c r="P134" i="8" s="1"/>
  <c r="E175" i="8" l="1"/>
  <c r="C174" i="8"/>
  <c r="R175" i="8"/>
  <c r="S175" i="8" s="1"/>
  <c r="G175" i="8"/>
  <c r="L175" i="8"/>
  <c r="M175" i="8" s="1"/>
  <c r="O175" i="8"/>
  <c r="P175" i="8" s="1"/>
  <c r="C48" i="8"/>
  <c r="E49" i="8"/>
  <c r="G49" i="8"/>
  <c r="R49" i="8"/>
  <c r="S49" i="8" s="1"/>
  <c r="L49" i="8"/>
  <c r="M49" i="8" s="1"/>
  <c r="O49" i="8"/>
  <c r="P49" i="8" s="1"/>
  <c r="C195" i="8"/>
  <c r="E196" i="8"/>
  <c r="O196" i="8"/>
  <c r="P196" i="8" s="1"/>
  <c r="G196" i="8"/>
  <c r="L196" i="8"/>
  <c r="M196" i="8" s="1"/>
  <c r="R196" i="8"/>
  <c r="S196" i="8" s="1"/>
  <c r="N79" i="6"/>
  <c r="O79" i="6" s="1"/>
  <c r="H79" i="6"/>
  <c r="E91" i="8"/>
  <c r="L91" i="8"/>
  <c r="M91" i="8" s="1"/>
  <c r="T91" i="8" s="1"/>
  <c r="O91" i="8"/>
  <c r="P91" i="8" s="1"/>
  <c r="R91" i="8"/>
  <c r="S91" i="8" s="1"/>
  <c r="G91" i="8"/>
  <c r="C90" i="8"/>
  <c r="T113" i="8"/>
  <c r="T29" i="8"/>
  <c r="C27" i="8"/>
  <c r="E28" i="8"/>
  <c r="G28" i="8"/>
  <c r="L28" i="8"/>
  <c r="M28" i="8" s="1"/>
  <c r="O28" i="8"/>
  <c r="P28" i="8" s="1"/>
  <c r="R28" i="8"/>
  <c r="S28" i="8" s="1"/>
  <c r="T8" i="8"/>
  <c r="U8" i="8"/>
  <c r="C153" i="8"/>
  <c r="E154" i="8"/>
  <c r="G154" i="8"/>
  <c r="O154" i="8"/>
  <c r="P154" i="8" s="1"/>
  <c r="R154" i="8"/>
  <c r="S154" i="8" s="1"/>
  <c r="L154" i="8"/>
  <c r="M154" i="8" s="1"/>
  <c r="T154" i="8" s="1"/>
  <c r="E217" i="8"/>
  <c r="L217" i="8"/>
  <c r="M217" i="8" s="1"/>
  <c r="C216" i="8"/>
  <c r="G217" i="8"/>
  <c r="R217" i="8"/>
  <c r="S217" i="8" s="1"/>
  <c r="O217" i="8"/>
  <c r="P217" i="8" s="1"/>
  <c r="C132" i="8"/>
  <c r="E133" i="8"/>
  <c r="G133" i="8"/>
  <c r="L133" i="8"/>
  <c r="M133" i="8" s="1"/>
  <c r="R133" i="8"/>
  <c r="S133" i="8" s="1"/>
  <c r="O133" i="8"/>
  <c r="P133" i="8" s="1"/>
  <c r="C6" i="8"/>
  <c r="E7" i="8"/>
  <c r="J6" i="8"/>
  <c r="H132" i="9" s="1"/>
  <c r="G132" i="9" s="1"/>
  <c r="G7" i="8"/>
  <c r="O7" i="8"/>
  <c r="P7" i="8" s="1"/>
  <c r="R7" i="8"/>
  <c r="S7" i="8" s="1"/>
  <c r="L7" i="8"/>
  <c r="M7" i="8" s="1"/>
  <c r="I32" i="9"/>
  <c r="B305" i="9"/>
  <c r="B284" i="9"/>
  <c r="B263" i="9"/>
  <c r="B242" i="9"/>
  <c r="B221" i="9"/>
  <c r="B179" i="9"/>
  <c r="B158" i="9"/>
  <c r="B137" i="9"/>
  <c r="B116" i="9"/>
  <c r="B95" i="9"/>
  <c r="B74" i="9"/>
  <c r="B53" i="9"/>
  <c r="B32" i="9"/>
  <c r="B11" i="9"/>
  <c r="B200" i="9"/>
  <c r="T92" i="8"/>
  <c r="AH80" i="6"/>
  <c r="AD80" i="6"/>
  <c r="AF80" i="6"/>
  <c r="AB80" i="6"/>
  <c r="X80" i="6"/>
  <c r="T239" i="8"/>
  <c r="W8" i="8"/>
  <c r="T155" i="8"/>
  <c r="H31" i="9"/>
  <c r="D78" i="6"/>
  <c r="E78" i="6" s="1"/>
  <c r="F78" i="6" s="1"/>
  <c r="H8" i="8"/>
  <c r="T134" i="8"/>
  <c r="C69" i="8"/>
  <c r="E70" i="8"/>
  <c r="O70" i="8"/>
  <c r="P70" i="8" s="1"/>
  <c r="G70" i="8"/>
  <c r="L70" i="8"/>
  <c r="M70" i="8" s="1"/>
  <c r="R70" i="8"/>
  <c r="S70" i="8" s="1"/>
  <c r="G30" i="9"/>
  <c r="I9" i="8"/>
  <c r="E112" i="8"/>
  <c r="L112" i="8"/>
  <c r="M112" i="8" s="1"/>
  <c r="R112" i="8"/>
  <c r="S112" i="8" s="1"/>
  <c r="G112" i="8"/>
  <c r="C111" i="8"/>
  <c r="O112" i="8"/>
  <c r="P112" i="8" s="1"/>
  <c r="C237" i="8"/>
  <c r="E238" i="8"/>
  <c r="L238" i="8"/>
  <c r="M238" i="8" s="1"/>
  <c r="R238" i="8"/>
  <c r="S238" i="8" s="1"/>
  <c r="G238" i="8"/>
  <c r="O238" i="8"/>
  <c r="P238" i="8" s="1"/>
  <c r="V8" i="8"/>
  <c r="T50" i="8"/>
  <c r="T197" i="8"/>
  <c r="T112" i="8" l="1"/>
  <c r="N78" i="6"/>
  <c r="O78" i="6" s="1"/>
  <c r="H78" i="6"/>
  <c r="W7" i="8"/>
  <c r="T133" i="8"/>
  <c r="T217" i="8"/>
  <c r="T28" i="8"/>
  <c r="H7" i="8"/>
  <c r="T238" i="8"/>
  <c r="E111" i="8"/>
  <c r="O111" i="8"/>
  <c r="P111" i="8" s="1"/>
  <c r="C110" i="8"/>
  <c r="L111" i="8"/>
  <c r="M111" i="8" s="1"/>
  <c r="R111" i="8"/>
  <c r="S111" i="8" s="1"/>
  <c r="G111" i="8"/>
  <c r="T70" i="8"/>
  <c r="C68" i="8"/>
  <c r="E69" i="8"/>
  <c r="G69" i="8"/>
  <c r="R69" i="8"/>
  <c r="S69" i="8" s="1"/>
  <c r="O69" i="8"/>
  <c r="P69" i="8" s="1"/>
  <c r="L69" i="8"/>
  <c r="M69" i="8" s="1"/>
  <c r="T69" i="8" s="1"/>
  <c r="I31" i="9"/>
  <c r="B199" i="9"/>
  <c r="B10" i="9"/>
  <c r="B304" i="9"/>
  <c r="B283" i="9"/>
  <c r="B262" i="9"/>
  <c r="B241" i="9"/>
  <c r="B220" i="9"/>
  <c r="B178" i="9"/>
  <c r="B157" i="9"/>
  <c r="B136" i="9"/>
  <c r="B115" i="9"/>
  <c r="B94" i="9"/>
  <c r="B73" i="9"/>
  <c r="B52" i="9"/>
  <c r="B31" i="9"/>
  <c r="V7" i="8"/>
  <c r="C5" i="8"/>
  <c r="E6" i="8"/>
  <c r="J5" i="8"/>
  <c r="H131" i="9" s="1"/>
  <c r="G131" i="9" s="1"/>
  <c r="G6" i="8"/>
  <c r="R6" i="8"/>
  <c r="S6" i="8" s="1"/>
  <c r="O6" i="8"/>
  <c r="P6" i="8" s="1"/>
  <c r="L6" i="8"/>
  <c r="M6" i="8" s="1"/>
  <c r="AB79" i="6"/>
  <c r="AF79" i="6"/>
  <c r="AH79" i="6"/>
  <c r="X79" i="6"/>
  <c r="AD79" i="6"/>
  <c r="T49" i="8"/>
  <c r="C47" i="8"/>
  <c r="E48" i="8"/>
  <c r="G48" i="8"/>
  <c r="O48" i="8"/>
  <c r="P48" i="8" s="1"/>
  <c r="R48" i="8"/>
  <c r="S48" i="8" s="1"/>
  <c r="L48" i="8"/>
  <c r="M48" i="8" s="1"/>
  <c r="T48" i="8" s="1"/>
  <c r="L90" i="8"/>
  <c r="M90" i="8" s="1"/>
  <c r="E90" i="8"/>
  <c r="O90" i="8"/>
  <c r="P90" i="8" s="1"/>
  <c r="R90" i="8"/>
  <c r="S90" i="8" s="1"/>
  <c r="T90" i="8" s="1"/>
  <c r="C89" i="8"/>
  <c r="G90" i="8"/>
  <c r="E174" i="8"/>
  <c r="G174" i="8"/>
  <c r="O174" i="8"/>
  <c r="P174" i="8" s="1"/>
  <c r="L174" i="8"/>
  <c r="M174" i="8" s="1"/>
  <c r="C173" i="8"/>
  <c r="R174" i="8"/>
  <c r="S174" i="8" s="1"/>
  <c r="C236" i="8"/>
  <c r="E237" i="8"/>
  <c r="R237" i="8"/>
  <c r="S237" i="8" s="1"/>
  <c r="G237" i="8"/>
  <c r="L237" i="8"/>
  <c r="M237" i="8" s="1"/>
  <c r="O237" i="8"/>
  <c r="P237" i="8" s="1"/>
  <c r="H30" i="9"/>
  <c r="D77" i="6"/>
  <c r="E77" i="6" s="1"/>
  <c r="F77" i="6" s="1"/>
  <c r="G29" i="9"/>
  <c r="I8" i="8"/>
  <c r="U7" i="8"/>
  <c r="T7" i="8"/>
  <c r="C131" i="8"/>
  <c r="E132" i="8"/>
  <c r="G132" i="8"/>
  <c r="R132" i="8"/>
  <c r="S132" i="8" s="1"/>
  <c r="O132" i="8"/>
  <c r="P132" i="8" s="1"/>
  <c r="L132" i="8"/>
  <c r="M132" i="8" s="1"/>
  <c r="E216" i="8"/>
  <c r="R216" i="8"/>
  <c r="S216" i="8" s="1"/>
  <c r="G216" i="8"/>
  <c r="O216" i="8"/>
  <c r="P216" i="8" s="1"/>
  <c r="C215" i="8"/>
  <c r="L216" i="8"/>
  <c r="M216" i="8" s="1"/>
  <c r="T216" i="8" s="1"/>
  <c r="C152" i="8"/>
  <c r="E153" i="8"/>
  <c r="G153" i="8"/>
  <c r="O153" i="8"/>
  <c r="P153" i="8" s="1"/>
  <c r="R153" i="8"/>
  <c r="S153" i="8" s="1"/>
  <c r="L153" i="8"/>
  <c r="M153" i="8" s="1"/>
  <c r="C26" i="8"/>
  <c r="E27" i="8"/>
  <c r="G27" i="8"/>
  <c r="R27" i="8"/>
  <c r="S27" i="8" s="1"/>
  <c r="L27" i="8"/>
  <c r="M27" i="8" s="1"/>
  <c r="O27" i="8"/>
  <c r="P27" i="8" s="1"/>
  <c r="T196" i="8"/>
  <c r="C194" i="8"/>
  <c r="E195" i="8"/>
  <c r="G195" i="8"/>
  <c r="L195" i="8"/>
  <c r="M195" i="8" s="1"/>
  <c r="R195" i="8"/>
  <c r="S195" i="8" s="1"/>
  <c r="O195" i="8"/>
  <c r="P195" i="8" s="1"/>
  <c r="T175" i="8"/>
  <c r="C193" i="8" l="1"/>
  <c r="E194" i="8"/>
  <c r="R194" i="8"/>
  <c r="S194" i="8" s="1"/>
  <c r="O194" i="8"/>
  <c r="P194" i="8" s="1"/>
  <c r="G194" i="8"/>
  <c r="L194" i="8"/>
  <c r="M194" i="8" s="1"/>
  <c r="T194" i="8" s="1"/>
  <c r="T153" i="8"/>
  <c r="T132" i="8"/>
  <c r="T174" i="8"/>
  <c r="W6" i="8"/>
  <c r="C4" i="8"/>
  <c r="E5" i="8"/>
  <c r="J4" i="8"/>
  <c r="H130" i="9" s="1"/>
  <c r="G130" i="9" s="1"/>
  <c r="O5" i="8"/>
  <c r="P5" i="8" s="1"/>
  <c r="G5" i="8"/>
  <c r="R5" i="8"/>
  <c r="S5" i="8" s="1"/>
  <c r="L5" i="8"/>
  <c r="M5" i="8" s="1"/>
  <c r="E110" i="8"/>
  <c r="L110" i="8"/>
  <c r="M110" i="8" s="1"/>
  <c r="O110" i="8"/>
  <c r="P110" i="8" s="1"/>
  <c r="R110" i="8"/>
  <c r="S110" i="8" s="1"/>
  <c r="C109" i="8"/>
  <c r="G110" i="8"/>
  <c r="G28" i="9"/>
  <c r="I7" i="8"/>
  <c r="U6" i="8"/>
  <c r="T6" i="8"/>
  <c r="T195" i="8"/>
  <c r="C151" i="8"/>
  <c r="E152" i="8"/>
  <c r="R152" i="8"/>
  <c r="S152" i="8" s="1"/>
  <c r="O152" i="8"/>
  <c r="P152" i="8" s="1"/>
  <c r="L152" i="8"/>
  <c r="M152" i="8" s="1"/>
  <c r="T152" i="8" s="1"/>
  <c r="G152" i="8"/>
  <c r="C130" i="8"/>
  <c r="E131" i="8"/>
  <c r="O131" i="8"/>
  <c r="P131" i="8" s="1"/>
  <c r="L131" i="8"/>
  <c r="M131" i="8" s="1"/>
  <c r="T131" i="8" s="1"/>
  <c r="R131" i="8"/>
  <c r="S131" i="8" s="1"/>
  <c r="G131" i="8"/>
  <c r="H29" i="9"/>
  <c r="D76" i="6"/>
  <c r="E76" i="6" s="1"/>
  <c r="F76" i="6" s="1"/>
  <c r="T237" i="8"/>
  <c r="C235" i="8"/>
  <c r="E236" i="8"/>
  <c r="O236" i="8"/>
  <c r="P236" i="8" s="1"/>
  <c r="L236" i="8"/>
  <c r="M236" i="8" s="1"/>
  <c r="G236" i="8"/>
  <c r="R236" i="8"/>
  <c r="S236" i="8" s="1"/>
  <c r="L89" i="8"/>
  <c r="M89" i="8" s="1"/>
  <c r="E89" i="8"/>
  <c r="G89" i="8"/>
  <c r="C88" i="8"/>
  <c r="O89" i="8"/>
  <c r="P89" i="8" s="1"/>
  <c r="R89" i="8"/>
  <c r="S89" i="8" s="1"/>
  <c r="H6" i="8"/>
  <c r="N77" i="6"/>
  <c r="O77" i="6" s="1"/>
  <c r="H77" i="6"/>
  <c r="AB78" i="6"/>
  <c r="AH78" i="6"/>
  <c r="AD78" i="6"/>
  <c r="AF78" i="6"/>
  <c r="X78" i="6"/>
  <c r="T27" i="8"/>
  <c r="C25" i="8"/>
  <c r="E26" i="8"/>
  <c r="G26" i="8"/>
  <c r="L26" i="8"/>
  <c r="M26" i="8" s="1"/>
  <c r="O26" i="8"/>
  <c r="P26" i="8" s="1"/>
  <c r="R26" i="8"/>
  <c r="S26" i="8" s="1"/>
  <c r="E215" i="8"/>
  <c r="R215" i="8"/>
  <c r="S215" i="8" s="1"/>
  <c r="G215" i="8"/>
  <c r="O215" i="8"/>
  <c r="P215" i="8" s="1"/>
  <c r="C214" i="8"/>
  <c r="L215" i="8"/>
  <c r="M215" i="8" s="1"/>
  <c r="I30" i="9"/>
  <c r="B303" i="9"/>
  <c r="B282" i="9"/>
  <c r="B261" i="9"/>
  <c r="B240" i="9"/>
  <c r="B219" i="9"/>
  <c r="B177" i="9"/>
  <c r="B156" i="9"/>
  <c r="B135" i="9"/>
  <c r="B114" i="9"/>
  <c r="B93" i="9"/>
  <c r="B72" i="9"/>
  <c r="B51" i="9"/>
  <c r="B30" i="9"/>
  <c r="B198" i="9"/>
  <c r="B9" i="9"/>
  <c r="E173" i="8"/>
  <c r="G173" i="8"/>
  <c r="O173" i="8"/>
  <c r="P173" i="8" s="1"/>
  <c r="L173" i="8"/>
  <c r="M173" i="8" s="1"/>
  <c r="C172" i="8"/>
  <c r="R173" i="8"/>
  <c r="S173" i="8" s="1"/>
  <c r="C46" i="8"/>
  <c r="E47" i="8"/>
  <c r="G47" i="8"/>
  <c r="R47" i="8"/>
  <c r="S47" i="8" s="1"/>
  <c r="L47" i="8"/>
  <c r="M47" i="8" s="1"/>
  <c r="O47" i="8"/>
  <c r="P47" i="8" s="1"/>
  <c r="V6" i="8"/>
  <c r="C67" i="8"/>
  <c r="E68" i="8"/>
  <c r="L68" i="8"/>
  <c r="M68" i="8" s="1"/>
  <c r="G68" i="8"/>
  <c r="R68" i="8"/>
  <c r="S68" i="8" s="1"/>
  <c r="O68" i="8"/>
  <c r="P68" i="8" s="1"/>
  <c r="T111" i="8"/>
  <c r="C66" i="8" l="1"/>
  <c r="E67" i="8"/>
  <c r="L67" i="8"/>
  <c r="M67" i="8" s="1"/>
  <c r="R67" i="8"/>
  <c r="S67" i="8" s="1"/>
  <c r="G67" i="8"/>
  <c r="O67" i="8"/>
  <c r="P67" i="8" s="1"/>
  <c r="T89" i="8"/>
  <c r="V5" i="8"/>
  <c r="T68" i="8"/>
  <c r="T173" i="8"/>
  <c r="T215" i="8"/>
  <c r="T26" i="8"/>
  <c r="G27" i="9"/>
  <c r="I6" i="8"/>
  <c r="C234" i="8"/>
  <c r="E235" i="8"/>
  <c r="R235" i="8"/>
  <c r="S235" i="8" s="1"/>
  <c r="O235" i="8"/>
  <c r="P235" i="8" s="1"/>
  <c r="G235" i="8"/>
  <c r="L235" i="8"/>
  <c r="M235" i="8" s="1"/>
  <c r="T235" i="8" s="1"/>
  <c r="H28" i="9"/>
  <c r="D75" i="6"/>
  <c r="E75" i="6" s="1"/>
  <c r="F75" i="6" s="1"/>
  <c r="W5" i="8"/>
  <c r="N76" i="6"/>
  <c r="O76" i="6" s="1"/>
  <c r="H76" i="6"/>
  <c r="E109" i="8"/>
  <c r="L109" i="8"/>
  <c r="M109" i="8" s="1"/>
  <c r="G109" i="8"/>
  <c r="C108" i="8"/>
  <c r="O109" i="8"/>
  <c r="P109" i="8" s="1"/>
  <c r="R109" i="8"/>
  <c r="S109" i="8" s="1"/>
  <c r="T47" i="8"/>
  <c r="C45" i="8"/>
  <c r="E46" i="8"/>
  <c r="G46" i="8"/>
  <c r="L46" i="8"/>
  <c r="M46" i="8" s="1"/>
  <c r="T46" i="8" s="1"/>
  <c r="R46" i="8"/>
  <c r="S46" i="8" s="1"/>
  <c r="O46" i="8"/>
  <c r="P46" i="8" s="1"/>
  <c r="E214" i="8"/>
  <c r="L214" i="8"/>
  <c r="M214" i="8" s="1"/>
  <c r="T214" i="8" s="1"/>
  <c r="R214" i="8"/>
  <c r="S214" i="8" s="1"/>
  <c r="G214" i="8"/>
  <c r="C213" i="8"/>
  <c r="O214" i="8"/>
  <c r="P214" i="8" s="1"/>
  <c r="T236" i="8"/>
  <c r="C129" i="8"/>
  <c r="E130" i="8"/>
  <c r="G130" i="8"/>
  <c r="L130" i="8"/>
  <c r="M130" i="8" s="1"/>
  <c r="O130" i="8"/>
  <c r="P130" i="8" s="1"/>
  <c r="R130" i="8"/>
  <c r="S130" i="8" s="1"/>
  <c r="T110" i="8"/>
  <c r="H5" i="8"/>
  <c r="C3" i="8"/>
  <c r="E4" i="8"/>
  <c r="J3" i="8"/>
  <c r="H129" i="9" s="1"/>
  <c r="G129" i="9" s="1"/>
  <c r="G4" i="8"/>
  <c r="O4" i="8"/>
  <c r="P4" i="8" s="1"/>
  <c r="R4" i="8"/>
  <c r="S4" i="8" s="1"/>
  <c r="L4" i="8"/>
  <c r="M4" i="8" s="1"/>
  <c r="E172" i="8"/>
  <c r="G172" i="8"/>
  <c r="O172" i="8"/>
  <c r="P172" i="8" s="1"/>
  <c r="C171" i="8"/>
  <c r="L172" i="8"/>
  <c r="M172" i="8" s="1"/>
  <c r="R172" i="8"/>
  <c r="S172" i="8" s="1"/>
  <c r="C24" i="8"/>
  <c r="E25" i="8"/>
  <c r="G25" i="8"/>
  <c r="R25" i="8"/>
  <c r="S25" i="8" s="1"/>
  <c r="L25" i="8"/>
  <c r="M25" i="8" s="1"/>
  <c r="O25" i="8"/>
  <c r="P25" i="8" s="1"/>
  <c r="X77" i="6"/>
  <c r="AF77" i="6"/>
  <c r="AH77" i="6"/>
  <c r="AD77" i="6"/>
  <c r="AB77" i="6"/>
  <c r="O88" i="8"/>
  <c r="P88" i="8" s="1"/>
  <c r="E88" i="8"/>
  <c r="G88" i="8"/>
  <c r="R88" i="8"/>
  <c r="S88" i="8" s="1"/>
  <c r="L88" i="8"/>
  <c r="M88" i="8" s="1"/>
  <c r="T88" i="8" s="1"/>
  <c r="C87" i="8"/>
  <c r="I29" i="9"/>
  <c r="B197" i="9"/>
  <c r="B8" i="9"/>
  <c r="B239" i="9"/>
  <c r="B155" i="9"/>
  <c r="B71" i="9"/>
  <c r="B281" i="9"/>
  <c r="B113" i="9"/>
  <c r="B29" i="9"/>
  <c r="B260" i="9"/>
  <c r="B176" i="9"/>
  <c r="B92" i="9"/>
  <c r="B302" i="9"/>
  <c r="B218" i="9"/>
  <c r="B134" i="9"/>
  <c r="B50" i="9"/>
  <c r="C150" i="8"/>
  <c r="E151" i="8"/>
  <c r="L151" i="8"/>
  <c r="M151" i="8" s="1"/>
  <c r="T151" i="8" s="1"/>
  <c r="R151" i="8"/>
  <c r="S151" i="8" s="1"/>
  <c r="G151" i="8"/>
  <c r="O151" i="8"/>
  <c r="P151" i="8" s="1"/>
  <c r="U5" i="8"/>
  <c r="T5" i="8"/>
  <c r="C192" i="8"/>
  <c r="E193" i="8"/>
  <c r="G193" i="8"/>
  <c r="R193" i="8"/>
  <c r="S193" i="8" s="1"/>
  <c r="L193" i="8"/>
  <c r="M193" i="8" s="1"/>
  <c r="T193" i="8" s="1"/>
  <c r="O193" i="8"/>
  <c r="P193" i="8" s="1"/>
  <c r="C191" i="8" l="1"/>
  <c r="E192" i="8"/>
  <c r="R192" i="8"/>
  <c r="S192" i="8" s="1"/>
  <c r="O192" i="8"/>
  <c r="P192" i="8" s="1"/>
  <c r="L192" i="8"/>
  <c r="M192" i="8" s="1"/>
  <c r="G192" i="8"/>
  <c r="T4" i="8"/>
  <c r="U4" i="8"/>
  <c r="AH76" i="6"/>
  <c r="X76" i="6"/>
  <c r="AB76" i="6"/>
  <c r="AF76" i="6"/>
  <c r="AD76" i="6"/>
  <c r="L87" i="8"/>
  <c r="M87" i="8" s="1"/>
  <c r="T87" i="8" s="1"/>
  <c r="E87" i="8"/>
  <c r="O87" i="8"/>
  <c r="P87" i="8" s="1"/>
  <c r="C86" i="8"/>
  <c r="G87" i="8"/>
  <c r="R87" i="8"/>
  <c r="S87" i="8" s="1"/>
  <c r="T25" i="8"/>
  <c r="C23" i="8"/>
  <c r="E24" i="8"/>
  <c r="G24" i="8"/>
  <c r="L24" i="8"/>
  <c r="M24" i="8" s="1"/>
  <c r="O24" i="8"/>
  <c r="P24" i="8" s="1"/>
  <c r="R24" i="8"/>
  <c r="S24" i="8" s="1"/>
  <c r="W4" i="8"/>
  <c r="E213" i="8"/>
  <c r="G213" i="8"/>
  <c r="C212" i="8"/>
  <c r="L213" i="8"/>
  <c r="M213" i="8" s="1"/>
  <c r="R213" i="8"/>
  <c r="S213" i="8" s="1"/>
  <c r="O213" i="8"/>
  <c r="P213" i="8" s="1"/>
  <c r="T109" i="8"/>
  <c r="C233" i="8"/>
  <c r="E234" i="8"/>
  <c r="L234" i="8"/>
  <c r="M234" i="8" s="1"/>
  <c r="R234" i="8"/>
  <c r="S234" i="8" s="1"/>
  <c r="G234" i="8"/>
  <c r="O234" i="8"/>
  <c r="P234" i="8" s="1"/>
  <c r="T67" i="8"/>
  <c r="V4" i="8"/>
  <c r="C2" i="8"/>
  <c r="E3" i="8"/>
  <c r="J2" i="8"/>
  <c r="H128" i="9" s="1"/>
  <c r="G128" i="9" s="1"/>
  <c r="G3" i="8"/>
  <c r="R3" i="8"/>
  <c r="S3" i="8" s="1"/>
  <c r="O3" i="8"/>
  <c r="P3" i="8" s="1"/>
  <c r="L3" i="8"/>
  <c r="M3" i="8" s="1"/>
  <c r="C128" i="8"/>
  <c r="E129" i="8"/>
  <c r="G129" i="8"/>
  <c r="O129" i="8"/>
  <c r="P129" i="8" s="1"/>
  <c r="L129" i="8"/>
  <c r="M129" i="8" s="1"/>
  <c r="T129" i="8" s="1"/>
  <c r="R129" i="8"/>
  <c r="S129" i="8" s="1"/>
  <c r="N75" i="6"/>
  <c r="O75" i="6" s="1"/>
  <c r="H75" i="6"/>
  <c r="C149" i="8"/>
  <c r="E150" i="8"/>
  <c r="G150" i="8"/>
  <c r="L150" i="8"/>
  <c r="M150" i="8" s="1"/>
  <c r="R150" i="8"/>
  <c r="S150" i="8" s="1"/>
  <c r="O150" i="8"/>
  <c r="P150" i="8" s="1"/>
  <c r="E171" i="8"/>
  <c r="O171" i="8"/>
  <c r="P171" i="8" s="1"/>
  <c r="G171" i="8"/>
  <c r="L171" i="8"/>
  <c r="M171" i="8" s="1"/>
  <c r="C170" i="8"/>
  <c r="R171" i="8"/>
  <c r="S171" i="8" s="1"/>
  <c r="T172" i="8"/>
  <c r="H4" i="8"/>
  <c r="G26" i="9"/>
  <c r="I5" i="8"/>
  <c r="T130" i="8"/>
  <c r="C44" i="8"/>
  <c r="E45" i="8"/>
  <c r="G45" i="8"/>
  <c r="R45" i="8"/>
  <c r="S45" i="8" s="1"/>
  <c r="O45" i="8"/>
  <c r="P45" i="8" s="1"/>
  <c r="L45" i="8"/>
  <c r="M45" i="8" s="1"/>
  <c r="E108" i="8"/>
  <c r="G108" i="8"/>
  <c r="O108" i="8"/>
  <c r="P108" i="8" s="1"/>
  <c r="R108" i="8"/>
  <c r="S108" i="8" s="1"/>
  <c r="C107" i="8"/>
  <c r="L108" i="8"/>
  <c r="M108" i="8" s="1"/>
  <c r="T108" i="8" s="1"/>
  <c r="I28" i="9"/>
  <c r="B301" i="9"/>
  <c r="B280" i="9"/>
  <c r="B259" i="9"/>
  <c r="B238" i="9"/>
  <c r="B217" i="9"/>
  <c r="B175" i="9"/>
  <c r="B154" i="9"/>
  <c r="B133" i="9"/>
  <c r="B112" i="9"/>
  <c r="B91" i="9"/>
  <c r="B70" i="9"/>
  <c r="B49" i="9"/>
  <c r="B28" i="9"/>
  <c r="B196" i="9"/>
  <c r="B7" i="9"/>
  <c r="H27" i="9"/>
  <c r="D74" i="6"/>
  <c r="E74" i="6" s="1"/>
  <c r="F74" i="6" s="1"/>
  <c r="C65" i="8"/>
  <c r="E66" i="8"/>
  <c r="G66" i="8"/>
  <c r="L66" i="8"/>
  <c r="M66" i="8" s="1"/>
  <c r="O66" i="8"/>
  <c r="P66" i="8" s="1"/>
  <c r="R66" i="8"/>
  <c r="S66" i="8" s="1"/>
  <c r="H74" i="6" l="1"/>
  <c r="N74" i="6"/>
  <c r="O74" i="6" s="1"/>
  <c r="T45" i="8"/>
  <c r="H26" i="9"/>
  <c r="D73" i="6"/>
  <c r="E73" i="6" s="1"/>
  <c r="F73" i="6" s="1"/>
  <c r="E170" i="8"/>
  <c r="O170" i="8"/>
  <c r="P170" i="8" s="1"/>
  <c r="G170" i="8"/>
  <c r="L170" i="8"/>
  <c r="M170" i="8" s="1"/>
  <c r="R170" i="8"/>
  <c r="S170" i="8" s="1"/>
  <c r="AB75" i="6"/>
  <c r="AD75" i="6"/>
  <c r="AH75" i="6"/>
  <c r="X75" i="6"/>
  <c r="AF75" i="6"/>
  <c r="V3" i="8"/>
  <c r="T24" i="8"/>
  <c r="O149" i="8"/>
  <c r="P149" i="8" s="1"/>
  <c r="E149" i="8"/>
  <c r="R149" i="8"/>
  <c r="S149" i="8" s="1"/>
  <c r="G149" i="8"/>
  <c r="L149" i="8"/>
  <c r="M149" i="8" s="1"/>
  <c r="H3" i="8"/>
  <c r="T66" i="8"/>
  <c r="I27" i="9"/>
  <c r="B195" i="9"/>
  <c r="B6" i="9"/>
  <c r="B300" i="9"/>
  <c r="B279" i="9"/>
  <c r="B258" i="9"/>
  <c r="B237" i="9"/>
  <c r="B216" i="9"/>
  <c r="B174" i="9"/>
  <c r="B153" i="9"/>
  <c r="B132" i="9"/>
  <c r="B111" i="9"/>
  <c r="B90" i="9"/>
  <c r="B69" i="9"/>
  <c r="B48" i="9"/>
  <c r="B27" i="9"/>
  <c r="G44" i="8"/>
  <c r="E44" i="8"/>
  <c r="L44" i="8"/>
  <c r="M44" i="8" s="1"/>
  <c r="R44" i="8"/>
  <c r="S44" i="8" s="1"/>
  <c r="O44" i="8"/>
  <c r="P44" i="8" s="1"/>
  <c r="G25" i="9"/>
  <c r="I4" i="8"/>
  <c r="T171" i="8"/>
  <c r="W3" i="8"/>
  <c r="O2" i="8"/>
  <c r="P2" i="8" s="1"/>
  <c r="E2" i="8"/>
  <c r="G2" i="8"/>
  <c r="H2" i="8" s="1"/>
  <c r="R2" i="8"/>
  <c r="S2" i="8" s="1"/>
  <c r="L2" i="8"/>
  <c r="M2" i="8" s="1"/>
  <c r="R233" i="8"/>
  <c r="S233" i="8" s="1"/>
  <c r="E233" i="8"/>
  <c r="O233" i="8"/>
  <c r="P233" i="8" s="1"/>
  <c r="L233" i="8"/>
  <c r="M233" i="8" s="1"/>
  <c r="T233" i="8" s="1"/>
  <c r="G233" i="8"/>
  <c r="T213" i="8"/>
  <c r="L128" i="8"/>
  <c r="M128" i="8" s="1"/>
  <c r="E128" i="8"/>
  <c r="G128" i="8"/>
  <c r="R128" i="8"/>
  <c r="S128" i="8" s="1"/>
  <c r="O128" i="8"/>
  <c r="P128" i="8" s="1"/>
  <c r="E212" i="8"/>
  <c r="R212" i="8"/>
  <c r="S212" i="8" s="1"/>
  <c r="L212" i="8"/>
  <c r="M212" i="8" s="1"/>
  <c r="T212" i="8" s="1"/>
  <c r="G212" i="8"/>
  <c r="O212" i="8"/>
  <c r="P212" i="8" s="1"/>
  <c r="L65" i="8"/>
  <c r="M65" i="8" s="1"/>
  <c r="E65" i="8"/>
  <c r="G65" i="8"/>
  <c r="R65" i="8"/>
  <c r="S65" i="8" s="1"/>
  <c r="O65" i="8"/>
  <c r="P65" i="8" s="1"/>
  <c r="E107" i="8"/>
  <c r="R107" i="8"/>
  <c r="S107" i="8" s="1"/>
  <c r="G107" i="8"/>
  <c r="L107" i="8"/>
  <c r="M107" i="8" s="1"/>
  <c r="O107" i="8"/>
  <c r="P107" i="8" s="1"/>
  <c r="T150" i="8"/>
  <c r="U3" i="8"/>
  <c r="T3" i="8"/>
  <c r="T234" i="8"/>
  <c r="G23" i="8"/>
  <c r="E23" i="8"/>
  <c r="L23" i="8"/>
  <c r="M23" i="8" s="1"/>
  <c r="R23" i="8"/>
  <c r="S23" i="8" s="1"/>
  <c r="O23" i="8"/>
  <c r="P23" i="8" s="1"/>
  <c r="R86" i="8"/>
  <c r="S86" i="8" s="1"/>
  <c r="E86" i="8"/>
  <c r="O86" i="8"/>
  <c r="P86" i="8" s="1"/>
  <c r="G86" i="8"/>
  <c r="L86" i="8"/>
  <c r="M86" i="8" s="1"/>
  <c r="T192" i="8"/>
  <c r="L191" i="8"/>
  <c r="M191" i="8" s="1"/>
  <c r="E191" i="8"/>
  <c r="G191" i="8"/>
  <c r="O191" i="8"/>
  <c r="P191" i="8" s="1"/>
  <c r="R191" i="8"/>
  <c r="S191" i="8" s="1"/>
  <c r="G23" i="9" l="1"/>
  <c r="I2" i="8"/>
  <c r="I26" i="9"/>
  <c r="B299" i="9"/>
  <c r="B278" i="9"/>
  <c r="B257" i="9"/>
  <c r="B236" i="9"/>
  <c r="B215" i="9"/>
  <c r="B173" i="9"/>
  <c r="B152" i="9"/>
  <c r="B131" i="9"/>
  <c r="B110" i="9"/>
  <c r="B89" i="9"/>
  <c r="B68" i="9"/>
  <c r="B47" i="9"/>
  <c r="B26" i="9"/>
  <c r="B194" i="9"/>
  <c r="B5" i="9"/>
  <c r="T23" i="8"/>
  <c r="T107" i="8"/>
  <c r="T65" i="8"/>
  <c r="T44" i="8"/>
  <c r="G24" i="9"/>
  <c r="I3" i="8"/>
  <c r="T86" i="8"/>
  <c r="T2" i="8"/>
  <c r="U2" i="8"/>
  <c r="V2" i="8"/>
  <c r="H25" i="9"/>
  <c r="D72" i="6"/>
  <c r="E72" i="6" s="1"/>
  <c r="F72" i="6" s="1"/>
  <c r="T149" i="8"/>
  <c r="AH74" i="6"/>
  <c r="X74" i="6"/>
  <c r="AF74" i="6"/>
  <c r="AB74" i="6"/>
  <c r="AD74" i="6"/>
  <c r="T191" i="8"/>
  <c r="T128" i="8"/>
  <c r="W2" i="8"/>
  <c r="T170" i="8"/>
  <c r="N71" i="6"/>
  <c r="O71" i="6" s="1"/>
  <c r="N73" i="6"/>
  <c r="O73" i="6" s="1"/>
  <c r="N70" i="6"/>
  <c r="O70" i="6" s="1"/>
  <c r="H73" i="6"/>
  <c r="AB73" i="6" l="1"/>
  <c r="X73" i="6"/>
  <c r="AD73" i="6"/>
  <c r="AF73" i="6"/>
  <c r="AH73" i="6"/>
  <c r="AH70" i="6"/>
  <c r="AD70" i="6"/>
  <c r="X70" i="6"/>
  <c r="AB70" i="6"/>
  <c r="AF70" i="6"/>
  <c r="H24" i="9"/>
  <c r="D71" i="6"/>
  <c r="E71" i="6" s="1"/>
  <c r="F71" i="6" s="1"/>
  <c r="H71" i="6" s="1"/>
  <c r="N72" i="6"/>
  <c r="O72" i="6" s="1"/>
  <c r="H72" i="6"/>
  <c r="AF71" i="6"/>
  <c r="AD71" i="6"/>
  <c r="X71" i="6"/>
  <c r="AB71" i="6"/>
  <c r="AH71" i="6"/>
  <c r="I25" i="9"/>
  <c r="B193" i="9"/>
  <c r="B4" i="9"/>
  <c r="B298" i="9"/>
  <c r="B214" i="9"/>
  <c r="B130" i="9"/>
  <c r="B46" i="9"/>
  <c r="B256" i="9"/>
  <c r="B172" i="9"/>
  <c r="B88" i="9"/>
  <c r="B235" i="9"/>
  <c r="B151" i="9"/>
  <c r="B67" i="9"/>
  <c r="B25" i="9"/>
  <c r="B277" i="9"/>
  <c r="B109" i="9"/>
  <c r="H23" i="9"/>
  <c r="D70" i="6"/>
  <c r="E70" i="6" s="1"/>
  <c r="F70" i="6" s="1"/>
  <c r="H70" i="6" s="1"/>
  <c r="I23" i="9" l="1"/>
  <c r="B296" i="9"/>
  <c r="B275" i="9"/>
  <c r="B254" i="9"/>
  <c r="B233" i="9"/>
  <c r="B212" i="9"/>
  <c r="B191" i="9"/>
  <c r="B170" i="9"/>
  <c r="B149" i="9"/>
  <c r="B128" i="9"/>
  <c r="B107" i="9"/>
  <c r="B86" i="9"/>
  <c r="B65" i="9"/>
  <c r="B44" i="9"/>
  <c r="B23" i="9"/>
  <c r="B2" i="9"/>
  <c r="I24" i="9"/>
  <c r="B297" i="9"/>
  <c r="B276" i="9"/>
  <c r="B255" i="9"/>
  <c r="B234" i="9"/>
  <c r="B213" i="9"/>
  <c r="B171" i="9"/>
  <c r="B150" i="9"/>
  <c r="B129" i="9"/>
  <c r="B108" i="9"/>
  <c r="B87" i="9"/>
  <c r="B66" i="9"/>
  <c r="B45" i="9"/>
  <c r="B24" i="9"/>
  <c r="B3" i="9"/>
  <c r="B192" i="9"/>
  <c r="AD72" i="6"/>
  <c r="X72" i="6"/>
  <c r="AB72" i="6"/>
  <c r="AF72" i="6"/>
  <c r="AH72" i="6"/>
</calcChain>
</file>

<file path=xl/sharedStrings.xml><?xml version="1.0" encoding="utf-8"?>
<sst xmlns="http://schemas.openxmlformats.org/spreadsheetml/2006/main" count="680" uniqueCount="490">
  <si>
    <t>战斗核心基础公式设计</t>
    <phoneticPr fontId="1" type="noConversion"/>
  </si>
  <si>
    <t>军团基础攻击力</t>
  </si>
  <si>
    <t>军团基础攻击力</t>
    <phoneticPr fontId="1" type="noConversion"/>
  </si>
  <si>
    <t>概述：该攻击力由军团内每个兵的攻击力加成得到，基本思路为兵力越多，基础攻击力越高。</t>
    <phoneticPr fontId="1" type="noConversion"/>
  </si>
  <si>
    <t>单位兵的攻击力</t>
  </si>
  <si>
    <t>具体可见表格设计</t>
    <phoneticPr fontId="1" type="noConversion"/>
  </si>
  <si>
    <t>概述：类似三国志9中武将的统帅，决定兵团的部分攻击力</t>
    <phoneticPr fontId="1" type="noConversion"/>
  </si>
  <si>
    <t>兵团士气</t>
  </si>
  <si>
    <t>军团基础防御力</t>
    <phoneticPr fontId="1" type="noConversion"/>
  </si>
  <si>
    <t>单位兵的防御力</t>
  </si>
  <si>
    <t>设计见表格</t>
    <phoneticPr fontId="1" type="noConversion"/>
  </si>
  <si>
    <t>攻击力</t>
    <phoneticPr fontId="1" type="noConversion"/>
  </si>
  <si>
    <t>军团攻击力</t>
    <phoneticPr fontId="1" type="noConversion"/>
  </si>
  <si>
    <t>武将统帅力</t>
    <phoneticPr fontId="1" type="noConversion"/>
  </si>
  <si>
    <t>取值范围：30-150</t>
    <phoneticPr fontId="1" type="noConversion"/>
  </si>
  <si>
    <t>军团攻击力=武将统帅力+军团基础攻击力+兵团士气</t>
    <phoneticPr fontId="1" type="noConversion"/>
  </si>
  <si>
    <t>取值范围：0-150</t>
    <phoneticPr fontId="1" type="noConversion"/>
  </si>
  <si>
    <t>取值范围：0-100</t>
    <phoneticPr fontId="1" type="noConversion"/>
  </si>
  <si>
    <t>概述：基本类似三国志9中的士气概念</t>
    <phoneticPr fontId="1" type="noConversion"/>
  </si>
  <si>
    <t>取值范围：30-400</t>
    <phoneticPr fontId="1" type="noConversion"/>
  </si>
  <si>
    <t>军团防御力</t>
    <phoneticPr fontId="1" type="noConversion"/>
  </si>
  <si>
    <t>军团防御力=武将统帅力+军团基础防御力+兵团士气</t>
    <phoneticPr fontId="1" type="noConversion"/>
  </si>
  <si>
    <t>伤害计算</t>
    <phoneticPr fontId="1" type="noConversion"/>
  </si>
  <si>
    <t>力量方差因子</t>
    <phoneticPr fontId="1" type="noConversion"/>
  </si>
  <si>
    <t>兵力数量级因子</t>
  </si>
  <si>
    <t>攻击力绝对伤害指数</t>
    <phoneticPr fontId="1" type="noConversion"/>
  </si>
  <si>
    <t>攻击力绝对伤害因子</t>
    <phoneticPr fontId="1" type="noConversion"/>
  </si>
  <si>
    <t>同等兵力伤害值</t>
    <phoneticPr fontId="1" type="noConversion"/>
  </si>
  <si>
    <t>同等兵力造成的伤害比率</t>
    <phoneticPr fontId="1" type="noConversion"/>
  </si>
  <si>
    <t>5000兵力进攻攻防伤害指数</t>
    <phoneticPr fontId="1" type="noConversion"/>
  </si>
  <si>
    <t>5000兵力防守攻防伤害指数</t>
    <phoneticPr fontId="1" type="noConversion"/>
  </si>
  <si>
    <t>同等兵力伤害指数</t>
    <phoneticPr fontId="1" type="noConversion"/>
  </si>
  <si>
    <t>设统帅为100，士气为100</t>
    <phoneticPr fontId="1" type="noConversion"/>
  </si>
  <si>
    <t>统帅士气+150</t>
    <phoneticPr fontId="1" type="noConversion"/>
  </si>
  <si>
    <t>力量方差调节因子</t>
    <phoneticPr fontId="1" type="noConversion"/>
  </si>
  <si>
    <t>同等兵力受伤害指数</t>
    <phoneticPr fontId="1" type="noConversion"/>
  </si>
  <si>
    <t>同等兵力受伤害值</t>
    <phoneticPr fontId="1" type="noConversion"/>
  </si>
  <si>
    <t>同等兵力受伤害比率</t>
    <phoneticPr fontId="1" type="noConversion"/>
  </si>
  <si>
    <t>速度</t>
    <phoneticPr fontId="1" type="noConversion"/>
  </si>
  <si>
    <t>每回合攻击次数</t>
    <phoneticPr fontId="1" type="noConversion"/>
  </si>
  <si>
    <t>军团攻击力调节因子</t>
    <phoneticPr fontId="1" type="noConversion"/>
  </si>
  <si>
    <t>范围</t>
    <phoneticPr fontId="1" type="noConversion"/>
  </si>
  <si>
    <t>防御力</t>
    <phoneticPr fontId="1" type="noConversion"/>
  </si>
  <si>
    <t>范围获得的加成数</t>
    <phoneticPr fontId="1" type="noConversion"/>
  </si>
  <si>
    <t>兵种范围属性</t>
    <phoneticPr fontId="1" type="noConversion"/>
  </si>
  <si>
    <t>获得的额外攻击次数</t>
  </si>
  <si>
    <t>解释</t>
    <phoneticPr fontId="1" type="noConversion"/>
  </si>
  <si>
    <t>中间可以放枪兵、工兵或者骑兵，防护可能更大</t>
    <phoneticPr fontId="1" type="noConversion"/>
  </si>
  <si>
    <t>后期加成效果成长不会变快</t>
    <phoneticPr fontId="1" type="noConversion"/>
  </si>
  <si>
    <t>士兵战力值</t>
    <phoneticPr fontId="1" type="noConversion"/>
  </si>
  <si>
    <t>攻击力绝对伤害指数</t>
    <phoneticPr fontId="1" type="noConversion"/>
  </si>
  <si>
    <t>攻击力绝对受伤害指数</t>
    <phoneticPr fontId="1" type="noConversion"/>
  </si>
  <si>
    <t>士兵战力值</t>
    <phoneticPr fontId="1" type="noConversion"/>
  </si>
  <si>
    <t>0级士兵配置</t>
    <phoneticPr fontId="1" type="noConversion"/>
  </si>
  <si>
    <t>0级士兵</t>
    <phoneticPr fontId="1" type="noConversion"/>
  </si>
  <si>
    <t>士兵战力值=(当前士兵造成的伤害-0级士兵造成的伤害) + (0级士兵受到的损害-当前士兵受到的损害)</t>
    <phoneticPr fontId="1" type="noConversion"/>
  </si>
  <si>
    <t>以上作战对手均为0级士兵</t>
    <phoneticPr fontId="1" type="noConversion"/>
  </si>
  <si>
    <t>获得的额外攻击优势</t>
    <phoneticPr fontId="1" type="noConversion"/>
  </si>
  <si>
    <t>同等级攻击指数</t>
    <phoneticPr fontId="1" type="noConversion"/>
  </si>
  <si>
    <t>同等级防御指数</t>
    <phoneticPr fontId="1" type="noConversion"/>
  </si>
  <si>
    <t>同等兵力受到伤害值</t>
    <phoneticPr fontId="1" type="noConversion"/>
  </si>
  <si>
    <t>敌方攻击力绝对指数</t>
    <phoneticPr fontId="1" type="noConversion"/>
  </si>
  <si>
    <t>中间可以放枪兵或者工兵，本兵种获得防护效果估算为多了30%攻击次数</t>
    <phoneticPr fontId="1" type="noConversion"/>
  </si>
  <si>
    <t>同等兵力受到的伤害比率</t>
    <phoneticPr fontId="1" type="noConversion"/>
  </si>
  <si>
    <t>解释</t>
    <phoneticPr fontId="1" type="noConversion"/>
  </si>
  <si>
    <t>定义：攻击力，防御力为0，速度为125(px/30s)，攻击速度3(次/s)，攻击范围1(格)</t>
    <phoneticPr fontId="1" type="noConversion"/>
  </si>
  <si>
    <t>未知</t>
    <phoneticPr fontId="1" type="noConversion"/>
  </si>
  <si>
    <t>兵种速度属性(px/30s)</t>
    <phoneticPr fontId="1" type="noConversion"/>
  </si>
  <si>
    <t>速度获得的加成数</t>
    <phoneticPr fontId="1" type="noConversion"/>
  </si>
  <si>
    <t>目标战力值</t>
    <phoneticPr fontId="1" type="noConversion"/>
  </si>
  <si>
    <t>攻击间隔</t>
    <phoneticPr fontId="1" type="noConversion"/>
  </si>
  <si>
    <t>1格范围只能打四向的敌对，是个很大的弱项</t>
    <phoneticPr fontId="1" type="noConversion"/>
  </si>
  <si>
    <t>特点</t>
    <phoneticPr fontId="1" type="noConversion"/>
  </si>
  <si>
    <t>特点</t>
    <phoneticPr fontId="1" type="noConversion"/>
  </si>
  <si>
    <t>枪兵</t>
    <phoneticPr fontId="1" type="noConversion"/>
  </si>
  <si>
    <t>特点</t>
    <phoneticPr fontId="1" type="noConversion"/>
  </si>
  <si>
    <t>长牌兵</t>
    <phoneticPr fontId="1" type="noConversion"/>
  </si>
  <si>
    <t>重牌兵</t>
    <phoneticPr fontId="1" type="noConversion"/>
  </si>
  <si>
    <t>轻骑兵</t>
    <phoneticPr fontId="1" type="noConversion"/>
  </si>
  <si>
    <t>虎豹骑</t>
    <phoneticPr fontId="1" type="noConversion"/>
  </si>
  <si>
    <t>军团攻击力调节因子</t>
  </si>
  <si>
    <t>军团攻击力调节因子</t>
    <phoneticPr fontId="1" type="noConversion"/>
  </si>
  <si>
    <t>力量方差调节因子</t>
  </si>
  <si>
    <t>力量方差因子</t>
    <phoneticPr fontId="1" type="noConversion"/>
  </si>
  <si>
    <t>攻击力绝对伤害因子</t>
    <phoneticPr fontId="1" type="noConversion"/>
  </si>
  <si>
    <t>兵力数量级因子</t>
    <phoneticPr fontId="1" type="noConversion"/>
  </si>
  <si>
    <t>军团基础防御力=(单位兵的防御力/1000*兵力)^军团防御力调节因子</t>
    <phoneticPr fontId="1" type="noConversion"/>
  </si>
  <si>
    <t>军团基础攻击力=(单位兵的攻击力/100*兵力)^军团攻击力调节因子</t>
    <phoneticPr fontId="1" type="noConversion"/>
  </si>
  <si>
    <t>武将武力</t>
    <phoneticPr fontId="1" type="noConversion"/>
  </si>
  <si>
    <t>武力绝对伤害值</t>
  </si>
  <si>
    <t>武力相对伤害值</t>
  </si>
  <si>
    <t>MAX武力绝对伤害值</t>
    <phoneticPr fontId="1" type="noConversion"/>
  </si>
  <si>
    <t>MIN武力绝对伤害值</t>
    <phoneticPr fontId="1" type="noConversion"/>
  </si>
  <si>
    <t>MIN武力相对伤害值</t>
    <phoneticPr fontId="1" type="noConversion"/>
  </si>
  <si>
    <t>MAX武力相对伤害值</t>
    <phoneticPr fontId="1" type="noConversion"/>
  </si>
  <si>
    <t>兵法基础伤害</t>
    <phoneticPr fontId="1" type="noConversion"/>
  </si>
  <si>
    <t>MIN武将武力</t>
    <phoneticPr fontId="1" type="noConversion"/>
  </si>
  <si>
    <t>MAX武将武力</t>
    <phoneticPr fontId="1" type="noConversion"/>
  </si>
  <si>
    <t>绝对武力方差调节因子</t>
    <phoneticPr fontId="1" type="noConversion"/>
  </si>
  <si>
    <t>绝对武力方差因子</t>
  </si>
  <si>
    <t>绝对武力方差因子</t>
    <phoneticPr fontId="1" type="noConversion"/>
  </si>
  <si>
    <t>相对武力方差调节因子</t>
  </si>
  <si>
    <t>相对武力方差调节因子</t>
    <phoneticPr fontId="1" type="noConversion"/>
  </si>
  <si>
    <t>相对武力方差因子</t>
  </si>
  <si>
    <t>相对武力方差因子</t>
    <phoneticPr fontId="1" type="noConversion"/>
  </si>
  <si>
    <t>MIN兵法伤害值</t>
    <phoneticPr fontId="1" type="noConversion"/>
  </si>
  <si>
    <t>MAX兵法伤害值</t>
    <phoneticPr fontId="1" type="noConversion"/>
  </si>
  <si>
    <t>兵法熟练度等级</t>
    <phoneticPr fontId="1" type="noConversion"/>
  </si>
  <si>
    <t>兵法触发概率</t>
    <phoneticPr fontId="1" type="noConversion"/>
  </si>
  <si>
    <t>兵法伤害占比</t>
    <phoneticPr fontId="1" type="noConversion"/>
  </si>
  <si>
    <t>战法伤害值</t>
    <phoneticPr fontId="1" type="noConversion"/>
  </si>
  <si>
    <t>战法仅在兵团射程范围内触发，每个攻击回合，检查触发概率</t>
    <phoneticPr fontId="1" type="noConversion"/>
  </si>
  <si>
    <t>短弓兵</t>
    <phoneticPr fontId="1" type="noConversion"/>
  </si>
  <si>
    <t>长弓兵</t>
    <phoneticPr fontId="1" type="noConversion"/>
  </si>
  <si>
    <t>连弩兵</t>
    <phoneticPr fontId="1" type="noConversion"/>
  </si>
  <si>
    <t>兵法基础触发概率</t>
    <phoneticPr fontId="1" type="noConversion"/>
  </si>
  <si>
    <t>战法伤害值=武力绝对伤害值+武力相对伤害值</t>
    <phoneticPr fontId="1" type="noConversion"/>
  </si>
  <si>
    <t>兵力</t>
    <phoneticPr fontId="1" type="noConversion"/>
  </si>
  <si>
    <t>武力绝对伤害值=兵法基础伤害值/10*(武将武力+绝对武力方差调节因子)^2/绝对武力方差因子*(我方兵力+敌方兵力)/兵力数量级因子</t>
    <phoneticPr fontId="1" type="noConversion"/>
  </si>
  <si>
    <t>武力相对伤害值=兵法基础伤害值/10*(我方武将武力-敌方武将武力+相对武力方差调节因子)^2/相对武力方差因子*(我方兵力+敌方兵力)/兵力数量级因子</t>
    <phoneticPr fontId="1" type="noConversion"/>
  </si>
  <si>
    <t>战法一回合的期望伤害值</t>
    <phoneticPr fontId="1" type="noConversion"/>
  </si>
  <si>
    <t>战法触发概率</t>
    <phoneticPr fontId="1" type="noConversion"/>
  </si>
  <si>
    <t>战法一回合的期望伤害值=战法触发概率*战法伤害值*60%</t>
    <phoneticPr fontId="1" type="noConversion"/>
  </si>
  <si>
    <t>这里估计平均每回合接触的军队占总军队的60%</t>
    <phoneticPr fontId="1" type="noConversion"/>
  </si>
  <si>
    <t>产出</t>
    <phoneticPr fontId="1" type="noConversion"/>
  </si>
  <si>
    <t>等级</t>
    <phoneticPr fontId="1" type="noConversion"/>
  </si>
  <si>
    <t>每小时产出量</t>
    <phoneticPr fontId="1" type="noConversion"/>
  </si>
  <si>
    <t>单位产出量(s)</t>
    <phoneticPr fontId="1" type="noConversion"/>
  </si>
  <si>
    <t>消耗</t>
    <phoneticPr fontId="1" type="noConversion"/>
  </si>
  <si>
    <t>每天产出量</t>
    <phoneticPr fontId="1" type="noConversion"/>
  </si>
  <si>
    <t>储藏总量(3天)</t>
    <phoneticPr fontId="1" type="noConversion"/>
  </si>
  <si>
    <t>产地数</t>
    <phoneticPr fontId="1" type="noConversion"/>
  </si>
  <si>
    <t>每天总产量</t>
    <phoneticPr fontId="1" type="noConversion"/>
  </si>
  <si>
    <t>屌丝玩家</t>
    <phoneticPr fontId="1" type="noConversion"/>
  </si>
  <si>
    <t>中产阶级</t>
    <phoneticPr fontId="1" type="noConversion"/>
  </si>
  <si>
    <t>高富帅</t>
    <phoneticPr fontId="1" type="noConversion"/>
  </si>
  <si>
    <t>粮食的消耗</t>
    <phoneticPr fontId="1" type="noConversion"/>
  </si>
  <si>
    <t>木材的消耗</t>
    <phoneticPr fontId="1" type="noConversion"/>
  </si>
  <si>
    <t>铁矿的消耗</t>
    <phoneticPr fontId="1" type="noConversion"/>
  </si>
  <si>
    <t>建造</t>
    <phoneticPr fontId="1" type="noConversion"/>
  </si>
  <si>
    <t>部队运输</t>
    <phoneticPr fontId="1" type="noConversion"/>
  </si>
  <si>
    <t>训练</t>
    <phoneticPr fontId="1" type="noConversion"/>
  </si>
  <si>
    <t>人口的基本消费</t>
    <phoneticPr fontId="1" type="noConversion"/>
  </si>
  <si>
    <t>科研</t>
    <phoneticPr fontId="1" type="noConversion"/>
  </si>
  <si>
    <t>城防</t>
    <phoneticPr fontId="1" type="noConversion"/>
  </si>
  <si>
    <t>游戏时间(天)</t>
    <phoneticPr fontId="1" type="noConversion"/>
  </si>
  <si>
    <t>升级需要时间(天)</t>
    <phoneticPr fontId="1" type="noConversion"/>
  </si>
  <si>
    <t>当前总产出</t>
    <phoneticPr fontId="1" type="noConversion"/>
  </si>
  <si>
    <t>建造配比</t>
    <phoneticPr fontId="1" type="noConversion"/>
  </si>
  <si>
    <t>部队运输</t>
    <phoneticPr fontId="1" type="noConversion"/>
  </si>
  <si>
    <t>部队运输配比</t>
    <phoneticPr fontId="1" type="noConversion"/>
  </si>
  <si>
    <t>训练</t>
    <phoneticPr fontId="1" type="noConversion"/>
  </si>
  <si>
    <t>训练配比</t>
    <phoneticPr fontId="1" type="noConversion"/>
  </si>
  <si>
    <t>人口消费配比</t>
    <phoneticPr fontId="1" type="noConversion"/>
  </si>
  <si>
    <t>科研配比</t>
    <phoneticPr fontId="1" type="noConversion"/>
  </si>
  <si>
    <t>城防配比</t>
    <phoneticPr fontId="1" type="noConversion"/>
  </si>
  <si>
    <t>农田</t>
    <phoneticPr fontId="1" type="noConversion"/>
  </si>
  <si>
    <t>矿场</t>
  </si>
  <si>
    <t>伐木场</t>
    <phoneticPr fontId="1" type="noConversion"/>
  </si>
  <si>
    <t>建筑</t>
    <phoneticPr fontId="1" type="noConversion"/>
  </si>
  <si>
    <t>等级</t>
    <phoneticPr fontId="1" type="noConversion"/>
  </si>
  <si>
    <t>钻石消耗</t>
  </si>
  <si>
    <t>人口消耗</t>
  </si>
  <si>
    <t>黄金消耗</t>
  </si>
  <si>
    <t>粮食消耗</t>
  </si>
  <si>
    <t>技术需求</t>
  </si>
  <si>
    <t>建筑需求</t>
  </si>
  <si>
    <t>屋舍</t>
  </si>
  <si>
    <t>税率</t>
    <phoneticPr fontId="1" type="noConversion"/>
  </si>
  <si>
    <t>黄金的消耗</t>
    <phoneticPr fontId="1" type="noConversion"/>
  </si>
  <si>
    <t>科研</t>
    <phoneticPr fontId="1" type="noConversion"/>
  </si>
  <si>
    <t>武将招募</t>
    <phoneticPr fontId="1" type="noConversion"/>
  </si>
  <si>
    <t>武将赏赐</t>
    <phoneticPr fontId="1" type="noConversion"/>
  </si>
  <si>
    <t>各种加成</t>
    <phoneticPr fontId="1" type="noConversion"/>
  </si>
  <si>
    <t>武将技能</t>
    <phoneticPr fontId="1" type="noConversion"/>
  </si>
  <si>
    <t>武将俸禄</t>
    <phoneticPr fontId="1" type="noConversion"/>
  </si>
  <si>
    <t>俸禄配比</t>
    <phoneticPr fontId="1" type="noConversion"/>
  </si>
  <si>
    <t>招募配比</t>
    <phoneticPr fontId="1" type="noConversion"/>
  </si>
  <si>
    <t>赏赐配比</t>
    <phoneticPr fontId="1" type="noConversion"/>
  </si>
  <si>
    <t>技能习得配比</t>
    <phoneticPr fontId="1" type="noConversion"/>
  </si>
  <si>
    <t>黄金做成稀缺资源，因此产出只是消耗的65%</t>
    <phoneticPr fontId="1" type="noConversion"/>
  </si>
  <si>
    <t>铁矿消耗</t>
    <phoneticPr fontId="1" type="noConversion"/>
  </si>
  <si>
    <t>木材消耗</t>
    <phoneticPr fontId="1" type="noConversion"/>
  </si>
  <si>
    <t>矿场</t>
    <phoneticPr fontId="1" type="noConversion"/>
  </si>
  <si>
    <t>酒馆(招募好汉)</t>
    <phoneticPr fontId="1" type="noConversion"/>
  </si>
  <si>
    <t>刊造雕刻营(科技馆)</t>
    <phoneticPr fontId="1" type="noConversion"/>
  </si>
  <si>
    <t>聚义堂(主基地)</t>
    <phoneticPr fontId="1" type="noConversion"/>
  </si>
  <si>
    <t>栅栏</t>
    <phoneticPr fontId="1" type="noConversion"/>
  </si>
  <si>
    <t>粮食配比</t>
    <phoneticPr fontId="1" type="noConversion"/>
  </si>
  <si>
    <t>木材配比</t>
    <phoneticPr fontId="1" type="noConversion"/>
  </si>
  <si>
    <t>铁矿配比</t>
    <phoneticPr fontId="1" type="noConversion"/>
  </si>
  <si>
    <t>黄金配比</t>
    <phoneticPr fontId="1" type="noConversion"/>
  </si>
  <si>
    <t>黄金</t>
    <phoneticPr fontId="1" type="noConversion"/>
  </si>
  <si>
    <t>攻防弱，速度适中，攻击范围较大</t>
    <phoneticPr fontId="1" type="noConversion"/>
  </si>
  <si>
    <t>攻击较弱，防御弱，速度较慢，攻击范围小</t>
    <phoneticPr fontId="1" type="noConversion"/>
  </si>
  <si>
    <t>攻防弱，速度最快，攻击范围小</t>
    <phoneticPr fontId="1" type="noConversion"/>
  </si>
  <si>
    <t>攻高，防御适中，速度快，攻击范围小</t>
    <phoneticPr fontId="1" type="noConversion"/>
  </si>
  <si>
    <t>攻击防御适中，速度较慢，攻击范围最大</t>
    <phoneticPr fontId="1" type="noConversion"/>
  </si>
  <si>
    <t>攻击力高，防御适中，速度较快，范围非常大</t>
    <phoneticPr fontId="1" type="noConversion"/>
  </si>
  <si>
    <t>攻防适中，速度适中，攻击范围适中</t>
    <phoneticPr fontId="1" type="noConversion"/>
  </si>
  <si>
    <t>攻防极高，速度较快，攻击范围最小</t>
    <phoneticPr fontId="1" type="noConversion"/>
  </si>
  <si>
    <t>攻防适中，速度快，攻击范围最小</t>
    <phoneticPr fontId="1" type="noConversion"/>
  </si>
  <si>
    <t>城防投手</t>
    <phoneticPr fontId="1" type="noConversion"/>
  </si>
  <si>
    <t>城防射手</t>
    <phoneticPr fontId="1" type="noConversion"/>
  </si>
  <si>
    <t>城防炮手</t>
    <phoneticPr fontId="1" type="noConversion"/>
  </si>
  <si>
    <t>短弓兵</t>
  </si>
  <si>
    <t>长弓兵</t>
  </si>
  <si>
    <t>连弩兵</t>
  </si>
  <si>
    <t>枪兵</t>
  </si>
  <si>
    <t>长牌兵</t>
  </si>
  <si>
    <t>重牌兵</t>
  </si>
  <si>
    <t>轻骑兵</t>
  </si>
  <si>
    <t>重骑兵</t>
  </si>
  <si>
    <t>重骑兵</t>
    <phoneticPr fontId="1" type="noConversion"/>
  </si>
  <si>
    <t>虎豹骑</t>
  </si>
  <si>
    <t>城防投手</t>
  </si>
  <si>
    <t>城防射手</t>
  </si>
  <si>
    <t>城防炮手</t>
  </si>
  <si>
    <t>粮食</t>
    <phoneticPr fontId="1" type="noConversion"/>
  </si>
  <si>
    <t>木材</t>
    <phoneticPr fontId="1" type="noConversion"/>
  </si>
  <si>
    <t>战法下一级伤害是前一级的倍数</t>
    <phoneticPr fontId="1" type="noConversion"/>
  </si>
  <si>
    <t>兵法发动估算概率</t>
    <phoneticPr fontId="1" type="noConversion"/>
  </si>
  <si>
    <t>兵法伤害值</t>
    <phoneticPr fontId="1" type="noConversion"/>
  </si>
  <si>
    <t>兵法伤害期望值</t>
  </si>
  <si>
    <t>武将携带兵法加成均摊概率估算(平均每场战斗携带两个兵法技能)</t>
    <phoneticPr fontId="1" type="noConversion"/>
  </si>
  <si>
    <t>兵法战场触发概率估算</t>
    <phoneticPr fontId="1" type="noConversion"/>
  </si>
  <si>
    <t>攻击范围</t>
    <phoneticPr fontId="1" type="noConversion"/>
  </si>
  <si>
    <t>攻击面积</t>
    <phoneticPr fontId="1" type="noConversion"/>
  </si>
  <si>
    <t>士兵攻击范围触发战法概率调节因子</t>
    <phoneticPr fontId="1" type="noConversion"/>
  </si>
  <si>
    <t>战法触发概率加成</t>
    <phoneticPr fontId="1" type="noConversion"/>
  </si>
  <si>
    <t>黄金的产出占消耗配比</t>
    <phoneticPr fontId="1" type="noConversion"/>
  </si>
  <si>
    <t>黄金100%产出即消耗量</t>
    <phoneticPr fontId="1" type="noConversion"/>
  </si>
  <si>
    <t>兵力估算</t>
    <phoneticPr fontId="1" type="noConversion"/>
  </si>
  <si>
    <t>占粮食训练总消耗百分比</t>
    <phoneticPr fontId="1" type="noConversion"/>
  </si>
  <si>
    <t>占木材训练总消耗百分比</t>
    <phoneticPr fontId="1" type="noConversion"/>
  </si>
  <si>
    <t>铁矿</t>
    <phoneticPr fontId="1" type="noConversion"/>
  </si>
  <si>
    <t>占铁矿训练总消耗百分比</t>
    <phoneticPr fontId="1" type="noConversion"/>
  </si>
  <si>
    <t>所有兵种占粮食比</t>
    <phoneticPr fontId="1" type="noConversion"/>
  </si>
  <si>
    <t>所有兵种占木材比</t>
    <phoneticPr fontId="1" type="noConversion"/>
  </si>
  <si>
    <t>所有兵种占铁矿比</t>
    <phoneticPr fontId="1" type="noConversion"/>
  </si>
  <si>
    <t>单位兵粮食</t>
    <phoneticPr fontId="1" type="noConversion"/>
  </si>
  <si>
    <t>单位兵木材</t>
    <phoneticPr fontId="1" type="noConversion"/>
  </si>
  <si>
    <t>单位兵铁矿</t>
    <phoneticPr fontId="1" type="noConversion"/>
  </si>
  <si>
    <t>百分比总消耗</t>
    <phoneticPr fontId="1" type="noConversion"/>
  </si>
  <si>
    <t>总资源单位产出量</t>
    <phoneticPr fontId="1" type="noConversion"/>
  </si>
  <si>
    <t>初始给予资源(训练)</t>
    <phoneticPr fontId="1" type="noConversion"/>
  </si>
  <si>
    <t>粮食</t>
    <phoneticPr fontId="1" type="noConversion"/>
  </si>
  <si>
    <t>木材</t>
    <phoneticPr fontId="1" type="noConversion"/>
  </si>
  <si>
    <t>铁矿</t>
    <phoneticPr fontId="1" type="noConversion"/>
  </si>
  <si>
    <t>单位兵人口</t>
    <phoneticPr fontId="1" type="noConversion"/>
  </si>
  <si>
    <t>单位兵训练时间(s/人)</t>
    <phoneticPr fontId="1" type="noConversion"/>
  </si>
  <si>
    <t>总兵人口</t>
    <phoneticPr fontId="1" type="noConversion"/>
  </si>
  <si>
    <t>500兵力进攻其他伤害值</t>
    <phoneticPr fontId="1" type="noConversion"/>
  </si>
  <si>
    <t>500兵力进攻伤害比率</t>
    <phoneticPr fontId="1" type="noConversion"/>
  </si>
  <si>
    <t>500兵力防守受伤害值</t>
    <phoneticPr fontId="1" type="noConversion"/>
  </si>
  <si>
    <t>500兵力防守受伤害比率</t>
    <phoneticPr fontId="1" type="noConversion"/>
  </si>
  <si>
    <t>平均总人口(各兵种平均)</t>
    <phoneticPr fontId="1" type="noConversion"/>
  </si>
  <si>
    <t>可派出的武将数</t>
    <phoneticPr fontId="1" type="noConversion"/>
  </si>
  <si>
    <t>有一个武将是堂主</t>
    <phoneticPr fontId="1" type="noConversion"/>
  </si>
  <si>
    <t>部队需求人口数</t>
    <phoneticPr fontId="1" type="noConversion"/>
  </si>
  <si>
    <t>训练(按照一个城计算)</t>
    <phoneticPr fontId="1" type="noConversion"/>
  </si>
  <si>
    <t>部队带兵人口最高值</t>
    <phoneticPr fontId="1" type="noConversion"/>
  </si>
  <si>
    <t>最高统帅力</t>
    <phoneticPr fontId="1" type="noConversion"/>
  </si>
  <si>
    <t>每点武将统帅力可带兵人口值</t>
    <phoneticPr fontId="1" type="noConversion"/>
  </si>
  <si>
    <t>可占领的野地数</t>
    <phoneticPr fontId="1" type="noConversion"/>
  </si>
  <si>
    <t>屋舍</t>
    <phoneticPr fontId="1" type="noConversion"/>
  </si>
  <si>
    <t>刷新人数</t>
    <phoneticPr fontId="1" type="noConversion"/>
  </si>
  <si>
    <t>三星武将权重加成</t>
    <phoneticPr fontId="1" type="noConversion"/>
  </si>
  <si>
    <t>四星武将权重加成</t>
    <phoneticPr fontId="1" type="noConversion"/>
  </si>
  <si>
    <t>五星武将权重加成</t>
    <phoneticPr fontId="1" type="noConversion"/>
  </si>
  <si>
    <t>刷新概率</t>
    <phoneticPr fontId="1" type="noConversion"/>
  </si>
  <si>
    <t>1星配额概率</t>
    <phoneticPr fontId="1" type="noConversion"/>
  </si>
  <si>
    <t>2星配额概率</t>
    <phoneticPr fontId="1" type="noConversion"/>
  </si>
  <si>
    <t>3星配额概率</t>
    <phoneticPr fontId="1" type="noConversion"/>
  </si>
  <si>
    <t>4星配额概率</t>
    <phoneticPr fontId="1" type="noConversion"/>
  </si>
  <si>
    <t>5星配额概率</t>
    <phoneticPr fontId="1" type="noConversion"/>
  </si>
  <si>
    <t>1星实际概率</t>
    <phoneticPr fontId="1" type="noConversion"/>
  </si>
  <si>
    <t>2星实际概率</t>
  </si>
  <si>
    <t>3星实际概率</t>
  </si>
  <si>
    <t>4星实际概率</t>
  </si>
  <si>
    <t>5星实际概率</t>
  </si>
  <si>
    <t>二星武将权重加成</t>
    <phoneticPr fontId="1" type="noConversion"/>
  </si>
  <si>
    <t>1星武将基础刷新概率</t>
    <phoneticPr fontId="1" type="noConversion"/>
  </si>
  <si>
    <t>2星武将基础刷新概率</t>
  </si>
  <si>
    <t>3星武将基础刷新概率</t>
  </si>
  <si>
    <t>4星武将基础刷新概率</t>
  </si>
  <si>
    <t>5星武将基础刷新概率</t>
    <phoneticPr fontId="1" type="noConversion"/>
  </si>
  <si>
    <t>可管理好汉数</t>
    <phoneticPr fontId="1" type="noConversion"/>
  </si>
  <si>
    <t>总时间(多冷却队列)(h)</t>
    <phoneticPr fontId="1" type="noConversion"/>
  </si>
  <si>
    <t>同时冷却的招募队列数</t>
    <phoneticPr fontId="1" type="noConversion"/>
  </si>
  <si>
    <t>耐久度</t>
    <phoneticPr fontId="1" type="noConversion"/>
  </si>
  <si>
    <t>城墙伤害计算</t>
    <phoneticPr fontId="1" type="noConversion"/>
  </si>
  <si>
    <t>军团伤害值=((我方攻击力+我方武将统帅力+士兵士气)*攻击力绝对伤害因子+((我方攻击力+我方武将统帅力+士兵士气)-(敌方的防御力+敌方武将统帅力+敌方士气)+力量方差调节因子)^2/力量方差因子)*(我方兵力+敌方兵力)/兵力数量级因子</t>
    <phoneticPr fontId="1" type="noConversion"/>
  </si>
  <si>
    <t>军团城墙攻击伤害MAX</t>
    <phoneticPr fontId="1" type="noConversion"/>
  </si>
  <si>
    <t>兵力城墙伤害因子</t>
  </si>
  <si>
    <r>
      <t>城墙伤害=(我方攻击力+我方武将</t>
    </r>
    <r>
      <rPr>
        <sz val="11"/>
        <color rgb="FFFF0000"/>
        <rFont val="宋体"/>
        <family val="3"/>
        <charset val="134"/>
        <scheme val="minor"/>
      </rPr>
      <t>武力</t>
    </r>
    <r>
      <rPr>
        <sz val="11"/>
        <color theme="1"/>
        <rFont val="宋体"/>
        <family val="2"/>
        <charset val="134"/>
        <scheme val="minor"/>
      </rPr>
      <t>+士兵士气)*攻击力绝对伤害因子*2*(我方兵力)/兵力城墙伤害因子</t>
    </r>
    <phoneticPr fontId="1" type="noConversion"/>
  </si>
  <si>
    <t>军团城墙攻击伤害MIN</t>
    <phoneticPr fontId="1" type="noConversion"/>
  </si>
  <si>
    <t>军团城墙攻击伤害值</t>
    <phoneticPr fontId="1" type="noConversion"/>
  </si>
  <si>
    <t>单位兵对城墙的伤害</t>
    <phoneticPr fontId="1" type="noConversion"/>
  </si>
  <si>
    <t>城墙受损估算</t>
    <phoneticPr fontId="1" type="noConversion"/>
  </si>
  <si>
    <t>攻打城墙兵力占初始兵力比例估算</t>
    <phoneticPr fontId="1" type="noConversion"/>
  </si>
  <si>
    <t>攻打回合数估算</t>
    <phoneticPr fontId="1" type="noConversion"/>
  </si>
  <si>
    <t>兵力标准估算</t>
    <phoneticPr fontId="1" type="noConversion"/>
  </si>
  <si>
    <t>武将</t>
    <phoneticPr fontId="1" type="noConversion"/>
  </si>
  <si>
    <t>政治点数单位加成百分比</t>
    <phoneticPr fontId="1" type="noConversion"/>
  </si>
  <si>
    <t>武力点数MAX</t>
    <phoneticPr fontId="1" type="noConversion"/>
  </si>
  <si>
    <t>统帅力点数MAX</t>
    <phoneticPr fontId="1" type="noConversion"/>
  </si>
  <si>
    <t>统帅力点数MIN</t>
    <phoneticPr fontId="1" type="noConversion"/>
  </si>
  <si>
    <t>武力点数MIN</t>
    <phoneticPr fontId="1" type="noConversion"/>
  </si>
  <si>
    <t>政治点数MAX</t>
    <phoneticPr fontId="1" type="noConversion"/>
  </si>
  <si>
    <t>政治点数MIN</t>
    <phoneticPr fontId="1" type="noConversion"/>
  </si>
  <si>
    <t>士气MAX</t>
    <phoneticPr fontId="1" type="noConversion"/>
  </si>
  <si>
    <t>士气MIN</t>
    <phoneticPr fontId="1" type="noConversion"/>
  </si>
  <si>
    <t>星级</t>
    <phoneticPr fontId="1" type="noConversion"/>
  </si>
  <si>
    <t>统帅</t>
    <phoneticPr fontId="1" type="noConversion"/>
  </si>
  <si>
    <t>武力</t>
    <phoneticPr fontId="1" type="noConversion"/>
  </si>
  <si>
    <t>政治</t>
    <phoneticPr fontId="1" type="noConversion"/>
  </si>
  <si>
    <t>总点数</t>
    <phoneticPr fontId="1" type="noConversion"/>
  </si>
  <si>
    <t>成长力</t>
    <phoneticPr fontId="1" type="noConversion"/>
  </si>
  <si>
    <t>标准总点数</t>
    <phoneticPr fontId="1" type="noConversion"/>
  </si>
  <si>
    <t>星级点数差</t>
    <phoneticPr fontId="1" type="noConversion"/>
  </si>
  <si>
    <t>春秋战国</t>
    <phoneticPr fontId="1" type="noConversion"/>
  </si>
  <si>
    <t>编号</t>
    <phoneticPr fontId="1" type="noConversion"/>
  </si>
  <si>
    <t>赵奢</t>
    <phoneticPr fontId="1" type="noConversion"/>
  </si>
  <si>
    <t>廉颇</t>
    <phoneticPr fontId="1" type="noConversion"/>
  </si>
  <si>
    <t>孙武</t>
    <phoneticPr fontId="1" type="noConversion"/>
  </si>
  <si>
    <t>刘邦项羽</t>
    <phoneticPr fontId="1" type="noConversion"/>
  </si>
  <si>
    <t>彭越</t>
    <phoneticPr fontId="1" type="noConversion"/>
  </si>
  <si>
    <t>英布</t>
    <phoneticPr fontId="1" type="noConversion"/>
  </si>
  <si>
    <t>樊哙</t>
    <phoneticPr fontId="1" type="noConversion"/>
  </si>
  <si>
    <t>曹参</t>
    <phoneticPr fontId="1" type="noConversion"/>
  </si>
  <si>
    <t>韩信</t>
    <phoneticPr fontId="1" type="noConversion"/>
  </si>
  <si>
    <t>陈平</t>
    <phoneticPr fontId="1" type="noConversion"/>
  </si>
  <si>
    <t>萧何</t>
    <phoneticPr fontId="1" type="noConversion"/>
  </si>
  <si>
    <t>郦食其</t>
    <phoneticPr fontId="1" type="noConversion"/>
  </si>
  <si>
    <t>汉朝</t>
    <phoneticPr fontId="1" type="noConversion"/>
  </si>
  <si>
    <t>晁错</t>
    <phoneticPr fontId="1" type="noConversion"/>
  </si>
  <si>
    <t>李广</t>
    <phoneticPr fontId="1" type="noConversion"/>
  </si>
  <si>
    <t>霍去病</t>
    <phoneticPr fontId="1" type="noConversion"/>
  </si>
  <si>
    <t>赵充国</t>
  </si>
  <si>
    <t>周亚夫</t>
    <phoneticPr fontId="1" type="noConversion"/>
  </si>
  <si>
    <t>三国-魏国</t>
    <phoneticPr fontId="1" type="noConversion"/>
  </si>
  <si>
    <t>三国-蜀国</t>
    <phoneticPr fontId="1" type="noConversion"/>
  </si>
  <si>
    <t>三国-吴国</t>
    <phoneticPr fontId="1" type="noConversion"/>
  </si>
  <si>
    <t>三国-其他</t>
    <phoneticPr fontId="1" type="noConversion"/>
  </si>
  <si>
    <t>隋唐</t>
    <phoneticPr fontId="1" type="noConversion"/>
  </si>
  <si>
    <t>水浒</t>
    <phoneticPr fontId="1" type="noConversion"/>
  </si>
  <si>
    <t>武将数</t>
    <phoneticPr fontId="1" type="noConversion"/>
  </si>
  <si>
    <t>宋朝</t>
    <phoneticPr fontId="1" type="noConversion"/>
  </si>
  <si>
    <t>元朝</t>
    <phoneticPr fontId="1" type="noConversion"/>
  </si>
  <si>
    <t>明朝</t>
    <phoneticPr fontId="1" type="noConversion"/>
  </si>
  <si>
    <t>张超</t>
    <phoneticPr fontId="1" type="noConversion"/>
  </si>
  <si>
    <t>描述</t>
    <phoneticPr fontId="1" type="noConversion"/>
  </si>
  <si>
    <t>广陵太守，张邈之弟。讨伐董卓的诸侯之一。与张邈、吕布共同对抗曹操，兵败后自焚。</t>
    <phoneticPr fontId="1" type="noConversion"/>
  </si>
  <si>
    <t>张遵</t>
    <phoneticPr fontId="1" type="noConversion"/>
  </si>
  <si>
    <t>蜀国的尚书。张苞之子。张飞之孙。邓艾越过阴平去攻打绵竹时，他与诸葛瞻一起进行防卫。诸葛瞻父子战死后，他出城作战，战死在沙场。</t>
    <phoneticPr fontId="1" type="noConversion"/>
  </si>
  <si>
    <t>刘晔</t>
    <phoneticPr fontId="1" type="noConversion"/>
  </si>
  <si>
    <t>生卒年不详，字子高，南阳郡安众县人[1]，东汉末年的大臣，为光禄勋，中平六年（189年），迁司空。同年八月被免职[2]。</t>
    <phoneticPr fontId="1" type="noConversion"/>
  </si>
  <si>
    <t>刘弘</t>
    <phoneticPr fontId="1" type="noConversion"/>
  </si>
  <si>
    <t>王平（?－248年），字子均，巴西宕渠人，三国时期曹魏将领，后投降蜀汉成为北伐将领，官至镇北大将军，封安汉侯。</t>
    <phoneticPr fontId="1" type="noConversion"/>
  </si>
  <si>
    <t>王平</t>
    <phoneticPr fontId="1" type="noConversion"/>
  </si>
  <si>
    <t>王双</t>
    <phoneticPr fontId="1" type="noConversion"/>
  </si>
  <si>
    <t>正史有二人：其一是三国时曹魏曹仁麾下将领，后被吴国所俘；其二是三国时曹魏曹真麾下将领，后为蜀军所斩。</t>
    <phoneticPr fontId="1" type="noConversion"/>
  </si>
  <si>
    <t>孙瑜（177年－215年），字仲异，孙静的次子，孙权的堂兄。东汉末期东吴势力武将。</t>
    <phoneticPr fontId="1" type="noConversion"/>
  </si>
  <si>
    <t>孙瑜</t>
    <phoneticPr fontId="1" type="noConversion"/>
  </si>
  <si>
    <t>孙皎(？－219年)，字叔朗。孙静的三子。东汉末年东吴势力将领。</t>
    <phoneticPr fontId="1" type="noConversion"/>
  </si>
  <si>
    <t>孙皎</t>
  </si>
  <si>
    <t>曹洪（?－232年），字子廉，沛国谯（今安徽亳县）人，三国时期曹魏重要将领，曹操堂弟。</t>
    <phoneticPr fontId="1" type="noConversion"/>
  </si>
  <si>
    <t>曹洪</t>
    <phoneticPr fontId="1" type="noConversion"/>
  </si>
  <si>
    <t>李蒙，东汉末期人物，董卓部下。曾被派往与徐荣四处虏掠，其中徐荣遇到孙坚，大破孙坚军。初平三年（192年），在董卓与牛辅被杀之后，李蒙和樊稠响应李傕号召率军攻长安，杀王允，迫走吕布。后为李傕在权力斗争中所杀。</t>
    <phoneticPr fontId="1" type="noConversion"/>
  </si>
  <si>
    <t>李蒙</t>
    <phoneticPr fontId="1" type="noConversion"/>
  </si>
  <si>
    <t>杨修（175年－219年），字德祖，弘农华阴（今陕西华阴东）人，袁术外甥，太尉杨彪之子，出身高门士族。</t>
    <phoneticPr fontId="1" type="noConversion"/>
  </si>
  <si>
    <t>杨修</t>
    <phoneticPr fontId="1" type="noConversion"/>
  </si>
  <si>
    <t>杨洪（2世纪－228年），字季休，益州犍为武阳人。三国时蜀汉官员。</t>
    <phoneticPr fontId="1" type="noConversion"/>
  </si>
  <si>
    <t>杨洪</t>
    <phoneticPr fontId="1" type="noConversion"/>
  </si>
  <si>
    <t>陈宫（?－198年），字公台，兖州东郡武阳县（位于山东省与河南省之间）人，东汉末年原是曹操的策士，后投归到吕布帐下。为人性情刚直且身有智谋；遍与当时知名人士为友。</t>
    <phoneticPr fontId="1" type="noConversion"/>
  </si>
  <si>
    <t>陈宫</t>
    <phoneticPr fontId="1" type="noConversion"/>
  </si>
  <si>
    <t>陈纪（？－？），东汉末年袁术部将，扬州丹杨郡人，曾任九江太守。</t>
    <phoneticPr fontId="1" type="noConversion"/>
  </si>
  <si>
    <t>陈纪</t>
    <phoneticPr fontId="1" type="noConversion"/>
  </si>
  <si>
    <t>赵广（?－？），是三国时蜀汉将领赵云的次子。</t>
    <phoneticPr fontId="1" type="noConversion"/>
  </si>
  <si>
    <t>赵广</t>
    <phoneticPr fontId="1" type="noConversion"/>
  </si>
  <si>
    <t>马谡[1]（190年－228年），字幼常，荆州襄阳宜城（今湖北宜城）人。是蜀汉将领，也是侍中马良之弟。</t>
    <phoneticPr fontId="1" type="noConversion"/>
  </si>
  <si>
    <t>马谡</t>
    <phoneticPr fontId="1" type="noConversion"/>
  </si>
  <si>
    <t>韩遂（永和年间－215年），又名韩约，字文约，东汉末年凉州地区的割据军阀之一。</t>
    <phoneticPr fontId="1" type="noConversion"/>
  </si>
  <si>
    <t>韩遂</t>
    <phoneticPr fontId="1" type="noConversion"/>
  </si>
  <si>
    <t>夏侯惇（？－220年），字元让，沛国谯县（今属安徽省亳州市）人，曹操的从兄弟[1]，汉朝开国功臣之一夏侯婴的后代。</t>
    <phoneticPr fontId="1" type="noConversion"/>
  </si>
  <si>
    <t>夏侯惇</t>
    <phoneticPr fontId="1" type="noConversion"/>
  </si>
  <si>
    <t>吕布</t>
    <phoneticPr fontId="1" type="noConversion"/>
  </si>
  <si>
    <t>胡济，字伟度，三国时代蜀汉武将，义阳郡义阳县人，曾参加诸葛亮之北伐，为人忠厚老实，常常助言，而受诸葛亮赞赏，受命为将军。</t>
    <phoneticPr fontId="1" type="noConversion"/>
  </si>
  <si>
    <t>胡济</t>
  </si>
  <si>
    <t>太史慈</t>
    <phoneticPr fontId="1" type="noConversion"/>
  </si>
  <si>
    <t>东吴大将。因奉母亲之命向孔融报恩，黄巾贼管亥围北海，慈助融抗之，请来刘备，大败贼众。</t>
    <phoneticPr fontId="1" type="noConversion"/>
  </si>
  <si>
    <t>孙权麾下大臣，“二张”之一。由周瑜举荐，作了孙策的谋士，孙策临终前留下遗言“内事不决问张昭”。</t>
    <phoneticPr fontId="1" type="noConversion"/>
  </si>
  <si>
    <t>张昭</t>
    <phoneticPr fontId="1" type="noConversion"/>
  </si>
  <si>
    <t>东吴孙权的幕僚，刘备死后出使蜀国，由于辩驳不过秦宓，遂遭降职。</t>
    <phoneticPr fontId="1" type="noConversion"/>
  </si>
  <si>
    <t>张温</t>
    <phoneticPr fontId="1" type="noConversion"/>
  </si>
  <si>
    <t>张飞</t>
    <phoneticPr fontId="1" type="noConversion"/>
  </si>
  <si>
    <t>孙坚</t>
    <phoneticPr fontId="1" type="noConversion"/>
  </si>
  <si>
    <t>程秉</t>
    <phoneticPr fontId="1" type="noConversion"/>
  </si>
  <si>
    <t>程秉（？－？），字德枢，汝南南顿人。三国时东吴官员，三国时儒学学者。</t>
    <phoneticPr fontId="1" type="noConversion"/>
  </si>
  <si>
    <t>陆逊（183年－245年3月19日[1]），本名陆议，字伯言，吴郡吴县（今江苏省苏州市）人，是三国时代吴国著名的军事家、政治家，是孙策之女婿，吴王孙权称帝后被任命为丞相。</t>
    <phoneticPr fontId="1" type="noConversion"/>
  </si>
  <si>
    <t>陆逊</t>
    <phoneticPr fontId="1" type="noConversion"/>
  </si>
  <si>
    <t>本魏国人，秦孝公数与卫鞅战，为卫鞅所欺。惠文王初年为秦将。</t>
    <phoneticPr fontId="1" type="noConversion"/>
  </si>
  <si>
    <t>公子卬</t>
    <phoneticPr fontId="1" type="noConversion"/>
  </si>
  <si>
    <t>武将星级</t>
    <phoneticPr fontId="1" type="noConversion"/>
  </si>
  <si>
    <t>基础点数</t>
    <phoneticPr fontId="1" type="noConversion"/>
  </si>
  <si>
    <t>赵高（?－前207年），中国战国时期秦国及秦朝政治人物，历仕秦始皇、秦二世和秦王子婴三代君主，沙丘之变和望夷宫之变的主谋，指鹿为马事件的策划者。</t>
    <phoneticPr fontId="1" type="noConversion"/>
  </si>
  <si>
    <t>赵高</t>
  </si>
  <si>
    <t>子夏学生，魏国初期将领之一。</t>
    <phoneticPr fontId="1" type="noConversion"/>
  </si>
  <si>
    <t>段干木</t>
    <phoneticPr fontId="1" type="noConversion"/>
  </si>
  <si>
    <t>庞涓</t>
    <phoneticPr fontId="1" type="noConversion"/>
  </si>
  <si>
    <t>战国时魏将，中国古代著名军事家，孙庞斗智故事的主角之一。</t>
    <phoneticPr fontId="1" type="noConversion"/>
  </si>
  <si>
    <t>骉羌</t>
    <phoneticPr fontId="1" type="noConversion"/>
  </si>
  <si>
    <t>严遂</t>
    <phoneticPr fontId="1" type="noConversion"/>
  </si>
  <si>
    <t>字仲子，战国时代濮阳（今属河南）人。韩国大臣，与宰相韩傀（字侠累）互相忌恨，遂命刺客聂政刺杀韩傀，乱中，韩哀侯也被杀。</t>
    <phoneticPr fontId="1" type="noConversion"/>
  </si>
  <si>
    <t>项燕（?－前223年），楚国下相（今江苏省宿迁宿城区）人。战国末期楚国大将军，是抗秦将领项梁之父，西楚霸王项羽的祖父。</t>
    <phoneticPr fontId="1" type="noConversion"/>
  </si>
  <si>
    <t>项燕</t>
    <phoneticPr fontId="1" type="noConversion"/>
  </si>
  <si>
    <t>田荣</t>
    <phoneticPr fontId="1" type="noConversion"/>
  </si>
  <si>
    <t>三国时曹魏武将。以近70岁的高龄，随钟会征伐蜀汉，以先锋之职和参军皇浦从培南杀出，直取成都。</t>
    <phoneticPr fontId="1" type="noConversion"/>
  </si>
  <si>
    <t>王买</t>
  </si>
  <si>
    <t>曹操手下战将，最初被刘晔推荐给曹操，在讨吕布时射死布将薛兰，在征刘备时与李典等人同为先锋，在赤壁时掌管水军后军，屡随曹操征战，多有战功。</t>
    <phoneticPr fontId="1" type="noConversion"/>
  </si>
  <si>
    <t>吕虔</t>
    <phoneticPr fontId="1" type="noConversion"/>
  </si>
  <si>
    <t>汉朝军事将领，云台二十八将之一。</t>
    <phoneticPr fontId="1" type="noConversion"/>
  </si>
  <si>
    <t>陈俊</t>
    <phoneticPr fontId="1" type="noConversion"/>
  </si>
  <si>
    <t>程不识</t>
    <phoneticPr fontId="1" type="noConversion"/>
  </si>
  <si>
    <t>在汉景帝时，程不识担任太中大夫，多次出任边郡太守。与匈奴作战时，部队营阵严整，匈奴不敢贸然进攻，与李广并称名将。</t>
    <phoneticPr fontId="1" type="noConversion"/>
  </si>
  <si>
    <t>烧当羌豪滇良的儿子。</t>
    <phoneticPr fontId="1" type="noConversion"/>
  </si>
  <si>
    <t>滇吾</t>
    <phoneticPr fontId="1" type="noConversion"/>
  </si>
  <si>
    <t>匈奴丁灵王。原为汉朝投降匈奴的官员，受到匈奴单于的重用，经常参与匈奴的国家政治，对匈奴的政治产生了巨大影响。</t>
    <phoneticPr fontId="1" type="noConversion"/>
  </si>
  <si>
    <t>卫律</t>
    <phoneticPr fontId="1" type="noConversion"/>
  </si>
  <si>
    <t>关羽</t>
    <phoneticPr fontId="1" type="noConversion"/>
  </si>
  <si>
    <t>曹操</t>
    <phoneticPr fontId="1" type="noConversion"/>
  </si>
  <si>
    <t>于仲文</t>
    <phoneticPr fontId="1" type="noConversion"/>
  </si>
  <si>
    <t>北周宣帝时，为东郡太守。杨坚为丞相，以于仲文的功劳，授予他开府，进位大将军，领河南道行军总管。</t>
    <phoneticPr fontId="1" type="noConversion"/>
  </si>
  <si>
    <t>字道机，河南洛阳人。隋朝军事人物，贺若弼之叔。</t>
    <phoneticPr fontId="1" type="noConversion"/>
  </si>
  <si>
    <t>贺若谊</t>
    <phoneticPr fontId="1" type="noConversion"/>
  </si>
  <si>
    <t>字公布，南朝陈、隋朝将领。</t>
    <phoneticPr fontId="1" type="noConversion"/>
  </si>
  <si>
    <t>周罗睺</t>
    <phoneticPr fontId="1" type="noConversion"/>
  </si>
  <si>
    <t>胡公秦叔宝第二十四。本为张须陀部属勇将，张身后归裴仁基部属，又随裴投诚李密，为瓦岗军上将。在李密与宇文明及童山之战中立下大功。</t>
    <phoneticPr fontId="1" type="noConversion"/>
  </si>
  <si>
    <t>秦叔宝</t>
    <phoneticPr fontId="1" type="noConversion"/>
  </si>
  <si>
    <t>褒公段志玄第十。李渊在太原时的旧部，首义罪人。参与李唐历次紧张战役，以勇武闻名。</t>
    <phoneticPr fontId="1" type="noConversion"/>
  </si>
  <si>
    <t>段志玄</t>
    <phoneticPr fontId="1" type="noConversion"/>
  </si>
  <si>
    <t>唐朝末年著名政治家、军事家。</t>
    <phoneticPr fontId="1" type="noConversion"/>
  </si>
  <si>
    <t>杨行密</t>
    <phoneticPr fontId="1" type="noConversion"/>
  </si>
  <si>
    <t>英雄殿(管理好汉)</t>
    <phoneticPr fontId="1" type="noConversion"/>
  </si>
  <si>
    <t>建设时间(s)</t>
    <phoneticPr fontId="1" type="noConversion"/>
  </si>
  <si>
    <t>实际游戏时间(h）</t>
    <phoneticPr fontId="1" type="noConversion"/>
  </si>
  <si>
    <t>俸禄</t>
    <phoneticPr fontId="1" type="noConversion"/>
  </si>
  <si>
    <t>实际时间占自然时间比</t>
    <phoneticPr fontId="1" type="noConversion"/>
  </si>
  <si>
    <t>玩家实际不停游戏时间占自然时间比例估算因子</t>
    <phoneticPr fontId="1" type="noConversion"/>
  </si>
  <si>
    <t>正常可使用的建设单位数(VIP）</t>
    <phoneticPr fontId="1" type="noConversion"/>
  </si>
  <si>
    <t>建设时间分配比</t>
    <phoneticPr fontId="1" type="noConversion"/>
  </si>
  <si>
    <t>聚义堂(主基地)</t>
  </si>
  <si>
    <t>屋舍</t>
    <phoneticPr fontId="1" type="noConversion"/>
  </si>
  <si>
    <t>农田</t>
  </si>
  <si>
    <t>伐木场</t>
  </si>
  <si>
    <t>伐木场</t>
    <phoneticPr fontId="1" type="noConversion"/>
  </si>
  <si>
    <t>矿场</t>
    <phoneticPr fontId="1" type="noConversion"/>
  </si>
  <si>
    <t>英雄殿(管理英雄)</t>
    <phoneticPr fontId="1" type="noConversion"/>
  </si>
  <si>
    <t>刊造雕刻营(科技馆)</t>
  </si>
  <si>
    <t>栅栏</t>
  </si>
  <si>
    <t>驿站</t>
    <phoneticPr fontId="1" type="noConversion"/>
  </si>
  <si>
    <t>建筑数</t>
    <phoneticPr fontId="1" type="noConversion"/>
  </si>
  <si>
    <t>建设总时间(h）</t>
    <phoneticPr fontId="1" type="noConversion"/>
  </si>
  <si>
    <t>每级建设时间(h)</t>
    <phoneticPr fontId="1" type="noConversion"/>
  </si>
  <si>
    <t>仓库</t>
    <phoneticPr fontId="1" type="noConversion"/>
  </si>
  <si>
    <t>市场</t>
    <phoneticPr fontId="1" type="noConversion"/>
  </si>
  <si>
    <t>联盟厅</t>
  </si>
  <si>
    <t>每级建设时间(d)</t>
    <phoneticPr fontId="1" type="noConversion"/>
  </si>
  <si>
    <t>联盟厅</t>
    <phoneticPr fontId="1" type="noConversion"/>
  </si>
  <si>
    <t>建设总时间(h）</t>
    <phoneticPr fontId="1" type="noConversion"/>
  </si>
  <si>
    <t>可供建造的空地数</t>
    <phoneticPr fontId="1" type="noConversion"/>
  </si>
  <si>
    <t>人口的分配</t>
    <phoneticPr fontId="1" type="noConversion"/>
  </si>
  <si>
    <t>屋舍提供的军队人口总额是单个武将带兵的倍数</t>
    <phoneticPr fontId="1" type="noConversion"/>
  </si>
  <si>
    <t>屋舍人口数=屋舍军队人口数+屋舍建设人口数</t>
    <phoneticPr fontId="1" type="noConversion"/>
  </si>
  <si>
    <t>建设的人口数=军队人口数</t>
    <phoneticPr fontId="1" type="noConversion"/>
  </si>
  <si>
    <t>军队人口数</t>
    <phoneticPr fontId="1" type="noConversion"/>
  </si>
  <si>
    <t>建设人口数</t>
    <phoneticPr fontId="1" type="noConversion"/>
  </si>
  <si>
    <t>建设人口</t>
    <phoneticPr fontId="1" type="noConversion"/>
  </si>
  <si>
    <t>军队人口</t>
    <phoneticPr fontId="1" type="noConversion"/>
  </si>
  <si>
    <t>人口总数</t>
    <phoneticPr fontId="1" type="noConversion"/>
  </si>
  <si>
    <t>军机处</t>
  </si>
  <si>
    <t>兵营</t>
    <phoneticPr fontId="1" type="noConversion"/>
  </si>
  <si>
    <t>建筑个数</t>
    <phoneticPr fontId="1" type="noConversion"/>
  </si>
  <si>
    <t>军机处</t>
    <phoneticPr fontId="1" type="noConversion"/>
  </si>
  <si>
    <t>人口占用</t>
    <phoneticPr fontId="1" type="noConversion"/>
  </si>
  <si>
    <t>人口</t>
    <phoneticPr fontId="1" type="noConversion"/>
  </si>
  <si>
    <t>黄金</t>
    <phoneticPr fontId="1" type="noConversion"/>
  </si>
  <si>
    <t>可派遣队伍数</t>
    <phoneticPr fontId="1" type="noConversion"/>
  </si>
  <si>
    <t>派兵上限(人口)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</si>
</sst>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_);[Red]\(#,##0\)"/>
    <numFmt numFmtId="178" formatCode="0.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9" tint="0.79998168889431442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FDD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10" fontId="0" fillId="5" borderId="0" xfId="0" applyNumberFormat="1" applyFill="1">
      <alignment vertical="center"/>
    </xf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>
      <alignment vertical="center"/>
    </xf>
    <xf numFmtId="0" fontId="4" fillId="7" borderId="0" xfId="0" applyFont="1" applyFill="1">
      <alignment vertical="center"/>
    </xf>
    <xf numFmtId="0" fontId="4" fillId="7" borderId="0" xfId="0" applyFont="1" applyFill="1" applyAlignment="1">
      <alignment vertical="center" wrapText="1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center" wrapText="1"/>
    </xf>
    <xf numFmtId="0" fontId="5" fillId="8" borderId="0" xfId="0" applyFont="1" applyFill="1">
      <alignment vertical="center"/>
    </xf>
    <xf numFmtId="0" fontId="0" fillId="8" borderId="0" xfId="0" applyFill="1">
      <alignment vertical="center"/>
    </xf>
    <xf numFmtId="0" fontId="4" fillId="8" borderId="0" xfId="0" applyFont="1" applyFill="1">
      <alignment vertical="center"/>
    </xf>
    <xf numFmtId="0" fontId="6" fillId="8" borderId="0" xfId="0" applyFont="1" applyFill="1">
      <alignment vertical="center"/>
    </xf>
    <xf numFmtId="0" fontId="5" fillId="2" borderId="0" xfId="0" applyFont="1" applyFill="1">
      <alignment vertical="center"/>
    </xf>
    <xf numFmtId="0" fontId="0" fillId="9" borderId="0" xfId="0" applyFill="1">
      <alignment vertical="center"/>
    </xf>
    <xf numFmtId="0" fontId="0" fillId="9" borderId="0" xfId="0" applyFill="1" applyAlignment="1">
      <alignment vertical="center" wrapText="1"/>
    </xf>
    <xf numFmtId="0" fontId="5" fillId="9" borderId="0" xfId="0" applyFont="1" applyFill="1">
      <alignment vertical="center"/>
    </xf>
    <xf numFmtId="0" fontId="0" fillId="10" borderId="0" xfId="0" applyFill="1">
      <alignment vertical="center"/>
    </xf>
    <xf numFmtId="0" fontId="0" fillId="10" borderId="0" xfId="0" applyFill="1" applyAlignment="1">
      <alignment vertical="center" wrapText="1"/>
    </xf>
    <xf numFmtId="0" fontId="5" fillId="10" borderId="0" xfId="0" applyFont="1" applyFill="1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10" fontId="0" fillId="2" borderId="0" xfId="0" applyNumberFormat="1" applyFill="1" applyAlignment="1">
      <alignment vertical="center" wrapText="1"/>
    </xf>
    <xf numFmtId="10" fontId="5" fillId="2" borderId="0" xfId="0" applyNumberFormat="1" applyFont="1" applyFill="1">
      <alignment vertical="center"/>
    </xf>
    <xf numFmtId="0" fontId="0" fillId="11" borderId="0" xfId="0" applyFill="1">
      <alignment vertical="center"/>
    </xf>
    <xf numFmtId="0" fontId="0" fillId="7" borderId="0" xfId="0" applyFill="1">
      <alignment vertical="center"/>
    </xf>
    <xf numFmtId="0" fontId="0" fillId="12" borderId="0" xfId="0" applyFill="1">
      <alignment vertical="center"/>
    </xf>
    <xf numFmtId="176" fontId="0" fillId="0" borderId="0" xfId="0" applyNumberFormat="1" applyFill="1">
      <alignment vertical="center"/>
    </xf>
    <xf numFmtId="10" fontId="0" fillId="3" borderId="0" xfId="0" applyNumberFormat="1" applyFill="1">
      <alignment vertical="center"/>
    </xf>
    <xf numFmtId="176" fontId="0" fillId="0" borderId="0" xfId="0" applyNumberFormat="1" applyFill="1" applyAlignment="1">
      <alignment vertical="center" wrapText="1"/>
    </xf>
    <xf numFmtId="10" fontId="0" fillId="0" borderId="0" xfId="0" applyNumberFormat="1" applyFill="1" applyAlignment="1">
      <alignment vertical="center" wrapText="1"/>
    </xf>
    <xf numFmtId="177" fontId="0" fillId="0" borderId="0" xfId="0" applyNumberFormat="1" applyFill="1">
      <alignment vertical="center"/>
    </xf>
    <xf numFmtId="177" fontId="0" fillId="0" borderId="0" xfId="0" applyNumberFormat="1" applyFill="1" applyAlignment="1">
      <alignment vertical="center" wrapText="1"/>
    </xf>
    <xf numFmtId="0" fontId="0" fillId="13" borderId="0" xfId="0" applyFill="1">
      <alignment vertical="center"/>
    </xf>
    <xf numFmtId="0" fontId="0" fillId="13" borderId="0" xfId="0" applyFill="1" applyAlignment="1">
      <alignment vertical="center" wrapText="1"/>
    </xf>
    <xf numFmtId="176" fontId="0" fillId="13" borderId="0" xfId="0" applyNumberFormat="1" applyFill="1" applyAlignment="1">
      <alignment vertical="center" wrapText="1"/>
    </xf>
    <xf numFmtId="176" fontId="0" fillId="13" borderId="0" xfId="0" applyNumberFormat="1" applyFill="1">
      <alignment vertical="center"/>
    </xf>
    <xf numFmtId="177" fontId="0" fillId="13" borderId="0" xfId="0" applyNumberFormat="1" applyFill="1" applyAlignment="1">
      <alignment vertical="center" wrapText="1"/>
    </xf>
    <xf numFmtId="10" fontId="0" fillId="13" borderId="0" xfId="0" applyNumberFormat="1" applyFill="1" applyAlignment="1">
      <alignment vertical="center" wrapText="1"/>
    </xf>
    <xf numFmtId="9" fontId="0" fillId="0" borderId="0" xfId="0" applyNumberFormat="1" applyFill="1">
      <alignment vertical="center"/>
    </xf>
    <xf numFmtId="9" fontId="0" fillId="0" borderId="0" xfId="0" applyNumberFormat="1" applyFill="1" applyAlignment="1">
      <alignment vertical="center" wrapText="1"/>
    </xf>
    <xf numFmtId="9" fontId="0" fillId="13" borderId="0" xfId="0" applyNumberFormat="1" applyFill="1" applyAlignment="1">
      <alignment vertical="center" wrapText="1"/>
    </xf>
    <xf numFmtId="0" fontId="0" fillId="13" borderId="0" xfId="0" applyFill="1" applyAlignment="1">
      <alignment vertical="center"/>
    </xf>
    <xf numFmtId="10" fontId="0" fillId="0" borderId="0" xfId="0" applyNumberFormat="1" applyAlignment="1">
      <alignment vertical="center"/>
    </xf>
    <xf numFmtId="10" fontId="0" fillId="13" borderId="0" xfId="0" applyNumberFormat="1" applyFill="1" applyAlignment="1">
      <alignment vertical="center"/>
    </xf>
    <xf numFmtId="177" fontId="0" fillId="0" borderId="0" xfId="0" applyNumberFormat="1">
      <alignment vertical="center"/>
    </xf>
    <xf numFmtId="177" fontId="0" fillId="13" borderId="0" xfId="0" applyNumberFormat="1" applyFill="1">
      <alignment vertical="center"/>
    </xf>
    <xf numFmtId="177" fontId="0" fillId="2" borderId="0" xfId="0" applyNumberFormat="1" applyFill="1">
      <alignment vertical="center"/>
    </xf>
    <xf numFmtId="177" fontId="0" fillId="2" borderId="0" xfId="0" applyNumberFormat="1" applyFill="1" applyAlignment="1">
      <alignment vertical="center" wrapText="1"/>
    </xf>
    <xf numFmtId="0" fontId="5" fillId="6" borderId="0" xfId="0" applyFont="1" applyFill="1">
      <alignment vertical="center"/>
    </xf>
    <xf numFmtId="10" fontId="0" fillId="0" borderId="0" xfId="0" applyNumberFormat="1" applyFill="1">
      <alignment vertical="center"/>
    </xf>
    <xf numFmtId="0" fontId="3" fillId="0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10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176" fontId="3" fillId="0" borderId="0" xfId="0" applyNumberFormat="1" applyFont="1" applyFill="1" applyAlignment="1">
      <alignment vertical="center" wrapText="1"/>
    </xf>
    <xf numFmtId="176" fontId="0" fillId="0" borderId="0" xfId="0" applyNumberFormat="1" applyAlignment="1">
      <alignment vertical="center"/>
    </xf>
    <xf numFmtId="0" fontId="0" fillId="5" borderId="0" xfId="0" applyNumberFormat="1" applyFill="1">
      <alignment vertical="center"/>
    </xf>
    <xf numFmtId="0" fontId="0" fillId="5" borderId="0" xfId="0" applyNumberFormat="1" applyFill="1" applyAlignment="1">
      <alignment vertical="center" wrapText="1"/>
    </xf>
    <xf numFmtId="0" fontId="0" fillId="8" borderId="0" xfId="0" applyNumberFormat="1" applyFill="1">
      <alignment vertical="center"/>
    </xf>
    <xf numFmtId="0" fontId="5" fillId="8" borderId="0" xfId="0" applyNumberFormat="1" applyFon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Alignment="1">
      <alignment vertical="center" wrapText="1"/>
    </xf>
    <xf numFmtId="0" fontId="5" fillId="0" borderId="0" xfId="0" applyNumberFormat="1" applyFont="1" applyFill="1">
      <alignment vertical="center"/>
    </xf>
    <xf numFmtId="0" fontId="8" fillId="9" borderId="0" xfId="0" applyFont="1" applyFill="1" applyAlignment="1">
      <alignment vertical="center" wrapText="1"/>
    </xf>
    <xf numFmtId="0" fontId="8" fillId="9" borderId="0" xfId="0" applyFont="1" applyFill="1">
      <alignment vertical="center"/>
    </xf>
    <xf numFmtId="0" fontId="0" fillId="14" borderId="0" xfId="0" applyFill="1" applyAlignment="1">
      <alignment vertical="center" wrapText="1"/>
    </xf>
    <xf numFmtId="0" fontId="0" fillId="15" borderId="0" xfId="0" applyFill="1">
      <alignment vertical="center"/>
    </xf>
    <xf numFmtId="178" fontId="0" fillId="0" borderId="0" xfId="0" applyNumberFormat="1" applyFill="1">
      <alignment vertical="center"/>
    </xf>
    <xf numFmtId="178" fontId="0" fillId="13" borderId="0" xfId="0" applyNumberFormat="1" applyFill="1" applyAlignment="1">
      <alignment vertical="center" wrapText="1"/>
    </xf>
    <xf numFmtId="178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AFDD7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同等兵力</c:v>
          </c:tx>
          <c:marker>
            <c:symbol val="none"/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兵攻防!$W$22:$W$29</c:f>
              <c:numCache>
                <c:formatCode>0.00%</c:formatCode>
                <c:ptCount val="8"/>
                <c:pt idx="0">
                  <c:v>0</c:v>
                </c:pt>
                <c:pt idx="1">
                  <c:v>0.04</c:v>
                </c:pt>
                <c:pt idx="2">
                  <c:v>0.04</c:v>
                </c:pt>
                <c:pt idx="3">
                  <c:v>3.5000000000000003E-2</c:v>
                </c:pt>
                <c:pt idx="4">
                  <c:v>3.5999999999999997E-2</c:v>
                </c:pt>
                <c:pt idx="5">
                  <c:v>3.5000000000000003E-2</c:v>
                </c:pt>
                <c:pt idx="6">
                  <c:v>3.5000000000000003E-2</c:v>
                </c:pt>
                <c:pt idx="7">
                  <c:v>3.5200000000000002E-2</c:v>
                </c:pt>
              </c:numCache>
            </c:numRef>
          </c:val>
          <c:smooth val="0"/>
        </c:ser>
        <c:ser>
          <c:idx val="1"/>
          <c:order val="1"/>
          <c:tx>
            <c:v>统帅士气+150~同等兵力~进攻</c:v>
          </c:tx>
          <c:marker>
            <c:symbol val="none"/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兵攻防!$AB$22:$AB$29</c:f>
              <c:numCache>
                <c:formatCode>0.00%</c:formatCode>
                <c:ptCount val="8"/>
                <c:pt idx="0">
                  <c:v>0</c:v>
                </c:pt>
                <c:pt idx="1">
                  <c:v>9.8000000000000004E-2</c:v>
                </c:pt>
                <c:pt idx="2">
                  <c:v>4.9000000000000002E-2</c:v>
                </c:pt>
                <c:pt idx="3">
                  <c:v>4.9000000000000002E-2</c:v>
                </c:pt>
                <c:pt idx="4">
                  <c:v>4.9000000000000002E-2</c:v>
                </c:pt>
                <c:pt idx="5">
                  <c:v>5.3900000000000003E-2</c:v>
                </c:pt>
                <c:pt idx="6">
                  <c:v>5.3900000000000003E-2</c:v>
                </c:pt>
                <c:pt idx="7">
                  <c:v>5.2900000000000003E-2</c:v>
                </c:pt>
              </c:numCache>
            </c:numRef>
          </c:val>
          <c:smooth val="0"/>
        </c:ser>
        <c:ser>
          <c:idx val="4"/>
          <c:order val="2"/>
          <c:tx>
            <c:v>统帅士气+150~同等兵力~防守</c:v>
          </c:tx>
          <c:marker>
            <c:symbol val="none"/>
          </c:marker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兵攻防!$AF$22:$AF$29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3.5000000000000001E-3</c:v>
                </c:pt>
                <c:pt idx="7">
                  <c:v>3.5999999999999999E-3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28672"/>
        <c:axId val="119238656"/>
      </c:lineChart>
      <c:catAx>
        <c:axId val="1192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38656"/>
        <c:crosses val="autoZero"/>
        <c:auto val="1"/>
        <c:lblAlgn val="ctr"/>
        <c:lblOffset val="100"/>
        <c:noMultiLvlLbl val="0"/>
      </c:catAx>
      <c:valAx>
        <c:axId val="1192386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922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5000兵力进攻</c:v>
          </c:tx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兵攻防!$AI$22:$AI$29</c:f>
              <c:numCache>
                <c:formatCode>0.00%</c:formatCode>
                <c:ptCount val="8"/>
                <c:pt idx="0">
                  <c:v>0.98</c:v>
                </c:pt>
                <c:pt idx="1">
                  <c:v>0.19600000000000001</c:v>
                </c:pt>
                <c:pt idx="2">
                  <c:v>9.8000000000000004E-2</c:v>
                </c:pt>
                <c:pt idx="3">
                  <c:v>7.3499999999999996E-2</c:v>
                </c:pt>
                <c:pt idx="4">
                  <c:v>3.9199999999999999E-2</c:v>
                </c:pt>
                <c:pt idx="5">
                  <c:v>2.4500000000000001E-2</c:v>
                </c:pt>
                <c:pt idx="6">
                  <c:v>2.2100000000000002E-2</c:v>
                </c:pt>
                <c:pt idx="7">
                  <c:v>1.9599999999999999E-2</c:v>
                </c:pt>
              </c:numCache>
            </c:numRef>
          </c:val>
          <c:smooth val="0"/>
        </c:ser>
        <c:ser>
          <c:idx val="1"/>
          <c:order val="1"/>
          <c:tx>
            <c:v>5000兵力防守</c:v>
          </c:tx>
          <c:cat>
            <c:numRef>
              <c:f>兵攻防!$A$22:$A$29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5000</c:v>
                </c:pt>
              </c:numCache>
            </c:numRef>
          </c:cat>
          <c:val>
            <c:numRef>
              <c:f>兵攻防!$AL$22:$AL$29</c:f>
              <c:numCache>
                <c:formatCode>0.00%</c:formatCode>
                <c:ptCount val="8"/>
                <c:pt idx="0">
                  <c:v>3.9199999999999999E-2</c:v>
                </c:pt>
                <c:pt idx="1">
                  <c:v>4.9000000000000002E-2</c:v>
                </c:pt>
                <c:pt idx="2">
                  <c:v>4.9000000000000002E-2</c:v>
                </c:pt>
                <c:pt idx="3">
                  <c:v>5.8799999999999998E-2</c:v>
                </c:pt>
                <c:pt idx="4">
                  <c:v>7.8399999999999997E-2</c:v>
                </c:pt>
                <c:pt idx="5">
                  <c:v>0.1176</c:v>
                </c:pt>
                <c:pt idx="6">
                  <c:v>0.20580000000000001</c:v>
                </c:pt>
                <c:pt idx="7">
                  <c:v>0.441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251712"/>
        <c:axId val="119253248"/>
      </c:lineChart>
      <c:catAx>
        <c:axId val="11925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9253248"/>
        <c:crosses val="autoZero"/>
        <c:auto val="1"/>
        <c:lblAlgn val="ctr"/>
        <c:lblOffset val="100"/>
        <c:noMultiLvlLbl val="0"/>
      </c:catAx>
      <c:valAx>
        <c:axId val="1192532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1925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兵消耗!$U$1</c:f>
              <c:strCache>
                <c:ptCount val="1"/>
                <c:pt idx="0">
                  <c:v>所有兵种占粮食比</c:v>
                </c:pt>
              </c:strCache>
            </c:strRef>
          </c:tx>
          <c:marker>
            <c:symbol val="none"/>
          </c:marker>
          <c:val>
            <c:numRef>
              <c:f>兵消耗!$U$2:$U$21</c:f>
              <c:numCache>
                <c:formatCode>0.00%</c:formatCode>
                <c:ptCount val="20"/>
                <c:pt idx="0">
                  <c:v>0.83020000000000005</c:v>
                </c:pt>
                <c:pt idx="1">
                  <c:v>0.90379999999999994</c:v>
                </c:pt>
                <c:pt idx="2">
                  <c:v>0.87220000000000009</c:v>
                </c:pt>
                <c:pt idx="3">
                  <c:v>0.9890000000000001</c:v>
                </c:pt>
                <c:pt idx="4">
                  <c:v>1.0947</c:v>
                </c:pt>
                <c:pt idx="5">
                  <c:v>1.4875</c:v>
                </c:pt>
                <c:pt idx="6">
                  <c:v>1.5078</c:v>
                </c:pt>
                <c:pt idx="7">
                  <c:v>1.0051999999999999</c:v>
                </c:pt>
                <c:pt idx="8">
                  <c:v>0.64329999999999998</c:v>
                </c:pt>
                <c:pt idx="9">
                  <c:v>0.53320000000000001</c:v>
                </c:pt>
                <c:pt idx="10">
                  <c:v>1.1886000000000001</c:v>
                </c:pt>
                <c:pt idx="11">
                  <c:v>1.5693999999999999</c:v>
                </c:pt>
                <c:pt idx="12">
                  <c:v>1.2450000000000001</c:v>
                </c:pt>
                <c:pt idx="13">
                  <c:v>0.93880000000000008</c:v>
                </c:pt>
                <c:pt idx="14">
                  <c:v>0.71779999999999999</c:v>
                </c:pt>
                <c:pt idx="15">
                  <c:v>0.55410000000000004</c:v>
                </c:pt>
                <c:pt idx="16">
                  <c:v>0.43430000000000002</c:v>
                </c:pt>
                <c:pt idx="17">
                  <c:v>0.34560000000000002</c:v>
                </c:pt>
                <c:pt idx="18">
                  <c:v>0.2782</c:v>
                </c:pt>
                <c:pt idx="19">
                  <c:v>0.2263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兵消耗!$V$1</c:f>
              <c:strCache>
                <c:ptCount val="1"/>
                <c:pt idx="0">
                  <c:v>所有兵种占木材比</c:v>
                </c:pt>
              </c:strCache>
            </c:strRef>
          </c:tx>
          <c:marker>
            <c:symbol val="none"/>
          </c:marker>
          <c:val>
            <c:numRef>
              <c:f>兵消耗!$V$2:$V$21</c:f>
              <c:numCache>
                <c:formatCode>0.00%</c:formatCode>
                <c:ptCount val="20"/>
                <c:pt idx="0">
                  <c:v>0.66460000000000008</c:v>
                </c:pt>
                <c:pt idx="1">
                  <c:v>0.79310000000000003</c:v>
                </c:pt>
                <c:pt idx="2">
                  <c:v>0.79970000000000008</c:v>
                </c:pt>
                <c:pt idx="3">
                  <c:v>0.93110000000000004</c:v>
                </c:pt>
                <c:pt idx="4">
                  <c:v>1.0937000000000001</c:v>
                </c:pt>
                <c:pt idx="5">
                  <c:v>1.4775</c:v>
                </c:pt>
                <c:pt idx="6">
                  <c:v>1.4959</c:v>
                </c:pt>
                <c:pt idx="7">
                  <c:v>0.99669999999999992</c:v>
                </c:pt>
                <c:pt idx="8">
                  <c:v>0.63779999999999992</c:v>
                </c:pt>
                <c:pt idx="9">
                  <c:v>0.53039999999999998</c:v>
                </c:pt>
                <c:pt idx="10">
                  <c:v>1.1925000000000001</c:v>
                </c:pt>
                <c:pt idx="11">
                  <c:v>1.577</c:v>
                </c:pt>
                <c:pt idx="12">
                  <c:v>1.2515000000000001</c:v>
                </c:pt>
                <c:pt idx="13">
                  <c:v>0.94359999999999999</c:v>
                </c:pt>
                <c:pt idx="14">
                  <c:v>0.72150000000000003</c:v>
                </c:pt>
                <c:pt idx="15">
                  <c:v>0.55710000000000004</c:v>
                </c:pt>
                <c:pt idx="16">
                  <c:v>0.43669999999999998</c:v>
                </c:pt>
                <c:pt idx="17">
                  <c:v>0.34740000000000004</c:v>
                </c:pt>
                <c:pt idx="18">
                  <c:v>0.2797</c:v>
                </c:pt>
                <c:pt idx="19">
                  <c:v>0.22760000000000002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兵消耗!$W$1</c:f>
              <c:strCache>
                <c:ptCount val="1"/>
                <c:pt idx="0">
                  <c:v>所有兵种占铁矿比</c:v>
                </c:pt>
              </c:strCache>
            </c:strRef>
          </c:tx>
          <c:marker>
            <c:symbol val="none"/>
          </c:marker>
          <c:val>
            <c:numRef>
              <c:f>兵消耗!$W$2:$W$21</c:f>
              <c:numCache>
                <c:formatCode>0.00%</c:formatCode>
                <c:ptCount val="20"/>
                <c:pt idx="0">
                  <c:v>0.56390000000000007</c:v>
                </c:pt>
                <c:pt idx="1">
                  <c:v>0.61780000000000002</c:v>
                </c:pt>
                <c:pt idx="2">
                  <c:v>0.61059999999999992</c:v>
                </c:pt>
                <c:pt idx="3">
                  <c:v>0.73310000000000008</c:v>
                </c:pt>
                <c:pt idx="4">
                  <c:v>0.89629999999999987</c:v>
                </c:pt>
                <c:pt idx="5">
                  <c:v>1.3611</c:v>
                </c:pt>
                <c:pt idx="6">
                  <c:v>1.4269000000000001</c:v>
                </c:pt>
                <c:pt idx="7">
                  <c:v>0.97170000000000001</c:v>
                </c:pt>
                <c:pt idx="8">
                  <c:v>0.62619999999999998</c:v>
                </c:pt>
                <c:pt idx="9">
                  <c:v>0.52329999999999999</c:v>
                </c:pt>
                <c:pt idx="10">
                  <c:v>1.1861999999999999</c:v>
                </c:pt>
                <c:pt idx="11">
                  <c:v>1.5704</c:v>
                </c:pt>
                <c:pt idx="12">
                  <c:v>1.2464</c:v>
                </c:pt>
                <c:pt idx="13">
                  <c:v>0.93979999999999997</c:v>
                </c:pt>
                <c:pt idx="14">
                  <c:v>0.71879999999999999</c:v>
                </c:pt>
                <c:pt idx="15">
                  <c:v>0.55469999999999997</c:v>
                </c:pt>
                <c:pt idx="16">
                  <c:v>0.43509999999999999</c:v>
                </c:pt>
                <c:pt idx="17">
                  <c:v>0.34610000000000002</c:v>
                </c:pt>
                <c:pt idx="18">
                  <c:v>0.27860000000000001</c:v>
                </c:pt>
                <c:pt idx="19">
                  <c:v>0.22669999999999998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08480"/>
        <c:axId val="120710272"/>
      </c:lineChart>
      <c:catAx>
        <c:axId val="120708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20710272"/>
        <c:crosses val="autoZero"/>
        <c:auto val="1"/>
        <c:lblAlgn val="ctr"/>
        <c:lblOffset val="100"/>
        <c:noMultiLvlLbl val="0"/>
      </c:catAx>
      <c:valAx>
        <c:axId val="1207102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0708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3</xdr:row>
      <xdr:rowOff>66675</xdr:rowOff>
    </xdr:from>
    <xdr:to>
      <xdr:col>18</xdr:col>
      <xdr:colOff>381000</xdr:colOff>
      <xdr:row>19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685800</xdr:colOff>
      <xdr:row>3</xdr:row>
      <xdr:rowOff>76200</xdr:rowOff>
    </xdr:from>
    <xdr:to>
      <xdr:col>24</xdr:col>
      <xdr:colOff>657225</xdr:colOff>
      <xdr:row>19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257175</xdr:colOff>
      <xdr:row>22</xdr:row>
      <xdr:rowOff>85725</xdr:rowOff>
    </xdr:from>
    <xdr:to>
      <xdr:col>26</xdr:col>
      <xdr:colOff>676275</xdr:colOff>
      <xdr:row>38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27" workbookViewId="0">
      <selection activeCell="A172" sqref="A172:XFD172"/>
    </sheetView>
  </sheetViews>
  <sheetFormatPr defaultRowHeight="13.5"/>
  <cols>
    <col min="1" max="1" width="120.125" style="7" customWidth="1"/>
    <col min="2" max="2" width="11.25" customWidth="1"/>
  </cols>
  <sheetData>
    <row r="1" spans="1:2" s="1" customFormat="1"/>
    <row r="2" spans="1:2">
      <c r="A2" s="4"/>
    </row>
    <row r="3" spans="1:2">
      <c r="A3" s="4" t="s">
        <v>449</v>
      </c>
      <c r="B3" s="34">
        <v>0.95</v>
      </c>
    </row>
    <row r="4" spans="1:2">
      <c r="A4" s="4" t="s">
        <v>450</v>
      </c>
      <c r="B4" s="10">
        <v>4</v>
      </c>
    </row>
    <row r="5" spans="1:2">
      <c r="A5" s="4"/>
    </row>
    <row r="6" spans="1:2">
      <c r="A6" s="3" t="s">
        <v>0</v>
      </c>
    </row>
    <row r="7" spans="1:2" s="2" customFormat="1">
      <c r="A7" s="5" t="s">
        <v>12</v>
      </c>
    </row>
    <row r="8" spans="1:2">
      <c r="A8" s="6" t="s">
        <v>15</v>
      </c>
    </row>
    <row r="9" spans="1:2">
      <c r="A9" s="6" t="s">
        <v>19</v>
      </c>
    </row>
    <row r="11" spans="1:2">
      <c r="A11" s="4" t="s">
        <v>1</v>
      </c>
    </row>
    <row r="12" spans="1:2">
      <c r="A12" s="7" t="s">
        <v>3</v>
      </c>
    </row>
    <row r="13" spans="1:2">
      <c r="A13" s="6" t="s">
        <v>87</v>
      </c>
    </row>
    <row r="14" spans="1:2">
      <c r="A14" s="6" t="s">
        <v>80</v>
      </c>
      <c r="B14">
        <f>兵攻防!AM22</f>
        <v>0.5</v>
      </c>
    </row>
    <row r="15" spans="1:2">
      <c r="A15" s="6" t="s">
        <v>16</v>
      </c>
    </row>
    <row r="17" spans="1:2">
      <c r="A17" s="4" t="s">
        <v>4</v>
      </c>
    </row>
    <row r="18" spans="1:2">
      <c r="A18" s="7" t="s">
        <v>5</v>
      </c>
    </row>
    <row r="20" spans="1:2">
      <c r="A20" s="4" t="s">
        <v>13</v>
      </c>
    </row>
    <row r="21" spans="1:2">
      <c r="A21" s="7" t="s">
        <v>6</v>
      </c>
    </row>
    <row r="22" spans="1:2">
      <c r="A22" s="7" t="s">
        <v>14</v>
      </c>
    </row>
    <row r="23" spans="1:2">
      <c r="A23" s="7" t="s">
        <v>262</v>
      </c>
      <c r="B23">
        <f>B180</f>
        <v>150</v>
      </c>
    </row>
    <row r="25" spans="1:2">
      <c r="A25" s="4" t="s">
        <v>7</v>
      </c>
    </row>
    <row r="26" spans="1:2">
      <c r="A26" s="7" t="s">
        <v>18</v>
      </c>
    </row>
    <row r="27" spans="1:2">
      <c r="A27" s="7" t="s">
        <v>17</v>
      </c>
    </row>
    <row r="28" spans="1:2">
      <c r="A28" s="7" t="s">
        <v>311</v>
      </c>
      <c r="B28">
        <v>100</v>
      </c>
    </row>
    <row r="29" spans="1:2">
      <c r="A29" s="7" t="s">
        <v>312</v>
      </c>
      <c r="B29">
        <v>0</v>
      </c>
    </row>
    <row r="31" spans="1:2" s="2" customFormat="1">
      <c r="A31" s="5" t="s">
        <v>20</v>
      </c>
    </row>
    <row r="32" spans="1:2">
      <c r="A32" s="7" t="s">
        <v>21</v>
      </c>
    </row>
    <row r="34" spans="1:2">
      <c r="A34" s="4" t="s">
        <v>8</v>
      </c>
    </row>
    <row r="35" spans="1:2">
      <c r="A35" s="7" t="s">
        <v>86</v>
      </c>
    </row>
    <row r="36" spans="1:2">
      <c r="A36" s="7" t="s">
        <v>81</v>
      </c>
      <c r="B36">
        <f>兵攻防!AM22</f>
        <v>0.5</v>
      </c>
    </row>
    <row r="38" spans="1:2">
      <c r="A38" s="4" t="s">
        <v>9</v>
      </c>
    </row>
    <row r="39" spans="1:2">
      <c r="A39" s="7" t="s">
        <v>10</v>
      </c>
    </row>
    <row r="41" spans="1:2" s="2" customFormat="1">
      <c r="A41" s="5" t="s">
        <v>22</v>
      </c>
    </row>
    <row r="42" spans="1:2" ht="27">
      <c r="A42" s="7" t="s">
        <v>292</v>
      </c>
    </row>
    <row r="43" spans="1:2">
      <c r="A43" s="7" t="s">
        <v>84</v>
      </c>
      <c r="B43">
        <f>兵攻防!AN22</f>
        <v>0.15</v>
      </c>
    </row>
    <row r="44" spans="1:2">
      <c r="A44" s="7" t="s">
        <v>83</v>
      </c>
      <c r="B44">
        <f>兵攻防!AO22</f>
        <v>6000</v>
      </c>
    </row>
    <row r="45" spans="1:2">
      <c r="A45" s="7" t="s">
        <v>82</v>
      </c>
      <c r="B45">
        <f>兵攻防!AP22</f>
        <v>500</v>
      </c>
    </row>
    <row r="46" spans="1:2">
      <c r="A46" s="7" t="s">
        <v>85</v>
      </c>
      <c r="B46">
        <f>兵攻防!AQ22</f>
        <v>20000</v>
      </c>
    </row>
    <row r="48" spans="1:2">
      <c r="A48" s="4" t="s">
        <v>291</v>
      </c>
    </row>
    <row r="49" spans="1:5">
      <c r="A49" s="7" t="s">
        <v>295</v>
      </c>
    </row>
    <row r="50" spans="1:5">
      <c r="A50" s="7" t="s">
        <v>294</v>
      </c>
      <c r="B50">
        <v>5</v>
      </c>
    </row>
    <row r="51" spans="1:5">
      <c r="A51" s="7" t="s">
        <v>298</v>
      </c>
      <c r="B51">
        <f>ROUND(AVERAGEA(C51:E51),4)</f>
        <v>3.4260000000000002</v>
      </c>
      <c r="C51">
        <f>ROUND(AVERAGE(兵攻防!F53,兵攻防!F37,兵攻防!F45,兵攻防!F61,兵攻防!F69,兵攻防!F77,兵攻防!F85,兵攻防!F93,兵攻防!F101)/5000,4)</f>
        <v>3.7559</v>
      </c>
      <c r="D51">
        <f>ROUND(AVERAGE(兵攻防!F28,兵攻防!F36,兵攻防!F44,兵攻防!F52,兵攻防!F60,兵攻防!F68,兵攻防!F76,兵攻防!F84,兵攻防!F92,兵攻防!F100)/2000,4)</f>
        <v>3.3224999999999998</v>
      </c>
      <c r="E51">
        <f>ROUND(AVERAGE(兵攻防!F35,兵攻防!F43,兵攻防!F51,兵攻防!F59,兵攻防!F67,兵攻防!F75,兵攻防!F83,兵攻防!F91,兵攻防!F99)/1000,4)</f>
        <v>3.1997</v>
      </c>
    </row>
    <row r="52" spans="1:5">
      <c r="A52" s="7" t="s">
        <v>300</v>
      </c>
      <c r="B52" s="34">
        <v>0.3</v>
      </c>
    </row>
    <row r="53" spans="1:5">
      <c r="A53" s="7" t="s">
        <v>301</v>
      </c>
      <c r="B53">
        <v>5</v>
      </c>
    </row>
    <row r="55" spans="1:5" s="2" customFormat="1">
      <c r="A55" s="5" t="s">
        <v>54</v>
      </c>
    </row>
    <row r="56" spans="1:5">
      <c r="A56" s="6" t="s">
        <v>65</v>
      </c>
    </row>
    <row r="58" spans="1:5" s="2" customFormat="1">
      <c r="A58" s="5" t="s">
        <v>52</v>
      </c>
    </row>
    <row r="59" spans="1:5">
      <c r="A59" s="7" t="s">
        <v>55</v>
      </c>
    </row>
    <row r="60" spans="1:5">
      <c r="A60" s="7" t="s">
        <v>56</v>
      </c>
    </row>
    <row r="62" spans="1:5" s="2" customFormat="1">
      <c r="A62" s="5" t="s">
        <v>121</v>
      </c>
    </row>
    <row r="63" spans="1:5">
      <c r="A63" s="7" t="s">
        <v>111</v>
      </c>
    </row>
    <row r="65" spans="1:2" s="2" customFormat="1">
      <c r="A65" s="5" t="s">
        <v>110</v>
      </c>
    </row>
    <row r="66" spans="1:2">
      <c r="A66" s="7" t="s">
        <v>116</v>
      </c>
    </row>
    <row r="68" spans="1:2">
      <c r="A68" s="4" t="s">
        <v>89</v>
      </c>
    </row>
    <row r="69" spans="1:2">
      <c r="A69" s="7" t="s">
        <v>118</v>
      </c>
    </row>
    <row r="70" spans="1:2">
      <c r="A70" s="7" t="s">
        <v>98</v>
      </c>
      <c r="B70">
        <f>兵攻防!BG32</f>
        <v>300</v>
      </c>
    </row>
    <row r="71" spans="1:2">
      <c r="A71" s="7" t="s">
        <v>99</v>
      </c>
      <c r="B71">
        <f>兵攻防!BH32</f>
        <v>60000</v>
      </c>
    </row>
    <row r="72" spans="1:2">
      <c r="A72" s="7" t="s">
        <v>24</v>
      </c>
      <c r="B72">
        <f>兵攻防!AQ32</f>
        <v>20000</v>
      </c>
    </row>
    <row r="74" spans="1:2">
      <c r="A74" s="4" t="s">
        <v>90</v>
      </c>
    </row>
    <row r="75" spans="1:2" ht="27">
      <c r="A75" s="7" t="s">
        <v>119</v>
      </c>
    </row>
    <row r="76" spans="1:2">
      <c r="A76" s="7" t="s">
        <v>101</v>
      </c>
      <c r="B76">
        <f>兵攻防!BI32</f>
        <v>200</v>
      </c>
    </row>
    <row r="77" spans="1:2">
      <c r="A77" s="7" t="s">
        <v>103</v>
      </c>
      <c r="B77">
        <f>兵攻防!BJ32</f>
        <v>11500</v>
      </c>
    </row>
    <row r="79" spans="1:2">
      <c r="A79" s="4" t="s">
        <v>120</v>
      </c>
    </row>
    <row r="80" spans="1:2">
      <c r="A80" s="7" t="s">
        <v>122</v>
      </c>
    </row>
    <row r="81" spans="1:2">
      <c r="A81" s="7" t="s">
        <v>123</v>
      </c>
    </row>
    <row r="83" spans="1:2">
      <c r="A83" s="4" t="s">
        <v>220</v>
      </c>
      <c r="B83">
        <v>1.7</v>
      </c>
    </row>
    <row r="84" spans="1:2">
      <c r="A84" s="4" t="s">
        <v>224</v>
      </c>
      <c r="B84" s="34">
        <v>0.03</v>
      </c>
    </row>
    <row r="85" spans="1:2">
      <c r="A85" s="4" t="s">
        <v>228</v>
      </c>
      <c r="B85">
        <v>0.8</v>
      </c>
    </row>
    <row r="87" spans="1:2" s="2" customFormat="1">
      <c r="A87" s="5" t="s">
        <v>136</v>
      </c>
    </row>
    <row r="88" spans="1:2">
      <c r="A88" s="7" t="s">
        <v>139</v>
      </c>
      <c r="B88" s="34">
        <f>产出与消耗!Q4</f>
        <v>0.3</v>
      </c>
    </row>
    <row r="89" spans="1:2">
      <c r="A89" s="7" t="s">
        <v>149</v>
      </c>
      <c r="B89" s="34">
        <f>产出与消耗!S4</f>
        <v>0.35</v>
      </c>
    </row>
    <row r="90" spans="1:2">
      <c r="A90" s="7" t="s">
        <v>141</v>
      </c>
      <c r="B90" s="34">
        <f>产出与消耗!U4</f>
        <v>0.15</v>
      </c>
    </row>
    <row r="91" spans="1:2">
      <c r="A91" s="7" t="s">
        <v>142</v>
      </c>
      <c r="B91" s="34">
        <f>产出与消耗!W4</f>
        <v>0.2</v>
      </c>
    </row>
    <row r="92" spans="1:2">
      <c r="B92" s="34"/>
    </row>
    <row r="93" spans="1:2" s="2" customFormat="1">
      <c r="A93" s="5" t="s">
        <v>137</v>
      </c>
      <c r="B93" s="42"/>
    </row>
    <row r="94" spans="1:2">
      <c r="A94" s="7" t="s">
        <v>139</v>
      </c>
      <c r="B94" s="34">
        <f>产出与消耗!Q26</f>
        <v>0.4</v>
      </c>
    </row>
    <row r="95" spans="1:2">
      <c r="A95" s="7" t="s">
        <v>140</v>
      </c>
      <c r="B95" s="34">
        <v>0.15</v>
      </c>
    </row>
    <row r="96" spans="1:2">
      <c r="A96" s="7" t="s">
        <v>151</v>
      </c>
      <c r="B96" s="34">
        <v>0.1</v>
      </c>
    </row>
    <row r="97" spans="1:2">
      <c r="A97" s="7" t="s">
        <v>143</v>
      </c>
      <c r="B97" s="34">
        <f>产出与消耗!Y26</f>
        <v>0.2</v>
      </c>
    </row>
    <row r="98" spans="1:2">
      <c r="A98" s="7" t="s">
        <v>144</v>
      </c>
      <c r="B98" s="34">
        <f>产出与消耗!AA26</f>
        <v>0.15</v>
      </c>
    </row>
    <row r="99" spans="1:2">
      <c r="B99" s="34"/>
    </row>
    <row r="100" spans="1:2" s="2" customFormat="1">
      <c r="A100" s="5" t="s">
        <v>138</v>
      </c>
      <c r="B100" s="42"/>
    </row>
    <row r="101" spans="1:2">
      <c r="A101" s="7" t="s">
        <v>139</v>
      </c>
      <c r="B101" s="34">
        <f>产出与消耗!Q48</f>
        <v>0.25</v>
      </c>
    </row>
    <row r="102" spans="1:2">
      <c r="A102" s="7" t="s">
        <v>140</v>
      </c>
      <c r="B102" s="34">
        <f>产出与消耗!S48</f>
        <v>0.1</v>
      </c>
    </row>
    <row r="103" spans="1:2">
      <c r="A103" s="7" t="s">
        <v>141</v>
      </c>
      <c r="B103" s="34">
        <f>产出与消耗!U48</f>
        <v>0.1</v>
      </c>
    </row>
    <row r="104" spans="1:2">
      <c r="A104" s="7" t="s">
        <v>143</v>
      </c>
      <c r="B104" s="34">
        <f>产出与消耗!Y48</f>
        <v>0.4</v>
      </c>
    </row>
    <row r="105" spans="1:2">
      <c r="A105" s="7" t="s">
        <v>144</v>
      </c>
      <c r="B105" s="34">
        <f>产出与消耗!AA48</f>
        <v>0.15</v>
      </c>
    </row>
    <row r="107" spans="1:2" s="2" customFormat="1">
      <c r="A107" s="5" t="s">
        <v>169</v>
      </c>
      <c r="B107" s="42"/>
    </row>
    <row r="108" spans="1:2">
      <c r="A108" s="7" t="s">
        <v>170</v>
      </c>
      <c r="B108" s="34">
        <v>0.35</v>
      </c>
    </row>
    <row r="109" spans="1:2">
      <c r="A109" s="7" t="s">
        <v>175</v>
      </c>
      <c r="B109" s="34">
        <v>0.15</v>
      </c>
    </row>
    <row r="110" spans="1:2">
      <c r="A110" s="7" t="s">
        <v>171</v>
      </c>
      <c r="B110" s="34">
        <v>0.1</v>
      </c>
    </row>
    <row r="111" spans="1:2">
      <c r="A111" s="7" t="s">
        <v>172</v>
      </c>
      <c r="B111" s="34">
        <v>0.05</v>
      </c>
    </row>
    <row r="112" spans="1:2">
      <c r="A112" s="7" t="s">
        <v>174</v>
      </c>
      <c r="B112" s="34">
        <v>0.35</v>
      </c>
    </row>
    <row r="114" spans="1:2">
      <c r="A114" s="4" t="s">
        <v>230</v>
      </c>
      <c r="B114" s="34">
        <v>0.65</v>
      </c>
    </row>
    <row r="116" spans="1:2">
      <c r="A116" s="4" t="s">
        <v>261</v>
      </c>
      <c r="B116" s="69">
        <f>兵消耗!G231</f>
        <v>1125000</v>
      </c>
    </row>
    <row r="117" spans="1:2">
      <c r="A117" s="4" t="s">
        <v>263</v>
      </c>
      <c r="B117" s="69">
        <f>ROUND(B116/B23,0)</f>
        <v>7500</v>
      </c>
    </row>
    <row r="119" spans="1:2" s="5" customFormat="1">
      <c r="A119" s="5" t="s">
        <v>451</v>
      </c>
    </row>
    <row r="120" spans="1:2">
      <c r="A120" s="7" t="s">
        <v>452</v>
      </c>
      <c r="B120" s="34">
        <v>0.1</v>
      </c>
    </row>
    <row r="121" spans="1:2">
      <c r="A121" s="7" t="s">
        <v>167</v>
      </c>
      <c r="B121" s="34">
        <v>0.09</v>
      </c>
    </row>
    <row r="122" spans="1:2">
      <c r="A122" s="7" t="s">
        <v>184</v>
      </c>
      <c r="B122" s="34">
        <v>0.06</v>
      </c>
    </row>
    <row r="123" spans="1:2">
      <c r="A123" s="7" t="s">
        <v>444</v>
      </c>
      <c r="B123" s="34">
        <v>0.06</v>
      </c>
    </row>
    <row r="124" spans="1:2">
      <c r="A124" s="7" t="s">
        <v>459</v>
      </c>
      <c r="B124" s="34">
        <v>0.08</v>
      </c>
    </row>
    <row r="125" spans="1:2">
      <c r="A125" s="7" t="s">
        <v>460</v>
      </c>
      <c r="B125" s="34">
        <v>0.08</v>
      </c>
    </row>
    <row r="126" spans="1:2">
      <c r="A126" s="7" t="s">
        <v>461</v>
      </c>
      <c r="B126" s="34">
        <v>0.05</v>
      </c>
    </row>
    <row r="127" spans="1:2">
      <c r="A127" s="7" t="s">
        <v>465</v>
      </c>
      <c r="B127" s="34">
        <v>0.04</v>
      </c>
    </row>
    <row r="128" spans="1:2">
      <c r="A128" s="7" t="s">
        <v>466</v>
      </c>
      <c r="B128" s="34">
        <v>0.04</v>
      </c>
    </row>
    <row r="129" spans="1:2">
      <c r="A129" s="7" t="s">
        <v>467</v>
      </c>
      <c r="B129" s="34">
        <v>0.04</v>
      </c>
    </row>
    <row r="130" spans="1:2">
      <c r="A130" s="7" t="s">
        <v>484</v>
      </c>
      <c r="B130" s="34">
        <v>7.0000000000000007E-2</v>
      </c>
    </row>
    <row r="131" spans="1:2">
      <c r="A131" s="7" t="s">
        <v>454</v>
      </c>
      <c r="B131" s="34">
        <v>0.03</v>
      </c>
    </row>
    <row r="132" spans="1:2">
      <c r="A132" s="7" t="s">
        <v>455</v>
      </c>
      <c r="B132" s="34">
        <v>3.5000000000000003E-2</v>
      </c>
    </row>
    <row r="133" spans="1:2">
      <c r="A133" s="7" t="s">
        <v>183</v>
      </c>
      <c r="B133" s="34">
        <v>0.04</v>
      </c>
    </row>
    <row r="134" spans="1:2">
      <c r="A134" s="7" t="s">
        <v>482</v>
      </c>
      <c r="B134" s="34">
        <v>0.04</v>
      </c>
    </row>
    <row r="135" spans="1:2">
      <c r="B135" s="34">
        <f>SUM(B120:B130)+2*SUM(B131:B134)</f>
        <v>1.0000000000000002</v>
      </c>
    </row>
    <row r="136" spans="1:2">
      <c r="A136" s="7" t="s">
        <v>462</v>
      </c>
      <c r="B136" s="10">
        <f>COUNT(B120:B134)</f>
        <v>15</v>
      </c>
    </row>
    <row r="137" spans="1:2">
      <c r="B137" s="10"/>
    </row>
    <row r="138" spans="1:2" s="5" customFormat="1">
      <c r="A138" s="5" t="s">
        <v>483</v>
      </c>
    </row>
    <row r="139" spans="1:2">
      <c r="A139" s="7" t="s">
        <v>452</v>
      </c>
      <c r="B139" s="10">
        <v>1</v>
      </c>
    </row>
    <row r="140" spans="1:2">
      <c r="A140" s="7" t="s">
        <v>167</v>
      </c>
      <c r="B140" s="10">
        <v>1</v>
      </c>
    </row>
    <row r="141" spans="1:2">
      <c r="A141" s="7" t="s">
        <v>184</v>
      </c>
      <c r="B141" s="10">
        <v>1</v>
      </c>
    </row>
    <row r="142" spans="1:2">
      <c r="A142" s="7" t="s">
        <v>444</v>
      </c>
      <c r="B142" s="10">
        <v>1</v>
      </c>
    </row>
    <row r="143" spans="1:2">
      <c r="A143" s="7" t="s">
        <v>459</v>
      </c>
      <c r="B143" s="10">
        <v>1</v>
      </c>
    </row>
    <row r="144" spans="1:2">
      <c r="A144" s="7" t="s">
        <v>460</v>
      </c>
      <c r="B144" s="10">
        <v>1</v>
      </c>
    </row>
    <row r="145" spans="1:2">
      <c r="A145" s="7" t="s">
        <v>461</v>
      </c>
      <c r="B145" s="10">
        <v>1</v>
      </c>
    </row>
    <row r="146" spans="1:2">
      <c r="A146" s="7" t="s">
        <v>465</v>
      </c>
      <c r="B146" s="10">
        <v>1</v>
      </c>
    </row>
    <row r="147" spans="1:2">
      <c r="A147" s="7" t="s">
        <v>466</v>
      </c>
      <c r="B147" s="10">
        <v>1</v>
      </c>
    </row>
    <row r="148" spans="1:2">
      <c r="A148" s="7" t="s">
        <v>467</v>
      </c>
      <c r="B148" s="10">
        <v>1</v>
      </c>
    </row>
    <row r="149" spans="1:2">
      <c r="A149" s="7" t="s">
        <v>481</v>
      </c>
      <c r="B149" s="10">
        <v>1</v>
      </c>
    </row>
    <row r="150" spans="1:2">
      <c r="A150" s="7" t="s">
        <v>454</v>
      </c>
      <c r="B150" s="10">
        <v>2</v>
      </c>
    </row>
    <row r="151" spans="1:2">
      <c r="A151" s="7" t="s">
        <v>455</v>
      </c>
      <c r="B151" s="10">
        <v>2</v>
      </c>
    </row>
    <row r="152" spans="1:2">
      <c r="A152" s="7" t="s">
        <v>183</v>
      </c>
      <c r="B152" s="10">
        <v>2</v>
      </c>
    </row>
    <row r="153" spans="1:2">
      <c r="A153" s="7" t="s">
        <v>482</v>
      </c>
      <c r="B153" s="10">
        <v>2</v>
      </c>
    </row>
    <row r="154" spans="1:2">
      <c r="B154" s="10"/>
    </row>
    <row r="155" spans="1:2" s="5" customFormat="1">
      <c r="A155" s="5" t="s">
        <v>472</v>
      </c>
    </row>
    <row r="156" spans="1:2">
      <c r="A156" s="7" t="s">
        <v>474</v>
      </c>
    </row>
    <row r="157" spans="1:2">
      <c r="A157" s="7" t="s">
        <v>475</v>
      </c>
    </row>
    <row r="158" spans="1:2">
      <c r="A158" s="4" t="s">
        <v>473</v>
      </c>
      <c r="B158" s="10">
        <v>13</v>
      </c>
    </row>
    <row r="159" spans="1:2">
      <c r="B159" s="10"/>
    </row>
    <row r="160" spans="1:2">
      <c r="A160" s="7" t="s">
        <v>479</v>
      </c>
      <c r="B160" s="34">
        <v>0.5</v>
      </c>
    </row>
    <row r="161" spans="1:2">
      <c r="A161" s="7" t="s">
        <v>478</v>
      </c>
      <c r="B161" s="34">
        <v>0.5</v>
      </c>
    </row>
    <row r="162" spans="1:2">
      <c r="A162" s="7" t="s">
        <v>452</v>
      </c>
      <c r="B162" s="34">
        <v>0.05</v>
      </c>
    </row>
    <row r="163" spans="1:2">
      <c r="A163" s="7" t="s">
        <v>167</v>
      </c>
      <c r="B163" s="34">
        <v>0.02</v>
      </c>
    </row>
    <row r="164" spans="1:2">
      <c r="A164" s="7" t="s">
        <v>184</v>
      </c>
      <c r="B164" s="34">
        <v>3.5000000000000003E-2</v>
      </c>
    </row>
    <row r="165" spans="1:2">
      <c r="A165" s="7" t="s">
        <v>444</v>
      </c>
      <c r="B165" s="34">
        <v>0.04</v>
      </c>
    </row>
    <row r="166" spans="1:2">
      <c r="A166" s="7" t="s">
        <v>459</v>
      </c>
      <c r="B166" s="34">
        <v>7.4999999999999997E-2</v>
      </c>
    </row>
    <row r="167" spans="1:2">
      <c r="A167" s="7" t="s">
        <v>460</v>
      </c>
      <c r="B167" s="34">
        <v>0.05</v>
      </c>
    </row>
    <row r="168" spans="1:2">
      <c r="A168" s="7" t="s">
        <v>461</v>
      </c>
      <c r="B168" s="34">
        <v>0.05</v>
      </c>
    </row>
    <row r="169" spans="1:2">
      <c r="A169" s="7" t="s">
        <v>465</v>
      </c>
      <c r="B169" s="34">
        <v>3.5000000000000003E-2</v>
      </c>
    </row>
    <row r="170" spans="1:2">
      <c r="A170" s="7" t="s">
        <v>466</v>
      </c>
      <c r="B170" s="34">
        <v>0.05</v>
      </c>
    </row>
    <row r="171" spans="1:2">
      <c r="A171" s="7" t="s">
        <v>467</v>
      </c>
      <c r="B171" s="34">
        <v>1.4999999999999999E-2</v>
      </c>
    </row>
    <row r="172" spans="1:2">
      <c r="A172" s="7" t="s">
        <v>484</v>
      </c>
      <c r="B172" s="34">
        <v>0.02</v>
      </c>
    </row>
    <row r="173" spans="1:2">
      <c r="A173" s="7" t="s">
        <v>454</v>
      </c>
      <c r="B173" s="34">
        <v>7.4999999999999997E-2</v>
      </c>
    </row>
    <row r="174" spans="1:2">
      <c r="A174" s="7" t="s">
        <v>455</v>
      </c>
      <c r="B174" s="34">
        <v>8.5000000000000006E-2</v>
      </c>
    </row>
    <row r="175" spans="1:2">
      <c r="A175" s="7" t="s">
        <v>183</v>
      </c>
      <c r="B175" s="34">
        <v>0.1</v>
      </c>
    </row>
    <row r="176" spans="1:2">
      <c r="A176" s="7" t="s">
        <v>482</v>
      </c>
      <c r="B176" s="34">
        <v>0.02</v>
      </c>
    </row>
    <row r="177" spans="1:2">
      <c r="B177" s="34">
        <f>SUM(B162:B172)+2*SUM(B173:B176)</f>
        <v>1</v>
      </c>
    </row>
    <row r="178" spans="1:2">
      <c r="B178" s="10"/>
    </row>
    <row r="179" spans="1:2" s="5" customFormat="1">
      <c r="A179" s="5" t="s">
        <v>303</v>
      </c>
    </row>
    <row r="180" spans="1:2">
      <c r="A180" s="7" t="s">
        <v>306</v>
      </c>
      <c r="B180">
        <v>150</v>
      </c>
    </row>
    <row r="181" spans="1:2">
      <c r="A181" s="7" t="s">
        <v>307</v>
      </c>
      <c r="B181">
        <v>30</v>
      </c>
    </row>
    <row r="182" spans="1:2">
      <c r="A182" s="7" t="s">
        <v>305</v>
      </c>
      <c r="B182">
        <v>150</v>
      </c>
    </row>
    <row r="183" spans="1:2">
      <c r="A183" s="7" t="s">
        <v>308</v>
      </c>
      <c r="B183">
        <v>30</v>
      </c>
    </row>
    <row r="184" spans="1:2">
      <c r="A184" s="7" t="s">
        <v>309</v>
      </c>
      <c r="B184">
        <v>150</v>
      </c>
    </row>
    <row r="185" spans="1:2">
      <c r="A185" s="7" t="s">
        <v>310</v>
      </c>
      <c r="B185">
        <v>30</v>
      </c>
    </row>
    <row r="186" spans="1:2">
      <c r="A186" s="7" t="s">
        <v>304</v>
      </c>
      <c r="B186" s="34">
        <f>ROUND(100/B184/100,6)</f>
        <v>6.6670000000000002E-3</v>
      </c>
    </row>
    <row r="187" spans="1:2">
      <c r="A187" s="7" t="s">
        <v>320</v>
      </c>
      <c r="B187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topLeftCell="L1" workbookViewId="0">
      <selection activeCell="Y2" sqref="Y2"/>
    </sheetView>
  </sheetViews>
  <sheetFormatPr defaultRowHeight="13.5"/>
  <cols>
    <col min="1" max="1" width="9.125" customWidth="1"/>
    <col min="2" max="2" width="10.5" customWidth="1"/>
    <col min="5" max="5" width="9" style="18"/>
    <col min="6" max="6" width="10.875" customWidth="1"/>
    <col min="7" max="7" width="10.5" customWidth="1"/>
    <col min="9" max="9" width="9" style="18"/>
    <col min="12" max="12" width="9.625" customWidth="1"/>
    <col min="13" max="13" width="8.875" customWidth="1"/>
    <col min="14" max="15" width="10.75" customWidth="1"/>
    <col min="17" max="17" width="9" style="18"/>
    <col min="18" max="18" width="11.75" customWidth="1"/>
    <col min="24" max="24" width="9" style="18"/>
    <col min="26" max="26" width="9" style="18"/>
    <col min="27" max="27" width="11.25" customWidth="1"/>
    <col min="28" max="31" width="11.5" customWidth="1"/>
  </cols>
  <sheetData>
    <row r="1" spans="1:31" s="7" customFormat="1" ht="27">
      <c r="A1" s="7" t="s">
        <v>44</v>
      </c>
      <c r="B1" s="7" t="s">
        <v>45</v>
      </c>
      <c r="C1" s="7" t="s">
        <v>46</v>
      </c>
      <c r="E1" s="17"/>
      <c r="F1" s="7" t="s">
        <v>67</v>
      </c>
      <c r="G1" s="7" t="s">
        <v>57</v>
      </c>
      <c r="H1" s="7" t="s">
        <v>64</v>
      </c>
      <c r="I1" s="17"/>
      <c r="J1" s="7" t="s">
        <v>107</v>
      </c>
      <c r="K1" s="7" t="s">
        <v>108</v>
      </c>
      <c r="L1" s="7" t="s">
        <v>226</v>
      </c>
      <c r="M1" s="7" t="s">
        <v>227</v>
      </c>
      <c r="N1" s="7" t="s">
        <v>225</v>
      </c>
      <c r="O1" s="7" t="s">
        <v>67</v>
      </c>
      <c r="P1" s="7" t="s">
        <v>229</v>
      </c>
      <c r="Q1" s="17"/>
      <c r="R1" s="7" t="s">
        <v>245</v>
      </c>
      <c r="S1" s="7" t="s">
        <v>246</v>
      </c>
      <c r="T1" s="7" t="s">
        <v>247</v>
      </c>
      <c r="U1" s="7" t="s">
        <v>248</v>
      </c>
      <c r="V1" s="7" t="s">
        <v>487</v>
      </c>
      <c r="W1" s="7" t="s">
        <v>486</v>
      </c>
      <c r="X1" s="17"/>
      <c r="Y1" s="7" t="s">
        <v>257</v>
      </c>
      <c r="Z1" s="17"/>
      <c r="AA1" s="7" t="s">
        <v>282</v>
      </c>
      <c r="AB1" s="7" t="s">
        <v>283</v>
      </c>
      <c r="AC1" s="7" t="s">
        <v>284</v>
      </c>
      <c r="AD1" s="7" t="s">
        <v>285</v>
      </c>
      <c r="AE1" s="7" t="s">
        <v>286</v>
      </c>
    </row>
    <row r="2" spans="1:31">
      <c r="A2">
        <v>1</v>
      </c>
      <c r="B2">
        <v>0.7</v>
      </c>
      <c r="C2" t="s">
        <v>71</v>
      </c>
      <c r="F2" s="7">
        <v>0</v>
      </c>
      <c r="G2" s="7">
        <v>0.7</v>
      </c>
      <c r="H2" t="s">
        <v>66</v>
      </c>
      <c r="J2">
        <v>1</v>
      </c>
      <c r="K2" s="34">
        <v>0.05</v>
      </c>
      <c r="L2">
        <v>1</v>
      </c>
      <c r="M2">
        <f t="shared" ref="M2:M10" si="0">ROUND(PI()*L2*L2,2)</f>
        <v>3.14</v>
      </c>
      <c r="N2" s="34">
        <f>POWER(M2*N3/M3,基本公式!$B$85)</f>
        <v>8.5441201097983477E-2</v>
      </c>
      <c r="O2">
        <v>100</v>
      </c>
      <c r="P2" s="34">
        <v>0</v>
      </c>
      <c r="R2">
        <v>1</v>
      </c>
      <c r="S2">
        <v>4000</v>
      </c>
      <c r="T2">
        <v>5000</v>
      </c>
      <c r="U2">
        <v>4000</v>
      </c>
      <c r="W2">
        <v>1000</v>
      </c>
      <c r="Y2">
        <v>1</v>
      </c>
      <c r="AA2" s="34">
        <v>0.6</v>
      </c>
      <c r="AB2" s="34">
        <v>0.3</v>
      </c>
      <c r="AC2" s="34">
        <v>6.8000000000000005E-2</v>
      </c>
      <c r="AD2" s="34">
        <v>0.03</v>
      </c>
      <c r="AE2" s="34">
        <v>2E-3</v>
      </c>
    </row>
    <row r="3" spans="1:31">
      <c r="A3">
        <v>2</v>
      </c>
      <c r="B3">
        <v>1.1000000000000001</v>
      </c>
      <c r="F3">
        <v>100</v>
      </c>
      <c r="G3">
        <v>1</v>
      </c>
      <c r="J3">
        <v>2</v>
      </c>
      <c r="K3" s="34">
        <f>K2+0.05</f>
        <v>0.1</v>
      </c>
      <c r="L3">
        <v>2</v>
      </c>
      <c r="M3">
        <f t="shared" si="0"/>
        <v>12.57</v>
      </c>
      <c r="N3" s="34">
        <f>POWER(M3*N4/M4,基本公式!$B$85)</f>
        <v>0.18492252324159375</v>
      </c>
      <c r="O3">
        <v>200</v>
      </c>
      <c r="P3" s="34">
        <v>0.01</v>
      </c>
      <c r="R3">
        <v>2</v>
      </c>
      <c r="S3">
        <v>7000</v>
      </c>
      <c r="T3">
        <v>8000</v>
      </c>
      <c r="U3">
        <v>7000</v>
      </c>
      <c r="W3">
        <v>1000</v>
      </c>
      <c r="Y3">
        <v>1</v>
      </c>
      <c r="Z3" s="18" t="s">
        <v>258</v>
      </c>
    </row>
    <row r="4" spans="1:31">
      <c r="A4">
        <v>3</v>
      </c>
      <c r="B4">
        <v>1.25</v>
      </c>
      <c r="C4" t="s">
        <v>62</v>
      </c>
      <c r="F4">
        <v>200</v>
      </c>
      <c r="G4">
        <f>G3+0.05</f>
        <v>1.05</v>
      </c>
      <c r="J4">
        <v>3</v>
      </c>
      <c r="K4" s="34">
        <f>K3+0.05</f>
        <v>0.15000000000000002</v>
      </c>
      <c r="L4">
        <v>3</v>
      </c>
      <c r="M4">
        <f t="shared" si="0"/>
        <v>28.27</v>
      </c>
      <c r="N4" s="34">
        <f>POWER(M4*N5/M5,基本公式!$B$85)</f>
        <v>0.27272678579906678</v>
      </c>
      <c r="O4">
        <v>300</v>
      </c>
      <c r="P4" s="34">
        <v>0.03</v>
      </c>
      <c r="R4">
        <v>3</v>
      </c>
      <c r="S4">
        <v>10000</v>
      </c>
      <c r="T4">
        <v>11000</v>
      </c>
      <c r="U4">
        <v>10000</v>
      </c>
      <c r="W4">
        <v>1000</v>
      </c>
      <c r="Y4">
        <v>2</v>
      </c>
    </row>
    <row r="5" spans="1:31">
      <c r="A5">
        <v>4</v>
      </c>
      <c r="B5">
        <v>1.3</v>
      </c>
      <c r="C5" t="s">
        <v>47</v>
      </c>
      <c r="F5">
        <v>300</v>
      </c>
      <c r="G5">
        <f t="shared" ref="G5:G12" si="1">G4+0.05</f>
        <v>1.1000000000000001</v>
      </c>
      <c r="J5">
        <v>4</v>
      </c>
      <c r="K5" s="34">
        <f>K4+0.06</f>
        <v>0.21000000000000002</v>
      </c>
      <c r="L5">
        <v>4</v>
      </c>
      <c r="M5">
        <f t="shared" si="0"/>
        <v>50.27</v>
      </c>
      <c r="N5" s="34">
        <f>POWER(M5*N6/M6,基本公式!$B$85)</f>
        <v>0.35046352066235725</v>
      </c>
      <c r="O5">
        <v>400</v>
      </c>
      <c r="P5" s="34">
        <f>P4+0.03</f>
        <v>0.06</v>
      </c>
      <c r="R5">
        <v>4</v>
      </c>
      <c r="S5">
        <v>12000</v>
      </c>
      <c r="T5">
        <v>13000</v>
      </c>
      <c r="U5">
        <v>12000</v>
      </c>
      <c r="W5">
        <v>1000</v>
      </c>
      <c r="Y5">
        <v>3</v>
      </c>
    </row>
    <row r="6" spans="1:31">
      <c r="A6">
        <v>5</v>
      </c>
      <c r="B6">
        <v>1.35</v>
      </c>
      <c r="F6">
        <v>400</v>
      </c>
      <c r="G6">
        <f t="shared" si="1"/>
        <v>1.1500000000000001</v>
      </c>
      <c r="J6">
        <v>5</v>
      </c>
      <c r="K6" s="34">
        <f>K5+0.06</f>
        <v>0.27</v>
      </c>
      <c r="L6">
        <v>5</v>
      </c>
      <c r="M6">
        <f t="shared" si="0"/>
        <v>78.540000000000006</v>
      </c>
      <c r="N6" s="34">
        <f>POWER(M6*N7/M7,基本公式!$B$85)</f>
        <v>0.42129425415699889</v>
      </c>
      <c r="O6">
        <v>500</v>
      </c>
      <c r="P6" s="34">
        <f>P5+0.03</f>
        <v>0.09</v>
      </c>
      <c r="R6">
        <v>5</v>
      </c>
      <c r="S6">
        <v>12000</v>
      </c>
      <c r="T6">
        <v>12000</v>
      </c>
      <c r="U6">
        <v>12000</v>
      </c>
      <c r="W6">
        <v>1000</v>
      </c>
      <c r="Y6">
        <v>4</v>
      </c>
    </row>
    <row r="7" spans="1:31">
      <c r="A7">
        <v>6</v>
      </c>
      <c r="B7">
        <v>1.4</v>
      </c>
      <c r="F7">
        <v>500</v>
      </c>
      <c r="G7">
        <f t="shared" si="1"/>
        <v>1.2000000000000002</v>
      </c>
      <c r="J7">
        <v>6</v>
      </c>
      <c r="K7" s="34">
        <f>K6+0.06</f>
        <v>0.33</v>
      </c>
      <c r="L7">
        <v>6</v>
      </c>
      <c r="M7">
        <f t="shared" si="0"/>
        <v>113.1</v>
      </c>
      <c r="N7" s="34">
        <f>POWER(M7*N8/M8,基本公式!$B$85)</f>
        <v>0.48876897173039319</v>
      </c>
      <c r="O7">
        <v>600</v>
      </c>
      <c r="P7" s="34">
        <f t="shared" ref="P7:P11" si="2">P6+0.03</f>
        <v>0.12</v>
      </c>
      <c r="R7">
        <v>6</v>
      </c>
      <c r="S7">
        <v>25000</v>
      </c>
      <c r="T7">
        <v>25000</v>
      </c>
      <c r="U7">
        <v>20000</v>
      </c>
      <c r="W7">
        <v>1000</v>
      </c>
      <c r="Y7">
        <v>5</v>
      </c>
    </row>
    <row r="8" spans="1:31">
      <c r="A8">
        <v>7</v>
      </c>
      <c r="B8">
        <v>1.45</v>
      </c>
      <c r="F8">
        <v>600</v>
      </c>
      <c r="G8">
        <f t="shared" si="1"/>
        <v>1.2500000000000002</v>
      </c>
      <c r="J8">
        <v>7</v>
      </c>
      <c r="K8" s="34">
        <f>K7+0.07</f>
        <v>0.4</v>
      </c>
      <c r="L8">
        <v>7</v>
      </c>
      <c r="M8">
        <f t="shared" si="0"/>
        <v>153.94</v>
      </c>
      <c r="N8" s="34">
        <f>POWER(M8*N9/M9,基本公式!$B$85)</f>
        <v>0.55624793575478926</v>
      </c>
      <c r="O8">
        <v>700</v>
      </c>
      <c r="P8" s="34">
        <f t="shared" si="2"/>
        <v>0.15</v>
      </c>
      <c r="R8">
        <v>7</v>
      </c>
      <c r="S8">
        <v>25000</v>
      </c>
      <c r="T8">
        <v>25000</v>
      </c>
      <c r="U8">
        <v>20000</v>
      </c>
      <c r="W8">
        <v>1000</v>
      </c>
      <c r="Y8">
        <v>6</v>
      </c>
    </row>
    <row r="9" spans="1:31">
      <c r="A9">
        <v>8</v>
      </c>
      <c r="B9">
        <v>1.5</v>
      </c>
      <c r="F9">
        <v>700</v>
      </c>
      <c r="G9">
        <f t="shared" si="1"/>
        <v>1.3000000000000003</v>
      </c>
      <c r="J9">
        <v>8</v>
      </c>
      <c r="K9" s="34">
        <f>K8+0.08</f>
        <v>0.48000000000000004</v>
      </c>
      <c r="L9">
        <v>8</v>
      </c>
      <c r="M9">
        <f t="shared" si="0"/>
        <v>201.06</v>
      </c>
      <c r="N9" s="34">
        <f>POWER(M9*N10/M10,基本公式!$B$85)</f>
        <v>0.62742195465205941</v>
      </c>
      <c r="O9">
        <v>800</v>
      </c>
      <c r="P9" s="34">
        <f t="shared" si="2"/>
        <v>0.18</v>
      </c>
      <c r="R9">
        <v>8</v>
      </c>
      <c r="S9">
        <v>25000</v>
      </c>
      <c r="T9">
        <v>25000</v>
      </c>
      <c r="U9">
        <v>20000</v>
      </c>
      <c r="W9">
        <v>1000</v>
      </c>
      <c r="Y9">
        <v>7</v>
      </c>
    </row>
    <row r="10" spans="1:31">
      <c r="A10">
        <v>9</v>
      </c>
      <c r="B10">
        <v>1.55</v>
      </c>
      <c r="F10">
        <v>800</v>
      </c>
      <c r="G10">
        <f t="shared" si="1"/>
        <v>1.3500000000000003</v>
      </c>
      <c r="J10">
        <v>9</v>
      </c>
      <c r="K10" s="34">
        <f>K9+0.09</f>
        <v>0.57000000000000006</v>
      </c>
      <c r="L10">
        <v>9</v>
      </c>
      <c r="M10">
        <f t="shared" si="0"/>
        <v>254.47</v>
      </c>
      <c r="N10" s="34">
        <f>POWER(M10*N11/M11,基本公式!$B$85)</f>
        <v>0.70674142987506383</v>
      </c>
      <c r="O10">
        <v>900</v>
      </c>
      <c r="P10" s="34">
        <f t="shared" si="2"/>
        <v>0.21</v>
      </c>
      <c r="R10">
        <v>9</v>
      </c>
      <c r="S10">
        <v>25000</v>
      </c>
      <c r="T10">
        <v>25000</v>
      </c>
      <c r="U10">
        <v>20000</v>
      </c>
      <c r="W10">
        <v>1000</v>
      </c>
      <c r="Y10">
        <v>8</v>
      </c>
    </row>
    <row r="11" spans="1:31">
      <c r="A11">
        <v>10</v>
      </c>
      <c r="B11">
        <v>1.6</v>
      </c>
      <c r="C11" t="s">
        <v>48</v>
      </c>
      <c r="F11">
        <v>900</v>
      </c>
      <c r="G11">
        <f t="shared" si="1"/>
        <v>1.4000000000000004</v>
      </c>
      <c r="J11">
        <v>10</v>
      </c>
      <c r="K11" s="34">
        <f>K10+0.1</f>
        <v>0.67</v>
      </c>
      <c r="L11">
        <v>10</v>
      </c>
      <c r="M11">
        <f>ROUND(PI()*L11*L11,2)</f>
        <v>314.16000000000003</v>
      </c>
      <c r="N11" s="34">
        <v>0.8</v>
      </c>
      <c r="O11">
        <v>1000</v>
      </c>
      <c r="P11" s="34">
        <f t="shared" si="2"/>
        <v>0.24</v>
      </c>
      <c r="R11">
        <v>10</v>
      </c>
      <c r="S11">
        <v>25000</v>
      </c>
      <c r="T11">
        <v>25000</v>
      </c>
      <c r="U11">
        <v>20000</v>
      </c>
      <c r="W11">
        <v>1000</v>
      </c>
      <c r="Y11">
        <v>9</v>
      </c>
    </row>
    <row r="12" spans="1:31">
      <c r="F12">
        <v>1000</v>
      </c>
      <c r="G12">
        <f t="shared" si="1"/>
        <v>1.4500000000000004</v>
      </c>
      <c r="Y12">
        <v>10</v>
      </c>
    </row>
    <row r="13" spans="1:31">
      <c r="Y13">
        <v>11</v>
      </c>
    </row>
    <row r="14" spans="1:31">
      <c r="Y14">
        <v>12</v>
      </c>
    </row>
    <row r="15" spans="1:31">
      <c r="Y15">
        <v>13</v>
      </c>
    </row>
    <row r="16" spans="1:31">
      <c r="Y16">
        <v>14</v>
      </c>
    </row>
    <row r="17" spans="1:26">
      <c r="Y17">
        <v>15</v>
      </c>
    </row>
    <row r="18" spans="1:26">
      <c r="Y18">
        <v>16</v>
      </c>
    </row>
    <row r="19" spans="1:26">
      <c r="Y19">
        <v>17</v>
      </c>
    </row>
    <row r="20" spans="1:26">
      <c r="Y20">
        <v>18</v>
      </c>
    </row>
    <row r="21" spans="1:26">
      <c r="Y21">
        <v>19</v>
      </c>
    </row>
    <row r="24" spans="1:26" s="18" customFormat="1"/>
    <row r="25" spans="1:26" s="18" customFormat="1"/>
    <row r="26" spans="1:26" s="18" customFormat="1"/>
    <row r="27" spans="1:26" s="7" customFormat="1" ht="27">
      <c r="A27" s="7" t="s">
        <v>404</v>
      </c>
      <c r="B27" s="7" t="s">
        <v>405</v>
      </c>
      <c r="E27" s="17"/>
      <c r="F27" s="12" t="s">
        <v>448</v>
      </c>
      <c r="G27" s="12" t="s">
        <v>446</v>
      </c>
      <c r="I27" s="17"/>
      <c r="Q27" s="17"/>
      <c r="X27" s="17"/>
      <c r="Z27" s="17"/>
    </row>
    <row r="28" spans="1:26">
      <c r="A28">
        <v>1</v>
      </c>
      <c r="B28">
        <v>35</v>
      </c>
      <c r="F28" s="34">
        <f>POWER(基本公式!$B$3,(建筑!$A$21+1-建筑!A2)*1.5)</f>
        <v>0.21463876394293749</v>
      </c>
      <c r="G28" s="83">
        <f>基本公式!$B$3*产出与消耗!M4*24*F28</f>
        <v>4.8937638178989745E-2</v>
      </c>
    </row>
    <row r="29" spans="1:26">
      <c r="A29">
        <v>2</v>
      </c>
      <c r="B29">
        <v>45</v>
      </c>
      <c r="F29" s="34">
        <f>POWER(基本公式!$B$3,建筑!$A$21+1-建筑!A3)</f>
        <v>0.37735360253530753</v>
      </c>
      <c r="G29" s="83">
        <f>基本公式!$B$3*产出与消耗!M5*24*F29</f>
        <v>0.43018310689025063</v>
      </c>
    </row>
    <row r="30" spans="1:26">
      <c r="A30">
        <v>3</v>
      </c>
      <c r="B30">
        <v>60</v>
      </c>
      <c r="F30" s="34">
        <f>POWER(基本公式!$B$3,建筑!$A$21+1-建筑!A4)</f>
        <v>0.39721431845821847</v>
      </c>
      <c r="G30" s="83">
        <f>基本公式!$B$3*产出与消耗!M6*24*F30</f>
        <v>1.8112972921694765</v>
      </c>
    </row>
    <row r="31" spans="1:26">
      <c r="A31">
        <v>4</v>
      </c>
      <c r="B31">
        <v>80</v>
      </c>
      <c r="F31" s="34">
        <f>POWER(基本公式!$B$3,建筑!$A$21+1-建筑!A5)</f>
        <v>0.41812033521917735</v>
      </c>
      <c r="G31" s="83">
        <f>基本公式!$B$3*产出与消耗!M7*24*F31</f>
        <v>4.2899146393487593</v>
      </c>
    </row>
    <row r="32" spans="1:26">
      <c r="A32">
        <v>5</v>
      </c>
      <c r="B32">
        <v>115</v>
      </c>
      <c r="F32" s="34">
        <f>POWER(基本公式!$B$3,建筑!$A$21+1-建筑!A6)</f>
        <v>0.44012666865176564</v>
      </c>
      <c r="G32" s="83">
        <f>基本公式!$B$3*产出与消耗!M8*24*F32</f>
        <v>8.5296548384712185</v>
      </c>
    </row>
    <row r="33" spans="6:7">
      <c r="F33" s="34">
        <f>POWER(基本公式!$B$3,建筑!$A$21+1-建筑!A7)</f>
        <v>0.46329123015975332</v>
      </c>
      <c r="G33" s="83">
        <f>基本公式!$B$3*产出与消耗!M9*24*F33</f>
        <v>14.788256066699324</v>
      </c>
    </row>
    <row r="34" spans="6:7">
      <c r="F34" s="34">
        <f>POWER(基本公式!$B$3,建筑!$A$21+1-建筑!A8)</f>
        <v>0.48767497911552976</v>
      </c>
      <c r="G34" s="83">
        <f>基本公式!$B$3*产出与消耗!M10*24*F34</f>
        <v>25.573675904818376</v>
      </c>
    </row>
    <row r="35" spans="6:7">
      <c r="F35" s="34">
        <f>POWER(基本公式!$B$3,建筑!$A$21+1-建筑!A9)</f>
        <v>0.51334208327950503</v>
      </c>
      <c r="G35" s="83">
        <f>基本公式!$B$3*产出与消耗!M11*24*F35</f>
        <v>50.328057844722672</v>
      </c>
    </row>
    <row r="36" spans="6:7">
      <c r="F36" s="34">
        <f>POWER(基本公式!$B$3,建筑!$A$21+1-建筑!A10)</f>
        <v>0.54036008766263688</v>
      </c>
      <c r="G36" s="83">
        <f>基本公式!$B$3*产出与消耗!M12*24*F36</f>
        <v>86.241469990956844</v>
      </c>
    </row>
    <row r="37" spans="6:7">
      <c r="F37" s="34">
        <f>POWER(基本公式!$B$3,建筑!$A$21+1-建筑!A11)</f>
        <v>0.56880009227645989</v>
      </c>
      <c r="G37" s="83">
        <f>基本公式!$B$3*产出与消耗!M13*24*F37</f>
        <v>142.65506314293614</v>
      </c>
    </row>
    <row r="38" spans="6:7">
      <c r="F38" s="34">
        <f>POWER(基本公式!$B$3,建筑!$A$21+1-建筑!A12)</f>
        <v>0.5987369392383789</v>
      </c>
      <c r="G38" s="83">
        <f>基本公式!$B$3*产出与消耗!M14*24*F38</f>
        <v>245.72163986343068</v>
      </c>
    </row>
    <row r="39" spans="6:7">
      <c r="F39" s="34">
        <f>POWER(基本公式!$B$3,建筑!$A$21+1-建筑!A13)</f>
        <v>0.6302494097246093</v>
      </c>
      <c r="G39" s="83">
        <f>基本公式!$B$3*产出与消耗!M15*24*F39</f>
        <v>387.98153662646945</v>
      </c>
    </row>
    <row r="40" spans="6:7">
      <c r="F40" s="34">
        <f>POWER(基本公式!$B$3,建筑!$A$21+1-建筑!A14)</f>
        <v>0.66342043128906247</v>
      </c>
      <c r="G40" s="83">
        <f>基本公式!$B$3*产出与消耗!M16*24*F40</f>
        <v>605.03943333562495</v>
      </c>
    </row>
    <row r="41" spans="6:7">
      <c r="F41" s="34">
        <f>POWER(基本公式!$B$3,建筑!$A$21+1-建筑!A15)</f>
        <v>0.69833729609374995</v>
      </c>
      <c r="G41" s="83">
        <f>基本公式!$B$3*产出与消耗!M17*24*F41</f>
        <v>891.63705965249994</v>
      </c>
    </row>
    <row r="42" spans="6:7">
      <c r="F42" s="34">
        <f>POWER(基本公式!$B$3,建筑!$A$21+1-建筑!A16)</f>
        <v>0.73509189062499991</v>
      </c>
      <c r="G42" s="83">
        <f>基本公式!$B$3*产出与消耗!M18*24*F42</f>
        <v>1257.0071329687498</v>
      </c>
    </row>
    <row r="43" spans="6:7">
      <c r="F43" s="34">
        <f>POWER(基本公式!$B$3,建筑!$A$21+1-建筑!A17)</f>
        <v>0.77378093749999999</v>
      </c>
      <c r="G43" s="83">
        <f>基本公式!$B$3*产出与消耗!M19*24*F43</f>
        <v>1711.2939213749999</v>
      </c>
    </row>
    <row r="44" spans="6:7">
      <c r="F44" s="34">
        <f>POWER(基本公式!$B$3,建筑!$A$21+1-建筑!A18)</f>
        <v>0.81450624999999999</v>
      </c>
      <c r="G44" s="83">
        <f>基本公式!$B$3*产出与消耗!M20*24*F44</f>
        <v>2265.6305849999999</v>
      </c>
    </row>
    <row r="45" spans="6:7">
      <c r="F45" s="34">
        <f>POWER(基本公式!$B$3,建筑!$A$21+1-建筑!A19)</f>
        <v>0.85737499999999989</v>
      </c>
      <c r="G45" s="83">
        <f>基本公式!$B$3*产出与消耗!M21*24*F45</f>
        <v>2932.2224999999994</v>
      </c>
    </row>
    <row r="46" spans="6:7">
      <c r="F46" s="34">
        <f>POWER(基本公式!$B$3,建筑!$A$21+1-建筑!A20)</f>
        <v>0.90249999999999997</v>
      </c>
      <c r="G46" s="83">
        <f>基本公式!$B$3*产出与消耗!M22*24*F46</f>
        <v>3724.436999999999</v>
      </c>
    </row>
    <row r="47" spans="6:7">
      <c r="F47" s="34">
        <f>POWER(基本公式!$B$3,建筑!$A$21+1-建筑!A21)</f>
        <v>0.95</v>
      </c>
      <c r="G47" s="83">
        <f>基本公式!$B$3*产出与消耗!M23*24*F47</f>
        <v>4656.8999999999996</v>
      </c>
    </row>
  </sheetData>
  <phoneticPr fontId="1" type="noConversion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5"/>
  <sheetViews>
    <sheetView workbookViewId="0">
      <pane xSplit="1" ySplit="2" topLeftCell="Y39" activePane="bottomRight" state="frozen"/>
      <selection pane="topRight" activeCell="B1" sqref="B1"/>
      <selection pane="bottomLeft" activeCell="A3" sqref="A3"/>
      <selection pane="bottomRight" activeCell="AB109" sqref="AB109"/>
    </sheetView>
  </sheetViews>
  <sheetFormatPr defaultRowHeight="13.5"/>
  <cols>
    <col min="1" max="1" width="11.5" customWidth="1"/>
    <col min="2" max="2" width="11.5" style="19" customWidth="1"/>
    <col min="3" max="3" width="6.875" style="21" customWidth="1"/>
    <col min="4" max="4" width="6.25" customWidth="1"/>
    <col min="5" max="5" width="9.125" customWidth="1"/>
    <col min="6" max="6" width="12" style="72" customWidth="1"/>
    <col min="7" max="7" width="12.75" customWidth="1"/>
    <col min="8" max="8" width="12" style="76" customWidth="1"/>
    <col min="10" max="10" width="9" customWidth="1"/>
    <col min="11" max="11" width="9" style="18"/>
    <col min="14" max="14" width="9" style="11"/>
    <col min="16" max="16" width="8.875" customWidth="1"/>
    <col min="17" max="17" width="11" bestFit="1" customWidth="1"/>
    <col min="18" max="18" width="11" customWidth="1"/>
    <col min="19" max="19" width="11" bestFit="1" customWidth="1"/>
    <col min="20" max="20" width="11" customWidth="1"/>
    <col min="21" max="21" width="8.125" customWidth="1"/>
    <col min="22" max="22" width="10.25" customWidth="1"/>
    <col min="23" max="24" width="12" style="13" customWidth="1"/>
    <col min="25" max="25" width="12" style="11" customWidth="1"/>
    <col min="26" max="26" width="13.375" style="11" bestFit="1" customWidth="1"/>
    <col min="27" max="27" width="12.125" style="11" customWidth="1"/>
    <col min="28" max="28" width="12" style="13" customWidth="1"/>
    <col min="29" max="29" width="12" style="11" customWidth="1"/>
    <col min="30" max="30" width="13.375" bestFit="1" customWidth="1"/>
    <col min="31" max="31" width="13.375" customWidth="1"/>
    <col min="32" max="32" width="12" style="13" customWidth="1"/>
    <col min="33" max="33" width="13.375" hidden="1" customWidth="1"/>
    <col min="34" max="34" width="12.625" customWidth="1"/>
    <col min="35" max="35" width="11.125" style="13" customWidth="1"/>
    <col min="36" max="36" width="12.5" hidden="1" customWidth="1"/>
    <col min="37" max="37" width="10.875" customWidth="1"/>
    <col min="38" max="38" width="12" style="13" customWidth="1"/>
    <col min="39" max="40" width="11.75" style="8" customWidth="1"/>
    <col min="41" max="41" width="9" style="8"/>
    <col min="42" max="42" width="8.75" style="8" customWidth="1"/>
    <col min="43" max="43" width="9" style="8"/>
    <col min="44" max="44" width="9" style="28"/>
    <col min="45" max="46" width="10.875" customWidth="1"/>
    <col min="47" max="47" width="12" style="13" customWidth="1"/>
    <col min="48" max="48" width="12" style="11" customWidth="1"/>
    <col min="49" max="49" width="9" style="35"/>
    <col min="50" max="50" width="9" style="1"/>
    <col min="53" max="53" width="9.375" customWidth="1"/>
    <col min="54" max="54" width="9.875" style="31" customWidth="1"/>
    <col min="55" max="55" width="10" customWidth="1"/>
    <col min="56" max="56" width="9.875" style="31" customWidth="1"/>
    <col min="57" max="58" width="7.875" customWidth="1"/>
    <col min="59" max="59" width="10.875" style="8" customWidth="1"/>
    <col min="60" max="60" width="9" style="8"/>
    <col min="61" max="61" width="11.125" customWidth="1"/>
  </cols>
  <sheetData>
    <row r="1" spans="1:62">
      <c r="A1" t="s">
        <v>32</v>
      </c>
      <c r="Y1" s="11" t="s">
        <v>33</v>
      </c>
      <c r="Z1" s="11" t="s">
        <v>33</v>
      </c>
      <c r="AA1" s="11" t="s">
        <v>33</v>
      </c>
      <c r="AB1" s="13" t="s">
        <v>33</v>
      </c>
      <c r="AC1" s="11" t="s">
        <v>33</v>
      </c>
      <c r="AD1" s="11" t="s">
        <v>33</v>
      </c>
      <c r="AE1" s="11" t="s">
        <v>33</v>
      </c>
      <c r="AF1" s="13" t="s">
        <v>33</v>
      </c>
      <c r="AY1" t="s">
        <v>88</v>
      </c>
    </row>
    <row r="2" spans="1:62" s="7" customFormat="1" ht="27">
      <c r="A2" s="7" t="s">
        <v>117</v>
      </c>
      <c r="B2" s="20" t="s">
        <v>49</v>
      </c>
      <c r="C2" s="22" t="s">
        <v>69</v>
      </c>
      <c r="D2" s="16" t="s">
        <v>11</v>
      </c>
      <c r="E2" s="7" t="s">
        <v>2</v>
      </c>
      <c r="F2" s="73" t="s">
        <v>297</v>
      </c>
      <c r="G2" s="77" t="s">
        <v>296</v>
      </c>
      <c r="H2" s="77" t="s">
        <v>293</v>
      </c>
      <c r="I2" s="16" t="s">
        <v>42</v>
      </c>
      <c r="J2" s="7" t="s">
        <v>8</v>
      </c>
      <c r="K2" s="17" t="s">
        <v>70</v>
      </c>
      <c r="L2" s="7" t="s">
        <v>39</v>
      </c>
      <c r="M2" s="16" t="s">
        <v>38</v>
      </c>
      <c r="N2" s="12" t="s">
        <v>68</v>
      </c>
      <c r="O2" s="16" t="s">
        <v>41</v>
      </c>
      <c r="P2" s="12" t="s">
        <v>43</v>
      </c>
      <c r="Q2" s="7" t="s">
        <v>25</v>
      </c>
      <c r="R2" s="7" t="s">
        <v>61</v>
      </c>
      <c r="S2" s="7" t="s">
        <v>58</v>
      </c>
      <c r="T2" s="7" t="s">
        <v>59</v>
      </c>
      <c r="U2" s="7" t="s">
        <v>27</v>
      </c>
      <c r="V2" s="7" t="s">
        <v>60</v>
      </c>
      <c r="W2" s="14" t="s">
        <v>28</v>
      </c>
      <c r="X2" s="14" t="s">
        <v>63</v>
      </c>
      <c r="Y2" s="12" t="s">
        <v>50</v>
      </c>
      <c r="Z2" s="12" t="s">
        <v>31</v>
      </c>
      <c r="AA2" s="12" t="s">
        <v>27</v>
      </c>
      <c r="AB2" s="14" t="s">
        <v>28</v>
      </c>
      <c r="AC2" s="12" t="s">
        <v>51</v>
      </c>
      <c r="AD2" s="12" t="s">
        <v>35</v>
      </c>
      <c r="AE2" s="12" t="s">
        <v>36</v>
      </c>
      <c r="AF2" s="14" t="s">
        <v>37</v>
      </c>
      <c r="AG2" s="7" t="s">
        <v>29</v>
      </c>
      <c r="AH2" s="7" t="s">
        <v>252</v>
      </c>
      <c r="AI2" s="14" t="s">
        <v>253</v>
      </c>
      <c r="AJ2" s="7" t="s">
        <v>30</v>
      </c>
      <c r="AK2" s="7" t="s">
        <v>254</v>
      </c>
      <c r="AL2" s="14" t="s">
        <v>255</v>
      </c>
      <c r="AM2" s="9" t="s">
        <v>40</v>
      </c>
      <c r="AN2" s="9" t="s">
        <v>26</v>
      </c>
      <c r="AO2" s="9" t="s">
        <v>23</v>
      </c>
      <c r="AP2" s="9" t="s">
        <v>34</v>
      </c>
      <c r="AQ2" s="9" t="s">
        <v>24</v>
      </c>
      <c r="AR2" s="29"/>
      <c r="AS2" s="7" t="s">
        <v>223</v>
      </c>
      <c r="AT2" s="7" t="s">
        <v>222</v>
      </c>
      <c r="AU2" s="14" t="s">
        <v>109</v>
      </c>
      <c r="AV2" s="12" t="s">
        <v>221</v>
      </c>
      <c r="AW2" s="36" t="s">
        <v>115</v>
      </c>
      <c r="AX2" s="16" t="s">
        <v>95</v>
      </c>
      <c r="AY2" s="7" t="s">
        <v>105</v>
      </c>
      <c r="AZ2" s="7" t="s">
        <v>106</v>
      </c>
      <c r="BA2" s="7" t="s">
        <v>92</v>
      </c>
      <c r="BB2" s="32" t="s">
        <v>91</v>
      </c>
      <c r="BC2" s="7" t="s">
        <v>93</v>
      </c>
      <c r="BD2" s="32" t="s">
        <v>94</v>
      </c>
      <c r="BE2" s="7" t="s">
        <v>96</v>
      </c>
      <c r="BF2" s="7" t="s">
        <v>97</v>
      </c>
      <c r="BG2" s="9" t="s">
        <v>98</v>
      </c>
      <c r="BH2" s="9" t="s">
        <v>100</v>
      </c>
      <c r="BI2" s="9" t="s">
        <v>102</v>
      </c>
      <c r="BJ2" s="9" t="s">
        <v>104</v>
      </c>
    </row>
    <row r="20" spans="1:62">
      <c r="Y20"/>
      <c r="AC20"/>
    </row>
    <row r="21" spans="1:62" s="24" customFormat="1">
      <c r="A21" s="24" t="s">
        <v>53</v>
      </c>
      <c r="B21" s="25"/>
      <c r="C21" s="23"/>
      <c r="F21" s="74"/>
      <c r="H21" s="76"/>
      <c r="K21" s="18"/>
      <c r="AR21" s="28"/>
      <c r="AV21" s="11"/>
      <c r="AW21" s="35"/>
      <c r="AX21" s="1"/>
      <c r="BB21" s="31"/>
      <c r="BD21" s="31"/>
      <c r="BG21" s="8"/>
      <c r="BH21" s="8"/>
    </row>
    <row r="22" spans="1:62">
      <c r="A22">
        <v>10</v>
      </c>
      <c r="B22" s="19">
        <v>0</v>
      </c>
      <c r="D22" s="1">
        <v>0</v>
      </c>
      <c r="E22">
        <f>ROUND(POWER($A$22*D22/100,$AM$22),0)</f>
        <v>0</v>
      </c>
      <c r="F22" s="72">
        <f>ROUND(G22*0.35+H22*0.65,0)</f>
        <v>28</v>
      </c>
      <c r="G22">
        <f>ROUND((E22+(30+30)/2)*AN22*兵攻防!A22/基本公式!$B$50,0)</f>
        <v>9</v>
      </c>
      <c r="H22" s="76">
        <f>ROUND((E22+(基本公式!$B$180+基本公式!$B$28)/2)*AN22*兵攻防!A22/基本公式!$B$50,0)</f>
        <v>38</v>
      </c>
      <c r="I22" s="1">
        <v>0</v>
      </c>
      <c r="J22">
        <f>ROUND(POWER($A$22*I22/100,$AM$22),0)</f>
        <v>0</v>
      </c>
      <c r="K22" s="18">
        <v>3</v>
      </c>
      <c r="L22">
        <f t="shared" ref="L22:L29" ca="1" si="0">ROUND(30/K22*P22*N22,2)</f>
        <v>4.9000000000000004</v>
      </c>
      <c r="M22" s="1">
        <v>125</v>
      </c>
      <c r="N22" s="11">
        <f ca="1">OFFSET(其他表格!G1,M22/100,0)</f>
        <v>0.7</v>
      </c>
      <c r="O22" s="1">
        <v>1</v>
      </c>
      <c r="P22" s="11">
        <f ca="1">OFFSET(其他表格!B1,O22,0)</f>
        <v>0.7</v>
      </c>
      <c r="Q22">
        <f>ROUND(($E$22+200)*$AN$22,2)</f>
        <v>30</v>
      </c>
      <c r="R22">
        <f>ROUND(($E$22+200)*$AN$22,2)</f>
        <v>30</v>
      </c>
      <c r="S22">
        <f>ROUND(POWER(($E$22+200-$J$22-200+$AP$22),2)/$AO$22,2)</f>
        <v>41.67</v>
      </c>
      <c r="T22">
        <f>ROUND(POWER(($J$22+200-$E$22-200+$AP$22),2)/$AO$22,2)</f>
        <v>41.67</v>
      </c>
      <c r="U22">
        <f ca="1">ROUND(($Q$22+$S$22)*($A$22+$A$22)/$AQ$22*$L$22,0)</f>
        <v>0</v>
      </c>
      <c r="V22">
        <f ca="1">ROUND((R22+T22)*($A$22+$A$22)/$AQ$22*$L$22,0)</f>
        <v>0</v>
      </c>
      <c r="W22" s="15">
        <f ca="1">MIN(ROUND(U22/$A$22,4),1)</f>
        <v>0</v>
      </c>
      <c r="X22" s="15">
        <f ca="1">MIN(ROUND($V$22/$A$22,4),1)</f>
        <v>0</v>
      </c>
      <c r="Y22">
        <f>ROUND(($E$22+250)*$AN$22,0)</f>
        <v>38</v>
      </c>
      <c r="Z22">
        <f>ROUND(POWER(($E$22+250-$J$22-100+$AP$22),2)/$AO$22,0)</f>
        <v>70</v>
      </c>
      <c r="AA22">
        <f>ROUND(($Y$22+$Z$22)*($A$22+$A$22)/$AQ$22,0)</f>
        <v>0</v>
      </c>
      <c r="AB22" s="15">
        <f ca="1">MIN(ROUND(AA22/$A$22*$L$22,4),1)</f>
        <v>0</v>
      </c>
      <c r="AC22">
        <f>ROUND(($E$22+100)*$AN$22,0)</f>
        <v>15</v>
      </c>
      <c r="AD22" s="10">
        <f>ROUND(POWER(($E$22+100-$J$22-250+$AP$22),2)/$AO$22,0)</f>
        <v>20</v>
      </c>
      <c r="AE22" s="10">
        <f>ROUND(($AC$22+$AD$22)*($A$22+$A$22)/$AQ$22,0)</f>
        <v>0</v>
      </c>
      <c r="AF22" s="15">
        <f>MIN(ROUND($AE$22/$A$22,4),1)</f>
        <v>0</v>
      </c>
      <c r="AG22" s="10">
        <f>ROUND(POWER(($E$26+200-$J$22-200+$AP$22),2)/$AO$22,0)</f>
        <v>42</v>
      </c>
      <c r="AH22" s="10">
        <f>ROUND(($Q$26+$AG$22)*($A$26+$A$22)/$AQ$22,0)</f>
        <v>2</v>
      </c>
      <c r="AI22" s="15">
        <f ca="1">MIN(ROUND($AH$22/$A$22*$L$22,4),1)</f>
        <v>0.98</v>
      </c>
      <c r="AJ22" s="10">
        <f>ROUND(POWER(($E$22+200-$J$26-200+900),2)/$AO$22,0)</f>
        <v>135</v>
      </c>
      <c r="AK22" s="10">
        <f>ROUND(($Q$22+$AJ$22)*($A$26+$A$22)/$AQ$22,0)</f>
        <v>4</v>
      </c>
      <c r="AL22" s="15">
        <f ca="1">MIN(ROUND($AK$22/$A$26*$L$22,4),1)</f>
        <v>3.9199999999999999E-2</v>
      </c>
      <c r="AM22" s="8">
        <v>0.5</v>
      </c>
      <c r="AN22" s="8">
        <v>0.15</v>
      </c>
      <c r="AO22" s="8">
        <v>6000</v>
      </c>
      <c r="AP22" s="8">
        <v>500</v>
      </c>
      <c r="AQ22" s="8">
        <v>20000</v>
      </c>
      <c r="AU22" s="15"/>
      <c r="AV22" s="64"/>
    </row>
    <row r="23" spans="1:62">
      <c r="A23">
        <v>50</v>
      </c>
      <c r="B23" s="19">
        <v>0</v>
      </c>
      <c r="D23" s="1">
        <v>0</v>
      </c>
      <c r="E23">
        <f>ROUND(POWER($A$23*D23/100,$AM$23),0)</f>
        <v>0</v>
      </c>
      <c r="F23" s="72">
        <f t="shared" ref="F23:F29" si="1">ROUND(G23*0.35+H23*0.65,0)</f>
        <v>138</v>
      </c>
      <c r="G23">
        <f>ROUND((E23+(30+30)/2)*AN23*兵攻防!A23/基本公式!$B$50,0)</f>
        <v>45</v>
      </c>
      <c r="H23" s="76">
        <f>ROUND((E23+(基本公式!$B$180+基本公式!$B$28)/2)*AN23*兵攻防!A23/基本公式!$B$50,0)</f>
        <v>188</v>
      </c>
      <c r="I23" s="1">
        <v>0</v>
      </c>
      <c r="J23">
        <f>ROUND(POWER($A$23*I23/100,$AM$23),0)</f>
        <v>0</v>
      </c>
      <c r="K23" s="18">
        <v>3</v>
      </c>
      <c r="L23">
        <f t="shared" ca="1" si="0"/>
        <v>4.9000000000000004</v>
      </c>
      <c r="M23" s="1">
        <v>125</v>
      </c>
      <c r="N23" s="11">
        <f ca="1">OFFSET(其他表格!G1,M23/100,0)</f>
        <v>0.7</v>
      </c>
      <c r="O23" s="1">
        <v>1</v>
      </c>
      <c r="P23" s="11">
        <f ca="1">OFFSET(其他表格!B1,O23,0)</f>
        <v>0.7</v>
      </c>
      <c r="Q23">
        <f>ROUND(($E$23+200)*$AN$23,2)</f>
        <v>30</v>
      </c>
      <c r="R23">
        <f>ROUND(($E$23+200)*$AN$23,2)</f>
        <v>30</v>
      </c>
      <c r="S23">
        <f>ROUND(POWER(($E$23+200-$J$23-200+$AP$22),2)/$AO$23,2)</f>
        <v>41.67</v>
      </c>
      <c r="T23">
        <f>ROUND(POWER(($J$23+200-$E$23-200+$AP$23),2)/$AO$23,2)</f>
        <v>41.67</v>
      </c>
      <c r="U23">
        <f ca="1">ROUND(($Q$23+$S$23)*($A$23+$A$23)/$AQ$23*$L$22,0)</f>
        <v>2</v>
      </c>
      <c r="V23">
        <f ca="1">ROUND((R23+T23)*($A$23+$A$23)/$AQ$23*$L$22,0)</f>
        <v>2</v>
      </c>
      <c r="W23" s="15">
        <f ca="1">MIN(ROUND(U23/$A$23,4),1)</f>
        <v>0.04</v>
      </c>
      <c r="X23" s="15">
        <f ca="1">MIN(ROUND($V$23/$A$23,4),1)</f>
        <v>0.04</v>
      </c>
      <c r="Y23">
        <f>ROUND(($E$23+250)*$AN$23,0)</f>
        <v>38</v>
      </c>
      <c r="Z23">
        <f>ROUND(POWER(($E$23+250-$J$23-100+$AP$22),2)/$AO$23,0)</f>
        <v>70</v>
      </c>
      <c r="AA23">
        <f>ROUND(($Y$23+$Z$23)*($A$23+$A$23)/$AQ$23,0)</f>
        <v>1</v>
      </c>
      <c r="AB23" s="15">
        <f ca="1">MIN(ROUND(AA23/$A$23*$L$23,4),1)</f>
        <v>9.8000000000000004E-2</v>
      </c>
      <c r="AC23">
        <f>ROUND(($E$23+100)*$AN$23,0)</f>
        <v>15</v>
      </c>
      <c r="AD23" s="10">
        <f>ROUND(POWER(($E$23+100-$J$23-250+$AP$23),2)/$AO$23,0)</f>
        <v>20</v>
      </c>
      <c r="AE23" s="10">
        <f>ROUND(($AC$23+$AD$23)*($A$23+$A$23)/$AQ$23,0)</f>
        <v>0</v>
      </c>
      <c r="AF23" s="15">
        <f>MIN(ROUND($AE$23/$A$23,4),1)</f>
        <v>0</v>
      </c>
      <c r="AG23" s="10">
        <f>ROUND(POWER(($E$26+200-$J$23-200+$AP$22),2)/$AO$23,0)</f>
        <v>42</v>
      </c>
      <c r="AH23" s="10">
        <f>ROUND(($Q$26+$AG$23)*($A$26+$A$23)/$AQ$23,0)</f>
        <v>2</v>
      </c>
      <c r="AI23" s="15">
        <f ca="1">MIN(ROUND($AH$23/$A$23*$L$23,4),1)</f>
        <v>0.19600000000000001</v>
      </c>
      <c r="AJ23" s="10">
        <f>ROUND(POWER(($E$23+200-$J$26-200+900),2)/$AO$23,0)</f>
        <v>135</v>
      </c>
      <c r="AK23" s="10">
        <f>ROUND(($Q$23+$AJ$23)*($A$26+$A$23)/$AQ$23,0)</f>
        <v>5</v>
      </c>
      <c r="AL23" s="15">
        <f ca="1">MIN(ROUND($AK$23/$A$26*$L$23,4),1)</f>
        <v>4.9000000000000002E-2</v>
      </c>
      <c r="AM23" s="8">
        <v>0.5</v>
      </c>
      <c r="AN23" s="8">
        <v>0.15</v>
      </c>
      <c r="AO23" s="8">
        <v>6000</v>
      </c>
      <c r="AP23" s="8">
        <v>500</v>
      </c>
      <c r="AQ23" s="8">
        <v>20000</v>
      </c>
      <c r="AU23" s="15"/>
      <c r="AV23" s="64"/>
    </row>
    <row r="24" spans="1:62">
      <c r="A24">
        <v>100</v>
      </c>
      <c r="B24" s="19">
        <v>0</v>
      </c>
      <c r="D24" s="1">
        <v>0</v>
      </c>
      <c r="E24">
        <f>ROUND(POWER($A$24*D24/100,$AM$24),0)</f>
        <v>0</v>
      </c>
      <c r="F24" s="72">
        <f t="shared" si="1"/>
        <v>275</v>
      </c>
      <c r="G24">
        <f>ROUND((E24+(30+30)/2)*AN24*兵攻防!A24/基本公式!$B$50,0)</f>
        <v>90</v>
      </c>
      <c r="H24" s="76">
        <f>ROUND((E24+(基本公式!$B$180+基本公式!$B$28)/2)*AN24*兵攻防!A24/基本公式!$B$50,0)</f>
        <v>375</v>
      </c>
      <c r="I24" s="1">
        <v>0</v>
      </c>
      <c r="J24">
        <f>ROUND(POWER($A$24*I24/100,$AM$24),0)</f>
        <v>0</v>
      </c>
      <c r="K24" s="18">
        <v>3</v>
      </c>
      <c r="L24">
        <f t="shared" ca="1" si="0"/>
        <v>4.9000000000000004</v>
      </c>
      <c r="M24" s="1">
        <v>125</v>
      </c>
      <c r="N24" s="11">
        <f ca="1">OFFSET(其他表格!G1,M24/100,0)</f>
        <v>0.7</v>
      </c>
      <c r="O24" s="1">
        <v>1</v>
      </c>
      <c r="P24" s="11">
        <f ca="1">OFFSET(其他表格!B1,O24,0)</f>
        <v>0.7</v>
      </c>
      <c r="Q24">
        <f>ROUND(($E$24+200)*$AN$24,2)</f>
        <v>30</v>
      </c>
      <c r="R24">
        <f>ROUND(($E$24+200)*$AN$24,2)</f>
        <v>30</v>
      </c>
      <c r="S24">
        <f>ROUND(POWER(($E$24+200-$J$24-200+$AP$22),2)/$AO$24,2)</f>
        <v>41.67</v>
      </c>
      <c r="T24">
        <f>ROUND(POWER(($J$24+200-$E$24-200+$AP$24),2)/$AO$24,2)</f>
        <v>41.67</v>
      </c>
      <c r="U24">
        <f ca="1">ROUND(($Q$24+$S$24)*($A$24+$A$24)/$AQ$24*$L$22,0)</f>
        <v>4</v>
      </c>
      <c r="V24">
        <f ca="1">ROUND((R24+T24)*($A$24+$A$24)/$AQ$24*$L$22,0)</f>
        <v>4</v>
      </c>
      <c r="W24" s="15">
        <f ca="1">MIN(ROUND(U24/$A$24,4),1)</f>
        <v>0.04</v>
      </c>
      <c r="X24" s="15">
        <f ca="1">MIN(ROUND($V$24/$A$24,4),1)</f>
        <v>0.04</v>
      </c>
      <c r="Y24">
        <f>ROUND(($E$24+250)*$AN$24,0)</f>
        <v>38</v>
      </c>
      <c r="Z24">
        <f>ROUND(POWER(($E$24+250-$J$24-100+$AP$22),2)/$AO$24,0)</f>
        <v>70</v>
      </c>
      <c r="AA24">
        <f>ROUND(($Y$24+$Z$24)*($A$24+$A$24)/$AQ$24,0)</f>
        <v>1</v>
      </c>
      <c r="AB24" s="15">
        <f ca="1">MIN(ROUND(AA24/$A$24*$L$24,4),1)</f>
        <v>4.9000000000000002E-2</v>
      </c>
      <c r="AC24">
        <f>ROUND(($E$24+100)*$AN$24,0)</f>
        <v>15</v>
      </c>
      <c r="AD24" s="10">
        <f>ROUND(POWER(($E$24+100-$J$24-250+$AP$24),2)/$AO$24,0)</f>
        <v>20</v>
      </c>
      <c r="AE24" s="10">
        <f>ROUND(($AC$24+$AD$24)*($A$24+$A$24)/$AQ$24,0)</f>
        <v>0</v>
      </c>
      <c r="AF24" s="15">
        <f>MIN(ROUND($AE$24/$A$24,4),1)</f>
        <v>0</v>
      </c>
      <c r="AG24" s="10">
        <f>ROUND(POWER(($E$26+200-$J$24-200+$AP$22),2)/$AO$24,0)</f>
        <v>42</v>
      </c>
      <c r="AH24" s="10">
        <f>ROUND(($Q$26+$AG$24)*($A$26+$A$24)/$AQ$24,0)</f>
        <v>2</v>
      </c>
      <c r="AI24" s="15">
        <f ca="1">MIN(ROUND($AH$24/$A$24*$L$24,4),1)</f>
        <v>9.8000000000000004E-2</v>
      </c>
      <c r="AJ24" s="10">
        <f>ROUND(POWER(($E$24+200-$J$26-200+900),2)/$AO$24,0)</f>
        <v>135</v>
      </c>
      <c r="AK24" s="10">
        <f>ROUND(($Q$24+$AJ$24)*($A$26+$A$24)/$AQ$24,0)</f>
        <v>5</v>
      </c>
      <c r="AL24" s="15">
        <f ca="1">MIN(ROUND($AK$24/$A$26*$L$24,4),1)</f>
        <v>4.9000000000000002E-2</v>
      </c>
      <c r="AM24" s="8">
        <v>0.5</v>
      </c>
      <c r="AN24" s="8">
        <v>0.15</v>
      </c>
      <c r="AO24" s="8">
        <v>6000</v>
      </c>
      <c r="AP24" s="8">
        <v>500</v>
      </c>
      <c r="AQ24" s="8">
        <v>20000</v>
      </c>
      <c r="AU24" s="15"/>
      <c r="AV24" s="64"/>
    </row>
    <row r="25" spans="1:62">
      <c r="A25">
        <v>200</v>
      </c>
      <c r="B25" s="19">
        <v>0</v>
      </c>
      <c r="D25" s="1">
        <v>0</v>
      </c>
      <c r="E25">
        <f>ROUND(POWER($A$25*D25/100,$AM$25),0)</f>
        <v>0</v>
      </c>
      <c r="F25" s="72">
        <f t="shared" si="1"/>
        <v>551</v>
      </c>
      <c r="G25">
        <f>ROUND((E25+(30+30)/2)*AN25*兵攻防!A25/基本公式!$B$50,0)</f>
        <v>180</v>
      </c>
      <c r="H25" s="76">
        <f>ROUND((E25+(基本公式!$B$180+基本公式!$B$28)/2)*AN25*兵攻防!A25/基本公式!$B$50,0)</f>
        <v>750</v>
      </c>
      <c r="I25" s="1">
        <v>0</v>
      </c>
      <c r="J25">
        <f>ROUND(POWER($A$25*I25/100,$AM$25),0)</f>
        <v>0</v>
      </c>
      <c r="K25" s="18">
        <v>3</v>
      </c>
      <c r="L25">
        <f t="shared" ca="1" si="0"/>
        <v>4.9000000000000004</v>
      </c>
      <c r="M25" s="1">
        <v>125</v>
      </c>
      <c r="N25" s="11">
        <f ca="1">OFFSET(其他表格!G1,M25/100,0)</f>
        <v>0.7</v>
      </c>
      <c r="O25" s="1">
        <v>1</v>
      </c>
      <c r="P25" s="11">
        <f ca="1">OFFSET(其他表格!B1,O25,0)</f>
        <v>0.7</v>
      </c>
      <c r="Q25">
        <f>ROUND(($E$25+200)*$AN$25,2)</f>
        <v>30</v>
      </c>
      <c r="R25">
        <f>ROUND(($E$25+200)*$AN$25,2)</f>
        <v>30</v>
      </c>
      <c r="S25">
        <f>ROUND(POWER(($E$25+200-$J$25-200+$AP$22),2)/$AO$25,2)</f>
        <v>41.67</v>
      </c>
      <c r="T25">
        <f>ROUND(POWER(($J$25+200-$E$25-200+$AP$25),2)/$AO$25,2)</f>
        <v>41.67</v>
      </c>
      <c r="U25">
        <f ca="1">ROUND(($Q$25+$S$25)*($A$25+$A$25)/$AQ$25*$L$22,0)</f>
        <v>7</v>
      </c>
      <c r="V25">
        <f ca="1">ROUND((R25+T25)*($A$25+$A$25)/$AQ$25*$L$22,0)</f>
        <v>7</v>
      </c>
      <c r="W25" s="15">
        <f ca="1">MIN(ROUND(U25/$A$25,4),1)</f>
        <v>3.5000000000000003E-2</v>
      </c>
      <c r="X25" s="15">
        <f ca="1">MIN(ROUND($V$25/$A$25,4),1)</f>
        <v>3.5000000000000003E-2</v>
      </c>
      <c r="Y25">
        <f>ROUND(($E$25+250)*$AN$25,0)</f>
        <v>38</v>
      </c>
      <c r="Z25">
        <f>ROUND(POWER(($E$25+250-$J$25-100+$AP$22),2)/$AO$25,0)</f>
        <v>70</v>
      </c>
      <c r="AA25">
        <f>ROUND(($Y$25+$Z$25)*($A$25+$A$25)/$AQ$25,0)</f>
        <v>2</v>
      </c>
      <c r="AB25" s="15">
        <f ca="1">MIN(ROUND(AA25/$A$25*$L$25,4),1)</f>
        <v>4.9000000000000002E-2</v>
      </c>
      <c r="AC25">
        <f>ROUND(($E$25+100)*$AN$25,0)</f>
        <v>15</v>
      </c>
      <c r="AD25" s="10">
        <f>ROUND(POWER(($E$25+100-$J$25-250+$AP$25),2)/$AO$25,0)</f>
        <v>20</v>
      </c>
      <c r="AE25" s="10">
        <f>ROUND(($AC$25+$AD$25)*($A$25+$A$25)/$AQ$25,0)</f>
        <v>1</v>
      </c>
      <c r="AF25" s="15">
        <f>MIN(ROUND($AE$25/$A$25,4),1)</f>
        <v>5.0000000000000001E-3</v>
      </c>
      <c r="AG25" s="10">
        <f>ROUND(POWER(($E$26+200-$J$25-200+$AP$22),2)/$AO$25,0)</f>
        <v>42</v>
      </c>
      <c r="AH25" s="10">
        <f>ROUND(($Q$26+$AG$25)*($A$26+$A$25)/$AQ$25,0)</f>
        <v>3</v>
      </c>
      <c r="AI25" s="15">
        <f ca="1">MIN(ROUND($AH$25/$A$25*$L$25,4),1)</f>
        <v>7.3499999999999996E-2</v>
      </c>
      <c r="AJ25" s="10">
        <f>ROUND(POWER(($E$25+200-$J$26-200+900),2)/$AO$25,0)</f>
        <v>135</v>
      </c>
      <c r="AK25" s="10">
        <f>ROUND(($Q$25+$AJ$25)*($A$26+$A$25)/$AQ$25,0)</f>
        <v>6</v>
      </c>
      <c r="AL25" s="15">
        <f ca="1">MIN(ROUND($AK$25/$A$26*$L$25,4),1)</f>
        <v>5.8799999999999998E-2</v>
      </c>
      <c r="AM25" s="8">
        <v>0.5</v>
      </c>
      <c r="AN25" s="8">
        <v>0.15</v>
      </c>
      <c r="AO25" s="8">
        <v>6000</v>
      </c>
      <c r="AP25" s="8">
        <v>500</v>
      </c>
      <c r="AQ25" s="8">
        <v>20000</v>
      </c>
      <c r="AU25" s="15"/>
      <c r="AV25" s="64"/>
    </row>
    <row r="26" spans="1:62">
      <c r="A26">
        <v>500</v>
      </c>
      <c r="B26" s="19">
        <v>0</v>
      </c>
      <c r="D26" s="1">
        <v>0</v>
      </c>
      <c r="E26">
        <f>ROUND(POWER($A$26*D26/100,$AM$26),0)</f>
        <v>0</v>
      </c>
      <c r="F26" s="72">
        <f t="shared" si="1"/>
        <v>1376</v>
      </c>
      <c r="G26">
        <f>ROUND((E26+(30+30)/2)*AN26*兵攻防!A26/基本公式!$B$50,0)</f>
        <v>450</v>
      </c>
      <c r="H26" s="76">
        <f>ROUND((E26+(基本公式!$B$180+基本公式!$B$28)/2)*AN26*兵攻防!A26/基本公式!$B$50,0)</f>
        <v>1875</v>
      </c>
      <c r="I26" s="1">
        <v>0</v>
      </c>
      <c r="J26">
        <f>ROUND(POWER($A$26*I26/100,$AM$26),0)</f>
        <v>0</v>
      </c>
      <c r="K26" s="18">
        <v>3</v>
      </c>
      <c r="L26">
        <f t="shared" ca="1" si="0"/>
        <v>4.9000000000000004</v>
      </c>
      <c r="M26" s="1">
        <v>125</v>
      </c>
      <c r="N26" s="11">
        <f ca="1">OFFSET(其他表格!G1,M26/100,0)</f>
        <v>0.7</v>
      </c>
      <c r="O26" s="1">
        <v>1</v>
      </c>
      <c r="P26" s="11">
        <f ca="1">OFFSET(其他表格!B1,O26,0)</f>
        <v>0.7</v>
      </c>
      <c r="Q26">
        <f>ROUND(($E$26+200)*$AN$26,2)</f>
        <v>30</v>
      </c>
      <c r="R26">
        <f>ROUND(($E$26+200)*$AN$26,2)</f>
        <v>30</v>
      </c>
      <c r="S26">
        <f>ROUND(POWER(($E$26+200-$J$26-200+$AP$22),2)/$AO$26,2)</f>
        <v>41.67</v>
      </c>
      <c r="T26">
        <f>ROUND(POWER(($J$26+200-$E$26-200+$AP$26),2)/$AO$26,2)</f>
        <v>41.67</v>
      </c>
      <c r="U26">
        <f ca="1">ROUND(($Q$26+$S$26)*($A$26+$A$26)/$AQ$26*$L$22,0)</f>
        <v>18</v>
      </c>
      <c r="V26">
        <f ca="1">ROUND((R26+T26)*($A$26+$A$26)/$AQ$26*$L$22,0)</f>
        <v>18</v>
      </c>
      <c r="W26" s="15">
        <f ca="1">MIN(ROUND(U26/$A$26,4),1)</f>
        <v>3.5999999999999997E-2</v>
      </c>
      <c r="X26" s="15">
        <f ca="1">MIN(ROUND($V$26/$A$26,4),1)</f>
        <v>3.5999999999999997E-2</v>
      </c>
      <c r="Y26">
        <f>ROUND(($E$26+250)*$AN$26,0)</f>
        <v>38</v>
      </c>
      <c r="Z26">
        <f>ROUND(POWER(($E$26+250-$J$26-100+$AP$22),2)/$AO$26,0)</f>
        <v>70</v>
      </c>
      <c r="AA26">
        <f>ROUND(($Y$26+$Z$26)*($A$26+$A$26)/$AQ$26,0)</f>
        <v>5</v>
      </c>
      <c r="AB26" s="15">
        <f ca="1">MIN(ROUND(AA26/$A$26*$L$26,4),1)</f>
        <v>4.9000000000000002E-2</v>
      </c>
      <c r="AC26">
        <f>ROUND(($E$26+100)*$AN$26,0)</f>
        <v>15</v>
      </c>
      <c r="AD26" s="10">
        <f>ROUND(POWER(($E$26+100-$J$26-250+$AP$26),2)/$AO$26,0)</f>
        <v>20</v>
      </c>
      <c r="AE26" s="10">
        <f>ROUND(($AC$26+$AD$26)*($A$26+$A$26)/$AQ$26,0)</f>
        <v>2</v>
      </c>
      <c r="AF26" s="15">
        <f>MIN(ROUND($AE$26/$A$26,4),1)</f>
        <v>4.0000000000000001E-3</v>
      </c>
      <c r="AG26" s="10">
        <f>ROUND(POWER(($E$26+200-$J$26-200+$AP$22),2)/$AO$26,0)</f>
        <v>42</v>
      </c>
      <c r="AH26" s="10">
        <f>ROUND(($Q$26+$AG$26)*($A$26+$A$26)/$AQ$26,0)</f>
        <v>4</v>
      </c>
      <c r="AI26" s="15">
        <f ca="1">MIN(ROUND($AH$26/$A$26*$L$26,4),1)</f>
        <v>3.9199999999999999E-2</v>
      </c>
      <c r="AJ26" s="10">
        <f>ROUND(POWER(($E$26+200-$J$26-200+900),2)/$AO$26,0)</f>
        <v>135</v>
      </c>
      <c r="AK26" s="10">
        <f>ROUND(($Q$26+$AJ$26)*($A$26+$A$26)/$AQ$26,0)</f>
        <v>8</v>
      </c>
      <c r="AL26" s="15">
        <f ca="1">MIN(ROUND($AK$26/$A$26*$L$26,4),1)</f>
        <v>7.8399999999999997E-2</v>
      </c>
      <c r="AM26" s="8">
        <v>0.5</v>
      </c>
      <c r="AN26" s="8">
        <v>0.15</v>
      </c>
      <c r="AO26" s="8">
        <v>6000</v>
      </c>
      <c r="AP26" s="8">
        <v>500</v>
      </c>
      <c r="AQ26" s="8">
        <v>20000</v>
      </c>
      <c r="AU26" s="15"/>
      <c r="AV26" s="64"/>
    </row>
    <row r="27" spans="1:62">
      <c r="A27">
        <v>1000</v>
      </c>
      <c r="B27" s="19">
        <v>0</v>
      </c>
      <c r="D27" s="1">
        <v>0</v>
      </c>
      <c r="E27">
        <f>ROUND(POWER($A$27*D27/100,$AM$27),0)</f>
        <v>0</v>
      </c>
      <c r="F27" s="72">
        <f t="shared" si="1"/>
        <v>2753</v>
      </c>
      <c r="G27">
        <f>ROUND((E27+(30+30)/2)*AN27*兵攻防!A27/基本公式!$B$50,0)</f>
        <v>900</v>
      </c>
      <c r="H27" s="76">
        <f>ROUND((E27+(基本公式!$B$180+基本公式!$B$28)/2)*AN27*兵攻防!A27/基本公式!$B$50,0)</f>
        <v>3750</v>
      </c>
      <c r="I27" s="1">
        <v>0</v>
      </c>
      <c r="J27">
        <f>ROUND(POWER($A$27*I27/100,$AM$27),0)</f>
        <v>0</v>
      </c>
      <c r="K27" s="18">
        <v>3</v>
      </c>
      <c r="L27">
        <f t="shared" ca="1" si="0"/>
        <v>4.9000000000000004</v>
      </c>
      <c r="M27" s="1">
        <v>125</v>
      </c>
      <c r="N27" s="11">
        <f ca="1">OFFSET(其他表格!G1,M27/100,0)</f>
        <v>0.7</v>
      </c>
      <c r="O27" s="1">
        <v>1</v>
      </c>
      <c r="P27" s="11">
        <f ca="1">OFFSET(其他表格!B1,O27,0)</f>
        <v>0.7</v>
      </c>
      <c r="Q27">
        <f>ROUND(($E$27+200)*$AN$27,2)</f>
        <v>30</v>
      </c>
      <c r="R27">
        <f>ROUND(($E$27+200)*$AN$27,2)</f>
        <v>30</v>
      </c>
      <c r="S27">
        <f>ROUND(POWER(($E$27+200-$J$27-200+$AP$22),2)/$AO$27,2)</f>
        <v>41.67</v>
      </c>
      <c r="T27">
        <f>ROUND(POWER(($J$27+200-$E$27-200+$AP$27),2)/$AO$27,2)</f>
        <v>41.67</v>
      </c>
      <c r="U27">
        <f ca="1">ROUND(($Q$27+$S$27)*($A$27+$A$27)/$AQ$27*$L$22,0)</f>
        <v>35</v>
      </c>
      <c r="V27">
        <f ca="1">ROUND((R27+T27)*($A$27+$A$27)/$AQ$27*$L$22,0)</f>
        <v>35</v>
      </c>
      <c r="W27" s="15">
        <f ca="1">MIN(ROUND(U27/$A$27,4),1)</f>
        <v>3.5000000000000003E-2</v>
      </c>
      <c r="X27" s="15">
        <f ca="1">MIN(ROUND($V$27/$A$27,4),1)</f>
        <v>3.5000000000000003E-2</v>
      </c>
      <c r="Y27">
        <f>ROUND(($E$27+250)*$AN$27,0)</f>
        <v>38</v>
      </c>
      <c r="Z27">
        <f>ROUND(POWER(($E$27+250-$J$27-100+$AP$22),2)/$AO$27,0)</f>
        <v>70</v>
      </c>
      <c r="AA27">
        <f>ROUND(($Y$27+$Z$27)*($A$27+$A$27)/$AQ$27,0)</f>
        <v>11</v>
      </c>
      <c r="AB27" s="15">
        <f ca="1">MIN(ROUND(AA27/$A$27*$L$27,4),1)</f>
        <v>5.3900000000000003E-2</v>
      </c>
      <c r="AC27">
        <f>ROUND(($E$27+100)*$AN$27,0)</f>
        <v>15</v>
      </c>
      <c r="AD27" s="10">
        <f>ROUND(POWER(($E$27+100-$J$27-250+$AP$27),2)/$AO$27,0)</f>
        <v>20</v>
      </c>
      <c r="AE27" s="10">
        <f>ROUND(($AC$27+$AD$27)*($A$27+$A$27)/$AQ$27,0)</f>
        <v>4</v>
      </c>
      <c r="AF27" s="15">
        <f>MIN(ROUND($AE$27/$A$27,4),1)</f>
        <v>4.0000000000000001E-3</v>
      </c>
      <c r="AG27" s="10">
        <f>ROUND(POWER(($E$26+200-$J$27-200+$AP$22),2)/$AO$27,0)</f>
        <v>42</v>
      </c>
      <c r="AH27" s="10">
        <f>ROUND(($Q$26+$AG$27)*($A$26+$A$27)/$AQ$27,0)</f>
        <v>5</v>
      </c>
      <c r="AI27" s="15">
        <f ca="1">MIN(ROUND($AH$27/$A$27*$L$27,4),1)</f>
        <v>2.4500000000000001E-2</v>
      </c>
      <c r="AJ27" s="10">
        <f>ROUND(POWER(($E$27+200-$J$26-200+900),2)/$AO$27,0)</f>
        <v>135</v>
      </c>
      <c r="AK27" s="10">
        <f>ROUND(($Q$27+$AJ$27)*($A$26+$A$27)/$AQ$27,0)</f>
        <v>12</v>
      </c>
      <c r="AL27" s="15">
        <f ca="1">MIN(ROUND($AK$27/$A$26*$L$27,4),1)</f>
        <v>0.1176</v>
      </c>
      <c r="AM27" s="8">
        <v>0.5</v>
      </c>
      <c r="AN27" s="8">
        <v>0.15</v>
      </c>
      <c r="AO27" s="8">
        <v>6000</v>
      </c>
      <c r="AP27" s="8">
        <v>500</v>
      </c>
      <c r="AQ27" s="8">
        <v>20000</v>
      </c>
      <c r="AU27" s="15"/>
      <c r="AV27" s="64"/>
    </row>
    <row r="28" spans="1:62">
      <c r="A28">
        <v>2000</v>
      </c>
      <c r="B28" s="19">
        <v>0</v>
      </c>
      <c r="D28" s="1">
        <v>0</v>
      </c>
      <c r="E28">
        <f>ROUND(POWER($A$28*D28/100,$AM$28),0)</f>
        <v>0</v>
      </c>
      <c r="F28" s="72">
        <f t="shared" si="1"/>
        <v>5505</v>
      </c>
      <c r="G28">
        <f>ROUND((E28+(30+30)/2)*AN28*兵攻防!A28/基本公式!$B$50,0)</f>
        <v>1800</v>
      </c>
      <c r="H28" s="76">
        <f>ROUND((E28+(基本公式!$B$180+基本公式!$B$28)/2)*AN28*兵攻防!A28/基本公式!$B$50,0)</f>
        <v>7500</v>
      </c>
      <c r="I28" s="1">
        <v>0</v>
      </c>
      <c r="J28">
        <f>ROUND(POWER($A$28*I28/100,$AM$28),0)</f>
        <v>0</v>
      </c>
      <c r="K28" s="18">
        <v>3</v>
      </c>
      <c r="L28">
        <f t="shared" ca="1" si="0"/>
        <v>4.9000000000000004</v>
      </c>
      <c r="M28" s="1">
        <v>125</v>
      </c>
      <c r="N28" s="11">
        <f ca="1">OFFSET(其他表格!G1,M28/100,0)</f>
        <v>0.7</v>
      </c>
      <c r="O28" s="1">
        <v>1</v>
      </c>
      <c r="P28" s="11">
        <f ca="1">OFFSET(其他表格!B1,O28,0)</f>
        <v>0.7</v>
      </c>
      <c r="Q28">
        <f>ROUND(($E$28+200)*$AN$28,2)</f>
        <v>30</v>
      </c>
      <c r="R28">
        <f>ROUND(($E$28+200)*$AN$28,2)</f>
        <v>30</v>
      </c>
      <c r="S28">
        <f>ROUND(POWER(($E$28+200-$J$28-200+$AP$22),2)/$AO$28,2)</f>
        <v>41.67</v>
      </c>
      <c r="T28">
        <f>ROUND(POWER(($J$28+200-$E$28-200+$AP$28),2)/$AO$28,2)</f>
        <v>41.67</v>
      </c>
      <c r="U28">
        <f ca="1">ROUND(($Q$28+$S$28)*($A$28+$A$28)/$AQ$28*$L$22,0)</f>
        <v>70</v>
      </c>
      <c r="V28">
        <f ca="1">ROUND((R28+T28)*($A$28+$A$28)/$AQ$28*$L$22,0)</f>
        <v>70</v>
      </c>
      <c r="W28" s="15">
        <f ca="1">MIN(ROUND(U28/$A$28,4),1)</f>
        <v>3.5000000000000003E-2</v>
      </c>
      <c r="X28" s="15">
        <f ca="1">MIN(ROUND($V$28/$A$28,4),1)</f>
        <v>3.5000000000000003E-2</v>
      </c>
      <c r="Y28">
        <f>ROUND(($E$28+250)*$AN$28,0)</f>
        <v>38</v>
      </c>
      <c r="Z28">
        <f>ROUND(POWER(($E$28+250-$J$28-100+$AP$22),2)/$AO$28,0)</f>
        <v>70</v>
      </c>
      <c r="AA28">
        <f>ROUND(($Y$28+$Z$28)*($A$28+$A$28)/$AQ$28,0)</f>
        <v>22</v>
      </c>
      <c r="AB28" s="15">
        <f ca="1">MIN(ROUND(AA28/$A$28*$L$28,4),1)</f>
        <v>5.3900000000000003E-2</v>
      </c>
      <c r="AC28">
        <f>ROUND(($E$28+100)*$AN$28,0)</f>
        <v>15</v>
      </c>
      <c r="AD28" s="10">
        <f>ROUND(POWER(($E$28+100-$J$28-250+$AP$28),2)/$AO$28,0)</f>
        <v>20</v>
      </c>
      <c r="AE28" s="10">
        <f>ROUND(($AC$28+$AD$28)*($A$28+$A$28)/$AQ$28,0)</f>
        <v>7</v>
      </c>
      <c r="AF28" s="15">
        <f>MIN(ROUND($AE$28/$A$28,4),1)</f>
        <v>3.5000000000000001E-3</v>
      </c>
      <c r="AG28" s="10">
        <f>ROUND(POWER(($E$26+200-$J$28-200+$AP$22),2)/$AO$28,0)</f>
        <v>42</v>
      </c>
      <c r="AH28" s="10">
        <f>ROUND(($Q$26+$AG$28)*($A$26+$A$28)/$AQ$28,0)</f>
        <v>9</v>
      </c>
      <c r="AI28" s="15">
        <f ca="1">MIN(ROUND($AH$28/$A$28*$L$28,4),1)</f>
        <v>2.2100000000000002E-2</v>
      </c>
      <c r="AJ28" s="10">
        <f>ROUND(POWER(($E$28+200-$J$26-200+900),2)/$AO$28,0)</f>
        <v>135</v>
      </c>
      <c r="AK28" s="10">
        <f>ROUND(($Q$28+$AJ$28)*($A$26+$A$28)/$AQ$28,0)</f>
        <v>21</v>
      </c>
      <c r="AL28" s="15">
        <f ca="1">MIN(ROUND($AK$28/$A$26*$L$28,4),1)</f>
        <v>0.20580000000000001</v>
      </c>
      <c r="AM28" s="8">
        <v>0.5</v>
      </c>
      <c r="AN28" s="8">
        <v>0.15</v>
      </c>
      <c r="AO28" s="8">
        <v>6000</v>
      </c>
      <c r="AP28" s="8">
        <v>500</v>
      </c>
      <c r="AQ28" s="8">
        <v>20000</v>
      </c>
      <c r="AU28" s="15"/>
      <c r="AV28" s="64"/>
    </row>
    <row r="29" spans="1:62">
      <c r="A29">
        <v>5000</v>
      </c>
      <c r="B29" s="19">
        <v>0</v>
      </c>
      <c r="D29" s="1">
        <v>0</v>
      </c>
      <c r="E29">
        <f>ROUND(POWER($A$29*D29/100,$AM$29),0)</f>
        <v>0</v>
      </c>
      <c r="F29" s="72">
        <f t="shared" si="1"/>
        <v>13763</v>
      </c>
      <c r="G29">
        <f>ROUND((E29+(30+30)/2)*AN29*兵攻防!A29/基本公式!$B$50,0)</f>
        <v>4500</v>
      </c>
      <c r="H29" s="76">
        <f>ROUND((E29+(基本公式!$B$180+基本公式!$B$28)/2)*AN29*兵攻防!A29/基本公式!$B$50,0)</f>
        <v>18750</v>
      </c>
      <c r="I29" s="1">
        <v>0</v>
      </c>
      <c r="J29">
        <f>ROUND(POWER($A$29*I29/100,$AM$29),0)</f>
        <v>0</v>
      </c>
      <c r="K29" s="18">
        <v>3</v>
      </c>
      <c r="L29">
        <f t="shared" ca="1" si="0"/>
        <v>4.9000000000000004</v>
      </c>
      <c r="M29" s="1">
        <v>125</v>
      </c>
      <c r="N29" s="11">
        <f ca="1">OFFSET(其他表格!G1,M29/100,0)</f>
        <v>0.7</v>
      </c>
      <c r="O29" s="1">
        <v>1</v>
      </c>
      <c r="P29" s="11">
        <f ca="1">OFFSET(其他表格!B1,O29,0)</f>
        <v>0.7</v>
      </c>
      <c r="Q29">
        <f>ROUND(($E$29+200)*$AN$29,2)</f>
        <v>30</v>
      </c>
      <c r="R29">
        <f>ROUND(($E$29+200)*$AN$29,2)</f>
        <v>30</v>
      </c>
      <c r="S29">
        <f>ROUND(POWER(($E$29+200-$J$29-200+$AP$22),2)/$AO$29,2)</f>
        <v>41.67</v>
      </c>
      <c r="T29">
        <f>ROUND(POWER(($J$29+200-$E$29-200+$AP$29),2)/$AO$29,2)</f>
        <v>41.67</v>
      </c>
      <c r="U29">
        <f ca="1">ROUND(($Q$29+$S$29)*($A$29+$A$29)/$AQ$29*$L$22,0)</f>
        <v>176</v>
      </c>
      <c r="V29">
        <f ca="1">ROUND((R29+T29)*($A$29+$A$29)/$AQ$29*$L$22,0)</f>
        <v>176</v>
      </c>
      <c r="W29" s="15">
        <f ca="1">MIN(ROUND(U29/$A$29,4),1)</f>
        <v>3.5200000000000002E-2</v>
      </c>
      <c r="X29" s="15">
        <f ca="1">MIN(ROUND($V$29/$A$29,4),1)</f>
        <v>3.5200000000000002E-2</v>
      </c>
      <c r="Y29">
        <f>ROUND(($E$29+250)*$AN$29,0)</f>
        <v>38</v>
      </c>
      <c r="Z29">
        <f>ROUND(POWER(($E$29+250-$J$29-100+$AP$22),2)/$AO$29,0)</f>
        <v>70</v>
      </c>
      <c r="AA29">
        <f>ROUND(($Y$29+$Z$29)*($A$29+$A$29)/$AQ$29,0)</f>
        <v>54</v>
      </c>
      <c r="AB29" s="15">
        <f ca="1">MIN(ROUND(AA29/$A$29*$L$29,4),1)</f>
        <v>5.2900000000000003E-2</v>
      </c>
      <c r="AC29">
        <f>ROUND(($E$29+100)*$AN$29,0)</f>
        <v>15</v>
      </c>
      <c r="AD29" s="10">
        <f>ROUND(POWER(($E$29+100-$J$29-250+$AP$29),2)/$AO$29,0)</f>
        <v>20</v>
      </c>
      <c r="AE29" s="10">
        <f>ROUND(($AC$29+$AD$29)*($A$29+$A$29)/$AQ$29,0)</f>
        <v>18</v>
      </c>
      <c r="AF29" s="15">
        <f>MIN(ROUND($AE$29/$A$29,4),1)</f>
        <v>3.5999999999999999E-3</v>
      </c>
      <c r="AG29" s="10">
        <f>ROUND(POWER(($E$26+200-$J$29-200+$AP$22),2)/$AO$29,0)</f>
        <v>42</v>
      </c>
      <c r="AH29" s="10">
        <f>ROUND(($Q$26+$AG$29)*($A$26+$A$29)/$AQ$29,0)</f>
        <v>20</v>
      </c>
      <c r="AI29" s="15">
        <f ca="1">MIN(ROUND($AH$29/$A$29*$L$29,4),1)</f>
        <v>1.9599999999999999E-2</v>
      </c>
      <c r="AJ29" s="10">
        <f>ROUND(POWER(($E$29+200-$J$26-200+900),2)/$AO$29,0)</f>
        <v>135</v>
      </c>
      <c r="AK29" s="10">
        <f>ROUND(($Q$29+$AJ$29)*($A$26+$A$29)/$AQ$29,0)</f>
        <v>45</v>
      </c>
      <c r="AL29" s="15">
        <f ca="1">MIN(ROUND($AK$29/$A$26*$L$29,4),1)</f>
        <v>0.441</v>
      </c>
      <c r="AM29" s="8">
        <v>0.5</v>
      </c>
      <c r="AN29" s="8">
        <v>0.15</v>
      </c>
      <c r="AO29" s="8">
        <v>6000</v>
      </c>
      <c r="AP29" s="8">
        <v>500</v>
      </c>
      <c r="AQ29" s="8">
        <v>20000</v>
      </c>
      <c r="AU29" s="15"/>
      <c r="AV29" s="64"/>
    </row>
    <row r="30" spans="1:62">
      <c r="Y30"/>
    </row>
    <row r="31" spans="1:62" s="23" customFormat="1">
      <c r="A31" s="23" t="s">
        <v>112</v>
      </c>
      <c r="B31" s="26" t="s">
        <v>73</v>
      </c>
      <c r="C31" s="26" t="s">
        <v>193</v>
      </c>
      <c r="F31" s="75"/>
      <c r="H31" s="78"/>
      <c r="K31" s="63"/>
      <c r="AR31" s="30"/>
      <c r="AV31" s="21"/>
      <c r="AW31" s="37"/>
      <c r="AX31" s="27"/>
      <c r="BB31" s="33"/>
      <c r="BD31" s="33"/>
      <c r="BG31" s="8"/>
      <c r="BH31" s="8"/>
    </row>
    <row r="32" spans="1:62">
      <c r="A32">
        <v>100</v>
      </c>
      <c r="B32" s="19">
        <f t="shared" ref="B32:B37" ca="1" si="2">ROUND(((U32-$U$29)+($V$29-V32)),0)</f>
        <v>0</v>
      </c>
      <c r="C32" s="21">
        <f ca="1">B32</f>
        <v>0</v>
      </c>
      <c r="D32" s="1">
        <v>5</v>
      </c>
      <c r="E32">
        <f t="shared" ref="E32:E37" si="3">ROUND(POWER(A32*D32/100,AM32),0)</f>
        <v>2</v>
      </c>
      <c r="F32" s="72">
        <f>ROUND(G32*0.35+H32*0.65,0)</f>
        <v>281</v>
      </c>
      <c r="G32">
        <f>ROUND((E32+(30+30)/2)*AN32*兵攻防!A32/基本公式!$B$50,0)</f>
        <v>96</v>
      </c>
      <c r="H32" s="76">
        <f>ROUND((E32+(基本公式!$B$180+基本公式!$B$28)/2)*AN32*兵攻防!A32/基本公式!$B$50,0)</f>
        <v>381</v>
      </c>
      <c r="I32" s="1">
        <v>3</v>
      </c>
      <c r="J32">
        <f>ROUND(POWER($A$24*I32/100,$AM$24),0)</f>
        <v>2</v>
      </c>
      <c r="K32" s="18">
        <v>3</v>
      </c>
      <c r="L32">
        <f t="shared" ref="L32:L37" ca="1" si="4">ROUND(30/K32*P32*N32,2)</f>
        <v>14.18</v>
      </c>
      <c r="M32" s="1">
        <v>250</v>
      </c>
      <c r="N32" s="11">
        <f ca="1">OFFSET(其他表格!$G$2,M32/100,0)</f>
        <v>1.05</v>
      </c>
      <c r="O32" s="1">
        <v>5</v>
      </c>
      <c r="P32" s="11">
        <f ca="1">OFFSET(其他表格!$B$1,O32,0)</f>
        <v>1.35</v>
      </c>
      <c r="Q32">
        <f t="shared" ref="Q32:Q37" si="5">ROUND((E32+200)*AN32,2)</f>
        <v>30.3</v>
      </c>
      <c r="R32">
        <f>ROUND(($E$24+200)*$AN$24,2)</f>
        <v>30</v>
      </c>
      <c r="S32">
        <f>ROUND(POWER((E32+200-$J$24-200+AP32),2)/AO32,2)</f>
        <v>42</v>
      </c>
      <c r="T32">
        <f>ROUND(POWER(($E$24+200-J32-200+AP32),2)/AO32,2)</f>
        <v>41.33</v>
      </c>
      <c r="U32">
        <f t="shared" ref="U32:U37" ca="1" si="6">ROUND((Q32+S32)*(A32+A32)/AQ32*L32,0)</f>
        <v>10</v>
      </c>
      <c r="V32">
        <f t="shared" ref="V32:V37" ca="1" si="7">ROUND((R32+T32)*(A32+A32)/AQ32*L32,0)</f>
        <v>10</v>
      </c>
      <c r="W32" s="15">
        <f t="shared" ref="W32:W37" ca="1" si="8">MIN(ROUND(U32/A32,4),1)</f>
        <v>0.1</v>
      </c>
      <c r="X32" s="15">
        <f t="shared" ref="X32:X37" ca="1" si="9">MIN(ROUND(V32/A32,4),1)</f>
        <v>0.1</v>
      </c>
      <c r="Y32"/>
      <c r="Z32"/>
      <c r="AA32"/>
      <c r="AB32" s="15"/>
      <c r="AC32"/>
      <c r="AD32" s="10"/>
      <c r="AE32" s="10"/>
      <c r="AF32" s="15"/>
      <c r="AG32" s="10"/>
      <c r="AH32" s="10"/>
      <c r="AI32" s="15"/>
      <c r="AJ32" s="10"/>
      <c r="AK32" s="10"/>
      <c r="AL32" s="15"/>
      <c r="AM32" s="8">
        <v>0.5</v>
      </c>
      <c r="AN32" s="8">
        <v>0.15</v>
      </c>
      <c r="AO32" s="8">
        <v>6000</v>
      </c>
      <c r="AP32" s="8">
        <v>500</v>
      </c>
      <c r="AQ32" s="8">
        <v>20000</v>
      </c>
      <c r="AS32">
        <f t="shared" ref="AS32:AS37" ca="1" si="10">ROUND(AT32*AV32,0)</f>
        <v>2</v>
      </c>
      <c r="AT32">
        <f t="shared" ref="AT32:AT37" si="11">ROUND(AY32*0.35+AZ32*0.65,0)</f>
        <v>13</v>
      </c>
      <c r="AU32" s="15">
        <f t="shared" ref="AU32:AU37" ca="1" si="12">ROUND(AS32/A32,4)</f>
        <v>0.02</v>
      </c>
      <c r="AV32" s="64">
        <f ca="1">ROUND((AW32+其他表格!K4+基本公式!$B$84)*OFFSET(其他表格!$N$1,兵攻防!O32,0)+OFFSET(其他表格!$P$1,M32/100,0),4)</f>
        <v>0.128</v>
      </c>
      <c r="AW32" s="35">
        <v>0.1</v>
      </c>
      <c r="AX32" s="1">
        <v>90</v>
      </c>
      <c r="AY32">
        <f t="shared" ref="AY32:AY36" si="13">BA32+BC32</f>
        <v>2</v>
      </c>
      <c r="AZ32">
        <f t="shared" ref="AZ32:AZ36" si="14">BB32+BD32</f>
        <v>19</v>
      </c>
      <c r="BA32">
        <f t="shared" ref="BA32:BA37" si="15">ROUND(POWER(AX32/10*(BE32*2+BG32),2)/BH32*(A32+A32)/AQ32,0)</f>
        <v>2</v>
      </c>
      <c r="BB32" s="31">
        <f t="shared" ref="BB32:BB37" si="16">ROUND(POWER(AX32/10*(BF32*2+BG32),2)/BH32*(A32+A32)/AQ32,0)</f>
        <v>5</v>
      </c>
      <c r="BC32">
        <f t="shared" ref="BC32:BC37" si="17">ROUND(POWER(AX32/10*(BE32-BF32+BI32),2)/BJ32*(A32+A32)/AQ32,0)</f>
        <v>0</v>
      </c>
      <c r="BD32" s="31">
        <f t="shared" ref="BD32:BD37" si="18">ROUND(POWER(AX32/10*(BF32*2-BE32*2+BI32),2)/BJ32*(A32+A32)/AQ32,0)</f>
        <v>14</v>
      </c>
      <c r="BE32">
        <f>基本公式!$B$183</f>
        <v>30</v>
      </c>
      <c r="BF32">
        <f>基本公式!$B$182</f>
        <v>150</v>
      </c>
      <c r="BG32" s="8">
        <v>300</v>
      </c>
      <c r="BH32" s="8">
        <v>60000</v>
      </c>
      <c r="BI32" s="8">
        <v>200</v>
      </c>
      <c r="BJ32" s="8">
        <v>11500</v>
      </c>
    </row>
    <row r="33" spans="1:62">
      <c r="A33">
        <v>200</v>
      </c>
      <c r="B33" s="19">
        <f t="shared" ca="1" si="2"/>
        <v>1</v>
      </c>
      <c r="C33" s="21">
        <f t="shared" ref="C33:C37" ca="1" si="19">B33</f>
        <v>1</v>
      </c>
      <c r="D33" s="1">
        <v>5</v>
      </c>
      <c r="E33">
        <f t="shared" si="3"/>
        <v>3</v>
      </c>
      <c r="F33" s="72">
        <f t="shared" ref="F33:F37" si="20">ROUND(G33*0.35+H33*0.65,0)</f>
        <v>569</v>
      </c>
      <c r="G33">
        <f>ROUND((E33+(30+30)/2)*AN33*兵攻防!A33/基本公式!$B$50,0)</f>
        <v>198</v>
      </c>
      <c r="H33" s="76">
        <f>ROUND((E33+(基本公式!$B$180+基本公式!$B$28)/2)*AN33*兵攻防!A33/基本公式!$B$50,0)</f>
        <v>768</v>
      </c>
      <c r="I33" s="1">
        <v>3</v>
      </c>
      <c r="J33">
        <f>ROUND(POWER($A$25*I33/100,$AM$25),0)</f>
        <v>2</v>
      </c>
      <c r="K33" s="18">
        <v>3</v>
      </c>
      <c r="L33">
        <f t="shared" ca="1" si="4"/>
        <v>14.18</v>
      </c>
      <c r="M33" s="1">
        <v>250</v>
      </c>
      <c r="N33" s="11">
        <f ca="1">OFFSET(其他表格!$G$2,M33/100,0)</f>
        <v>1.05</v>
      </c>
      <c r="O33" s="1">
        <v>5</v>
      </c>
      <c r="P33" s="11">
        <f ca="1">OFFSET(其他表格!$B$1,O33,0)</f>
        <v>1.35</v>
      </c>
      <c r="Q33">
        <f t="shared" si="5"/>
        <v>30.45</v>
      </c>
      <c r="R33">
        <f>ROUND(($E$25+200)*$AN$25,2)</f>
        <v>30</v>
      </c>
      <c r="S33">
        <f>ROUND(POWER((E33+200-$J$25-200+AP33),2)/AO33,2)</f>
        <v>42.17</v>
      </c>
      <c r="T33">
        <f>ROUND(POWER(($E$25+200-J33-200+AP33),2)/AO33,2)</f>
        <v>41.33</v>
      </c>
      <c r="U33">
        <f t="shared" ca="1" si="6"/>
        <v>21</v>
      </c>
      <c r="V33">
        <f t="shared" ca="1" si="7"/>
        <v>20</v>
      </c>
      <c r="W33" s="15">
        <f t="shared" ca="1" si="8"/>
        <v>0.105</v>
      </c>
      <c r="X33" s="15">
        <f t="shared" ca="1" si="9"/>
        <v>0.1</v>
      </c>
      <c r="Y33"/>
      <c r="Z33"/>
      <c r="AA33"/>
      <c r="AB33" s="15"/>
      <c r="AC33"/>
      <c r="AD33" s="10"/>
      <c r="AE33" s="10"/>
      <c r="AF33" s="15"/>
      <c r="AG33" s="10"/>
      <c r="AH33" s="10"/>
      <c r="AI33" s="15"/>
      <c r="AJ33" s="10"/>
      <c r="AK33" s="10"/>
      <c r="AL33" s="15"/>
      <c r="AM33" s="8">
        <v>0.5</v>
      </c>
      <c r="AN33" s="8">
        <v>0.15</v>
      </c>
      <c r="AO33" s="8">
        <v>6000</v>
      </c>
      <c r="AP33" s="8">
        <v>500</v>
      </c>
      <c r="AQ33" s="8">
        <v>20000</v>
      </c>
      <c r="AS33">
        <f t="shared" ca="1" si="10"/>
        <v>4</v>
      </c>
      <c r="AT33">
        <f t="shared" si="11"/>
        <v>25</v>
      </c>
      <c r="AU33" s="15">
        <f t="shared" ca="1" si="12"/>
        <v>0.02</v>
      </c>
      <c r="AV33" s="64">
        <f ca="1">ROUND((AW33+其他表格!K5+基本公式!$B$84)*OFFSET(其他表格!$N$1,兵攻防!O33,0)+OFFSET(其他表格!$P$1,M33/100,0),4)</f>
        <v>0.1532</v>
      </c>
      <c r="AW33" s="35">
        <v>0.1</v>
      </c>
      <c r="AX33" s="1">
        <v>90</v>
      </c>
      <c r="AY33">
        <f t="shared" si="13"/>
        <v>4</v>
      </c>
      <c r="AZ33">
        <f t="shared" si="14"/>
        <v>37</v>
      </c>
      <c r="BA33">
        <f t="shared" si="15"/>
        <v>3</v>
      </c>
      <c r="BB33" s="31">
        <f t="shared" si="16"/>
        <v>10</v>
      </c>
      <c r="BC33">
        <f t="shared" si="17"/>
        <v>1</v>
      </c>
      <c r="BD33" s="31">
        <f t="shared" si="18"/>
        <v>27</v>
      </c>
      <c r="BE33">
        <f>基本公式!$B$183</f>
        <v>30</v>
      </c>
      <c r="BF33">
        <f>基本公式!$B$182</f>
        <v>150</v>
      </c>
      <c r="BG33" s="8">
        <v>300</v>
      </c>
      <c r="BH33" s="8">
        <v>60000</v>
      </c>
      <c r="BI33" s="8">
        <v>200</v>
      </c>
      <c r="BJ33" s="8">
        <v>11500</v>
      </c>
    </row>
    <row r="34" spans="1:62">
      <c r="A34">
        <v>500</v>
      </c>
      <c r="B34" s="19">
        <f t="shared" ca="1" si="2"/>
        <v>2</v>
      </c>
      <c r="C34" s="21">
        <f t="shared" ca="1" si="19"/>
        <v>2</v>
      </c>
      <c r="D34" s="1">
        <v>5</v>
      </c>
      <c r="E34">
        <f t="shared" si="3"/>
        <v>5</v>
      </c>
      <c r="F34" s="72">
        <f t="shared" si="20"/>
        <v>1451</v>
      </c>
      <c r="G34">
        <f>ROUND((E34+(30+30)/2)*AN34*兵攻防!A34/基本公式!$B$50,0)</f>
        <v>525</v>
      </c>
      <c r="H34" s="76">
        <f>ROUND((E34+(基本公式!$B$180+基本公式!$B$28)/2)*AN34*兵攻防!A34/基本公式!$B$50,0)</f>
        <v>1950</v>
      </c>
      <c r="I34" s="1">
        <v>3</v>
      </c>
      <c r="J34">
        <f>ROUND(POWER($A$26*I34/100,$AM$26),0)</f>
        <v>4</v>
      </c>
      <c r="K34" s="18">
        <v>3</v>
      </c>
      <c r="L34">
        <f t="shared" ca="1" si="4"/>
        <v>14.18</v>
      </c>
      <c r="M34" s="1">
        <v>250</v>
      </c>
      <c r="N34" s="11">
        <f ca="1">OFFSET(其他表格!$G$2,M34/100,0)</f>
        <v>1.05</v>
      </c>
      <c r="O34" s="1">
        <v>5</v>
      </c>
      <c r="P34" s="11">
        <f ca="1">OFFSET(其他表格!$B$1,O34,0)</f>
        <v>1.35</v>
      </c>
      <c r="Q34">
        <f t="shared" si="5"/>
        <v>30.75</v>
      </c>
      <c r="R34">
        <f>ROUND(($E$26+200)*$AN$26,2)</f>
        <v>30</v>
      </c>
      <c r="S34">
        <f>ROUND(POWER((E34+200-$J$26-200+AP34),2)/AO34,2)</f>
        <v>42.5</v>
      </c>
      <c r="T34">
        <f>ROUND(POWER(($E$26+200-J34-200+AP34),2)/AO34,2)</f>
        <v>41</v>
      </c>
      <c r="U34">
        <f t="shared" ca="1" si="6"/>
        <v>52</v>
      </c>
      <c r="V34">
        <f t="shared" ca="1" si="7"/>
        <v>50</v>
      </c>
      <c r="W34" s="15">
        <f t="shared" ca="1" si="8"/>
        <v>0.104</v>
      </c>
      <c r="X34" s="15">
        <f t="shared" ca="1" si="9"/>
        <v>0.1</v>
      </c>
      <c r="Y34"/>
      <c r="Z34"/>
      <c r="AA34"/>
      <c r="AB34" s="15"/>
      <c r="AC34"/>
      <c r="AD34" s="10"/>
      <c r="AE34" s="10"/>
      <c r="AF34" s="15"/>
      <c r="AG34" s="10"/>
      <c r="AH34" s="10"/>
      <c r="AI34" s="15"/>
      <c r="AJ34" s="10"/>
      <c r="AK34" s="10"/>
      <c r="AL34" s="15"/>
      <c r="AM34" s="8">
        <v>0.5</v>
      </c>
      <c r="AN34" s="8">
        <v>0.15</v>
      </c>
      <c r="AO34" s="8">
        <v>6000</v>
      </c>
      <c r="AP34" s="8">
        <v>500</v>
      </c>
      <c r="AQ34" s="8">
        <v>20000</v>
      </c>
      <c r="AS34">
        <f t="shared" ca="1" si="10"/>
        <v>11</v>
      </c>
      <c r="AT34">
        <f t="shared" si="11"/>
        <v>64</v>
      </c>
      <c r="AU34" s="15">
        <f t="shared" ca="1" si="12"/>
        <v>2.1999999999999999E-2</v>
      </c>
      <c r="AV34" s="64">
        <f ca="1">ROUND((AW34+其他表格!K6+基本公式!$B$84)*OFFSET(其他表格!$N$1,兵攻防!O34,0)+OFFSET(其他表格!$P$1,M34/100,0),4)</f>
        <v>0.17849999999999999</v>
      </c>
      <c r="AW34" s="35">
        <v>0.1</v>
      </c>
      <c r="AX34" s="1">
        <v>90</v>
      </c>
      <c r="AY34">
        <f t="shared" si="13"/>
        <v>11</v>
      </c>
      <c r="AZ34">
        <f t="shared" si="14"/>
        <v>92</v>
      </c>
      <c r="BA34">
        <f t="shared" si="15"/>
        <v>9</v>
      </c>
      <c r="BB34" s="31">
        <f t="shared" si="16"/>
        <v>24</v>
      </c>
      <c r="BC34">
        <f t="shared" si="17"/>
        <v>2</v>
      </c>
      <c r="BD34" s="31">
        <f t="shared" si="18"/>
        <v>68</v>
      </c>
      <c r="BE34">
        <f>基本公式!$B$183</f>
        <v>30</v>
      </c>
      <c r="BF34">
        <f>基本公式!$B$182</f>
        <v>150</v>
      </c>
      <c r="BG34" s="8">
        <v>300</v>
      </c>
      <c r="BH34" s="8">
        <v>60000</v>
      </c>
      <c r="BI34" s="8">
        <v>200</v>
      </c>
      <c r="BJ34" s="8">
        <v>11500</v>
      </c>
    </row>
    <row r="35" spans="1:62">
      <c r="A35">
        <v>1000</v>
      </c>
      <c r="B35" s="19">
        <f t="shared" ca="1" si="2"/>
        <v>5</v>
      </c>
      <c r="C35" s="21">
        <f t="shared" ca="1" si="19"/>
        <v>5</v>
      </c>
      <c r="D35" s="1">
        <v>5</v>
      </c>
      <c r="E35">
        <f t="shared" si="3"/>
        <v>7</v>
      </c>
      <c r="F35" s="72">
        <f t="shared" si="20"/>
        <v>2963</v>
      </c>
      <c r="G35">
        <f>ROUND((E35+(30+30)/2)*AN35*兵攻防!A35/基本公式!$B$50,0)</f>
        <v>1110</v>
      </c>
      <c r="H35" s="76">
        <f>ROUND((E35+(基本公式!$B$180+基本公式!$B$28)/2)*AN35*兵攻防!A35/基本公式!$B$50,0)</f>
        <v>3960</v>
      </c>
      <c r="I35" s="1">
        <v>3</v>
      </c>
      <c r="J35">
        <f>ROUND(POWER($A$27*I35/100,$AM$27),0)</f>
        <v>5</v>
      </c>
      <c r="K35" s="18">
        <v>3</v>
      </c>
      <c r="L35">
        <f t="shared" ca="1" si="4"/>
        <v>14.18</v>
      </c>
      <c r="M35" s="1">
        <v>250</v>
      </c>
      <c r="N35" s="11">
        <f ca="1">OFFSET(其他表格!$G$2,M35/100,0)</f>
        <v>1.05</v>
      </c>
      <c r="O35" s="1">
        <v>5</v>
      </c>
      <c r="P35" s="11">
        <f ca="1">OFFSET(其他表格!$B$1,O35,0)</f>
        <v>1.35</v>
      </c>
      <c r="Q35">
        <f t="shared" si="5"/>
        <v>31.05</v>
      </c>
      <c r="R35">
        <f>ROUND(($E$27+200)*$AN$27,2)</f>
        <v>30</v>
      </c>
      <c r="S35">
        <f>ROUND(POWER((E35+200-$J$27-200+AP35),2)/AO35,2)</f>
        <v>42.84</v>
      </c>
      <c r="T35">
        <f>ROUND(POWER(($E$27+200-J35-200+AP35),2)/AO35,2)</f>
        <v>40.840000000000003</v>
      </c>
      <c r="U35">
        <f t="shared" ca="1" si="6"/>
        <v>105</v>
      </c>
      <c r="V35">
        <f t="shared" ca="1" si="7"/>
        <v>100</v>
      </c>
      <c r="W35" s="15">
        <f t="shared" ca="1" si="8"/>
        <v>0.105</v>
      </c>
      <c r="X35" s="15">
        <f t="shared" ca="1" si="9"/>
        <v>0.1</v>
      </c>
      <c r="Y35"/>
      <c r="Z35"/>
      <c r="AA35"/>
      <c r="AB35" s="15"/>
      <c r="AC35"/>
      <c r="AD35" s="10"/>
      <c r="AE35" s="10"/>
      <c r="AF35" s="15"/>
      <c r="AG35" s="10"/>
      <c r="AH35" s="10"/>
      <c r="AI35" s="15"/>
      <c r="AJ35" s="10"/>
      <c r="AK35" s="10"/>
      <c r="AL35" s="15"/>
      <c r="AM35" s="8">
        <v>0.5</v>
      </c>
      <c r="AN35" s="8">
        <v>0.15</v>
      </c>
      <c r="AO35" s="8">
        <v>6000</v>
      </c>
      <c r="AP35" s="8">
        <v>500</v>
      </c>
      <c r="AQ35" s="8">
        <v>20000</v>
      </c>
      <c r="AS35">
        <f t="shared" ca="1" si="10"/>
        <v>26</v>
      </c>
      <c r="AT35">
        <f t="shared" si="11"/>
        <v>128</v>
      </c>
      <c r="AU35" s="15">
        <f t="shared" ca="1" si="12"/>
        <v>2.5999999999999999E-2</v>
      </c>
      <c r="AV35" s="64">
        <f ca="1">ROUND((AW35+其他表格!K7+基本公式!$B$84)*OFFSET(其他表格!$N$1,兵攻防!O35,0)+OFFSET(其他表格!$P$1,M35/100,0),4)</f>
        <v>0.20380000000000001</v>
      </c>
      <c r="AW35" s="35">
        <v>0.1</v>
      </c>
      <c r="AX35" s="1">
        <v>90</v>
      </c>
      <c r="AY35">
        <f t="shared" si="13"/>
        <v>22</v>
      </c>
      <c r="AZ35">
        <f t="shared" si="14"/>
        <v>185</v>
      </c>
      <c r="BA35">
        <f t="shared" si="15"/>
        <v>17</v>
      </c>
      <c r="BB35" s="31">
        <f t="shared" si="16"/>
        <v>49</v>
      </c>
      <c r="BC35">
        <f t="shared" si="17"/>
        <v>5</v>
      </c>
      <c r="BD35" s="31">
        <f t="shared" si="18"/>
        <v>136</v>
      </c>
      <c r="BE35">
        <f>基本公式!$B$183</f>
        <v>30</v>
      </c>
      <c r="BF35">
        <f>基本公式!$B$182</f>
        <v>150</v>
      </c>
      <c r="BG35" s="8">
        <v>300</v>
      </c>
      <c r="BH35" s="8">
        <v>60000</v>
      </c>
      <c r="BI35" s="8">
        <v>200</v>
      </c>
      <c r="BJ35" s="8">
        <v>11500</v>
      </c>
    </row>
    <row r="36" spans="1:62">
      <c r="A36">
        <v>2000</v>
      </c>
      <c r="B36" s="19">
        <f t="shared" ca="1" si="2"/>
        <v>13</v>
      </c>
      <c r="C36" s="21">
        <f t="shared" ca="1" si="19"/>
        <v>13</v>
      </c>
      <c r="D36" s="1">
        <v>5</v>
      </c>
      <c r="E36">
        <f t="shared" si="3"/>
        <v>10</v>
      </c>
      <c r="F36" s="72">
        <f t="shared" si="20"/>
        <v>6105</v>
      </c>
      <c r="G36">
        <f>ROUND((E36+(30+30)/2)*AN36*兵攻防!A36/基本公式!$B$50,0)</f>
        <v>2400</v>
      </c>
      <c r="H36" s="76">
        <f>ROUND((E36+(基本公式!$B$180+基本公式!$B$28)/2)*AN36*兵攻防!A36/基本公式!$B$50,0)</f>
        <v>8100</v>
      </c>
      <c r="I36" s="1">
        <v>3</v>
      </c>
      <c r="J36">
        <f>ROUND(POWER($A$28*I36/100,$AM$28),0)</f>
        <v>8</v>
      </c>
      <c r="K36" s="18">
        <v>3</v>
      </c>
      <c r="L36">
        <f t="shared" ca="1" si="4"/>
        <v>14.18</v>
      </c>
      <c r="M36" s="1">
        <v>250</v>
      </c>
      <c r="N36" s="11">
        <f ca="1">OFFSET(其他表格!$G$2,M36/100,0)</f>
        <v>1.05</v>
      </c>
      <c r="O36" s="1">
        <v>5</v>
      </c>
      <c r="P36" s="11">
        <f ca="1">OFFSET(其他表格!$B$1,O36,0)</f>
        <v>1.35</v>
      </c>
      <c r="Q36">
        <f t="shared" si="5"/>
        <v>31.5</v>
      </c>
      <c r="R36">
        <f>ROUND(($E$28+200)*$AN$28,2)</f>
        <v>30</v>
      </c>
      <c r="S36">
        <f>ROUND(POWER((E36+200-$J$28-200+AP36),2)/AO36,2)</f>
        <v>43.35</v>
      </c>
      <c r="T36">
        <f>ROUND(POWER(($E$28+200-J36-200+AP36),2)/AO36,2)</f>
        <v>40.340000000000003</v>
      </c>
      <c r="U36">
        <f t="shared" ca="1" si="6"/>
        <v>212</v>
      </c>
      <c r="V36">
        <f t="shared" ca="1" si="7"/>
        <v>199</v>
      </c>
      <c r="W36" s="15">
        <f t="shared" ca="1" si="8"/>
        <v>0.106</v>
      </c>
      <c r="X36" s="15">
        <f t="shared" ca="1" si="9"/>
        <v>9.9500000000000005E-2</v>
      </c>
      <c r="Y36"/>
      <c r="Z36"/>
      <c r="AA36"/>
      <c r="AB36" s="15"/>
      <c r="AC36"/>
      <c r="AD36" s="10"/>
      <c r="AE36" s="10"/>
      <c r="AF36" s="15"/>
      <c r="AG36" s="10"/>
      <c r="AH36" s="10"/>
      <c r="AI36" s="15"/>
      <c r="AJ36" s="10"/>
      <c r="AK36" s="10"/>
      <c r="AL36" s="15"/>
      <c r="AM36" s="8">
        <v>0.5</v>
      </c>
      <c r="AN36" s="8">
        <v>0.15</v>
      </c>
      <c r="AO36" s="8">
        <v>6000</v>
      </c>
      <c r="AP36" s="8">
        <v>500</v>
      </c>
      <c r="AQ36" s="8">
        <v>20000</v>
      </c>
      <c r="AS36">
        <f t="shared" ca="1" si="10"/>
        <v>60</v>
      </c>
      <c r="AT36">
        <f t="shared" si="11"/>
        <v>256</v>
      </c>
      <c r="AU36" s="15">
        <f t="shared" ca="1" si="12"/>
        <v>0.03</v>
      </c>
      <c r="AV36" s="64">
        <f ca="1">ROUND((AW36+其他表格!K8+基本公式!$B$84)*OFFSET(其他表格!$N$1,兵攻防!O36,0)+OFFSET(其他表格!$P$1,M36/100,0),4)</f>
        <v>0.23330000000000001</v>
      </c>
      <c r="AW36" s="35">
        <v>0.1</v>
      </c>
      <c r="AX36" s="1">
        <v>90</v>
      </c>
      <c r="AY36">
        <f t="shared" si="13"/>
        <v>44</v>
      </c>
      <c r="AZ36">
        <f t="shared" si="14"/>
        <v>370</v>
      </c>
      <c r="BA36">
        <f t="shared" si="15"/>
        <v>35</v>
      </c>
      <c r="BB36" s="31">
        <f t="shared" si="16"/>
        <v>97</v>
      </c>
      <c r="BC36">
        <f t="shared" si="17"/>
        <v>9</v>
      </c>
      <c r="BD36" s="31">
        <f t="shared" si="18"/>
        <v>273</v>
      </c>
      <c r="BE36">
        <f>基本公式!$B$183</f>
        <v>30</v>
      </c>
      <c r="BF36">
        <f>基本公式!$B$182</f>
        <v>150</v>
      </c>
      <c r="BG36" s="8">
        <v>300</v>
      </c>
      <c r="BH36" s="8">
        <v>60000</v>
      </c>
      <c r="BI36" s="8">
        <v>200</v>
      </c>
      <c r="BJ36" s="8">
        <v>11500</v>
      </c>
    </row>
    <row r="37" spans="1:62">
      <c r="A37">
        <v>5000</v>
      </c>
      <c r="B37" s="19">
        <f t="shared" ca="1" si="2"/>
        <v>50</v>
      </c>
      <c r="C37" s="21">
        <f t="shared" ca="1" si="19"/>
        <v>50</v>
      </c>
      <c r="D37" s="1">
        <v>5</v>
      </c>
      <c r="E37">
        <f t="shared" si="3"/>
        <v>16</v>
      </c>
      <c r="F37" s="72">
        <f t="shared" si="20"/>
        <v>16163</v>
      </c>
      <c r="G37">
        <f>ROUND((E37+(30+30)/2)*AN37*兵攻防!A37/基本公式!$B$50,0)</f>
        <v>6900</v>
      </c>
      <c r="H37" s="76">
        <f>ROUND((E37+(基本公式!$B$180+基本公式!$B$28)/2)*AN37*兵攻防!A37/基本公式!$B$50,0)</f>
        <v>21150</v>
      </c>
      <c r="I37" s="1">
        <v>3</v>
      </c>
      <c r="J37">
        <f>ROUND(POWER($A$29*I37/100,$AM$29),0)</f>
        <v>12</v>
      </c>
      <c r="K37" s="18">
        <v>3</v>
      </c>
      <c r="L37">
        <f t="shared" ca="1" si="4"/>
        <v>14.18</v>
      </c>
      <c r="M37" s="1">
        <v>250</v>
      </c>
      <c r="N37" s="11">
        <f ca="1">OFFSET(其他表格!$G$2,M37/100,0)</f>
        <v>1.05</v>
      </c>
      <c r="O37" s="1">
        <v>5</v>
      </c>
      <c r="P37" s="11">
        <f ca="1">OFFSET(其他表格!$B$1,O37,0)</f>
        <v>1.35</v>
      </c>
      <c r="Q37">
        <f t="shared" si="5"/>
        <v>32.4</v>
      </c>
      <c r="R37">
        <f>ROUND(($E$29+200)*$AN$29,2)</f>
        <v>30</v>
      </c>
      <c r="S37">
        <f>ROUND(POWER((E37+200-$J$29-200+AP37),2)/AO37,2)</f>
        <v>44.38</v>
      </c>
      <c r="T37">
        <f>ROUND(POWER(($E$29+200-J37-200+AP37),2)/AO37,2)</f>
        <v>39.69</v>
      </c>
      <c r="U37">
        <f t="shared" ca="1" si="6"/>
        <v>544</v>
      </c>
      <c r="V37">
        <f t="shared" ca="1" si="7"/>
        <v>494</v>
      </c>
      <c r="W37" s="15">
        <f t="shared" ca="1" si="8"/>
        <v>0.10879999999999999</v>
      </c>
      <c r="X37" s="15">
        <f t="shared" ca="1" si="9"/>
        <v>9.8799999999999999E-2</v>
      </c>
      <c r="Y37"/>
      <c r="Z37"/>
      <c r="AA37"/>
      <c r="AB37" s="15"/>
      <c r="AC37"/>
      <c r="AD37" s="10"/>
      <c r="AE37" s="10"/>
      <c r="AF37" s="15"/>
      <c r="AG37" s="10"/>
      <c r="AH37" s="10"/>
      <c r="AI37" s="15"/>
      <c r="AJ37" s="10"/>
      <c r="AK37" s="10"/>
      <c r="AL37" s="15"/>
      <c r="AM37" s="8">
        <v>0.5</v>
      </c>
      <c r="AN37" s="8">
        <v>0.15</v>
      </c>
      <c r="AO37" s="8">
        <v>6000</v>
      </c>
      <c r="AP37" s="8">
        <v>500</v>
      </c>
      <c r="AQ37" s="8">
        <v>20000</v>
      </c>
      <c r="AS37">
        <f t="shared" ca="1" si="10"/>
        <v>171</v>
      </c>
      <c r="AT37">
        <f t="shared" si="11"/>
        <v>640</v>
      </c>
      <c r="AU37" s="15">
        <f t="shared" ca="1" si="12"/>
        <v>3.4200000000000001E-2</v>
      </c>
      <c r="AV37" s="64">
        <f ca="1">ROUND((AW37+其他表格!K9+基本公式!$B$84)*OFFSET(其他表格!$N$1,兵攻防!O37,0)+OFFSET(其他表格!$P$1,M37/100,0),4)</f>
        <v>0.26700000000000002</v>
      </c>
      <c r="AW37" s="35">
        <v>0.1</v>
      </c>
      <c r="AX37" s="1">
        <v>90</v>
      </c>
      <c r="AY37">
        <f>BA37+BC37</f>
        <v>110</v>
      </c>
      <c r="AZ37">
        <f>BB37+BD37</f>
        <v>925</v>
      </c>
      <c r="BA37">
        <f t="shared" si="15"/>
        <v>87</v>
      </c>
      <c r="BB37" s="31">
        <f t="shared" si="16"/>
        <v>243</v>
      </c>
      <c r="BC37">
        <f t="shared" si="17"/>
        <v>23</v>
      </c>
      <c r="BD37" s="31">
        <f t="shared" si="18"/>
        <v>682</v>
      </c>
      <c r="BE37">
        <f>基本公式!$B$183</f>
        <v>30</v>
      </c>
      <c r="BF37">
        <f>基本公式!$B$182</f>
        <v>150</v>
      </c>
      <c r="BG37" s="8">
        <v>300</v>
      </c>
      <c r="BH37" s="8">
        <v>60000</v>
      </c>
      <c r="BI37" s="8">
        <v>200</v>
      </c>
      <c r="BJ37" s="8">
        <v>11500</v>
      </c>
    </row>
    <row r="39" spans="1:62" s="23" customFormat="1">
      <c r="A39" s="23" t="s">
        <v>113</v>
      </c>
      <c r="B39" s="26" t="s">
        <v>73</v>
      </c>
      <c r="C39" s="26" t="s">
        <v>197</v>
      </c>
      <c r="F39" s="75"/>
      <c r="H39" s="78"/>
      <c r="K39" s="63"/>
      <c r="AR39" s="30"/>
      <c r="AV39" s="21"/>
      <c r="AW39" s="37"/>
      <c r="AX39" s="27"/>
      <c r="BB39" s="33"/>
      <c r="BD39" s="33"/>
      <c r="BG39" s="8"/>
      <c r="BH39" s="8"/>
    </row>
    <row r="40" spans="1:62">
      <c r="A40">
        <v>100</v>
      </c>
      <c r="B40" s="19">
        <f t="shared" ref="B40:B45" ca="1" si="21">ROUND(((U40-$U$29)+($V$29-V40)),0)</f>
        <v>0</v>
      </c>
      <c r="C40" s="21">
        <v>13</v>
      </c>
      <c r="D40" s="1">
        <v>14</v>
      </c>
      <c r="E40">
        <f t="shared" ref="E40:E45" si="22">ROUND(POWER(A40*D40/100,AM40),0)</f>
        <v>4</v>
      </c>
      <c r="F40" s="72">
        <f>ROUND(G40*0.35+H40*0.65,0)</f>
        <v>287</v>
      </c>
      <c r="G40">
        <f>ROUND((E40+(30+30)/2)*AN40*兵攻防!A40/基本公式!$B$50,0)</f>
        <v>102</v>
      </c>
      <c r="H40" s="76">
        <f>ROUND((E40+(基本公式!$B$180+基本公式!$B$28)/2)*AN40*兵攻防!A40/基本公式!$B$50,0)</f>
        <v>387</v>
      </c>
      <c r="I40" s="1">
        <v>7</v>
      </c>
      <c r="J40">
        <f>ROUND(POWER($A$24*I40/100,$AM$24),0)</f>
        <v>3</v>
      </c>
      <c r="K40" s="18">
        <v>3</v>
      </c>
      <c r="L40">
        <f t="shared" ref="L40:L45" ca="1" si="23">ROUND(30/K40*P40*N40,2)</f>
        <v>15</v>
      </c>
      <c r="M40" s="1">
        <v>190</v>
      </c>
      <c r="N40" s="11">
        <f ca="1">OFFSET(其他表格!$G$2,M40/100,0)</f>
        <v>1</v>
      </c>
      <c r="O40" s="1">
        <v>8</v>
      </c>
      <c r="P40" s="11">
        <f ca="1">OFFSET(其他表格!$B$1,O40,0)</f>
        <v>1.5</v>
      </c>
      <c r="Q40">
        <f t="shared" ref="Q40:Q45" si="24">ROUND((E40+200)*AN40,2)</f>
        <v>30.6</v>
      </c>
      <c r="R40">
        <f>ROUND(($E$24+200)*$AN$24,2)</f>
        <v>30</v>
      </c>
      <c r="S40">
        <f>ROUND(POWER((E40+200-$J$24-200+AP40),2)/AO40,2)</f>
        <v>42.34</v>
      </c>
      <c r="T40">
        <f>ROUND(POWER(($E$24+200-J40-200+AP40),2)/AO40,2)</f>
        <v>41.17</v>
      </c>
      <c r="U40">
        <f t="shared" ref="U40:U45" ca="1" si="25">ROUND((Q40+S40)*(A40+A40)/AQ40*L40,0)</f>
        <v>11</v>
      </c>
      <c r="V40">
        <f t="shared" ref="V40:V45" ca="1" si="26">ROUND((R40+T40)*(A40+A40)/AQ40*L40,0)</f>
        <v>11</v>
      </c>
      <c r="W40" s="15">
        <f t="shared" ref="W40:W45" ca="1" si="27">MIN(ROUND(U40/A40,4),1)</f>
        <v>0.11</v>
      </c>
      <c r="X40" s="15">
        <f t="shared" ref="X40:X45" ca="1" si="28">MIN(ROUND(V40/A40,4),1)</f>
        <v>0.11</v>
      </c>
      <c r="Y40"/>
      <c r="Z40"/>
      <c r="AA40"/>
      <c r="AB40" s="15"/>
      <c r="AC40"/>
      <c r="AD40" s="10"/>
      <c r="AE40" s="10"/>
      <c r="AF40" s="15"/>
      <c r="AG40" s="10"/>
      <c r="AH40" s="10"/>
      <c r="AI40" s="15"/>
      <c r="AJ40" s="10"/>
      <c r="AK40" s="10"/>
      <c r="AL40" s="15"/>
      <c r="AM40" s="8">
        <v>0.5</v>
      </c>
      <c r="AN40" s="8">
        <v>0.15</v>
      </c>
      <c r="AO40" s="8">
        <v>6000</v>
      </c>
      <c r="AP40" s="8">
        <v>500</v>
      </c>
      <c r="AQ40" s="8">
        <v>20000</v>
      </c>
      <c r="AS40">
        <f t="shared" ref="AS40:AS45" ca="1" si="29">ROUND(AT40*AV40,0)</f>
        <v>4</v>
      </c>
      <c r="AT40">
        <f t="shared" ref="AT40:AT45" si="30">ROUND(AY40*0.35+AZ40*0.65,0)</f>
        <v>21</v>
      </c>
      <c r="AU40" s="15">
        <f t="shared" ref="AU40:AU45" ca="1" si="31">ROUND(AS40/A40,4)</f>
        <v>0.04</v>
      </c>
      <c r="AV40" s="64">
        <f ca="1">ROUND((AW40+其他表格!K4+基本公式!$B$84)*OFFSET(其他表格!$N$1,兵攻防!O40,0)+OFFSET(其他表格!$P$1,M40/100,0),4)</f>
        <v>0.1757</v>
      </c>
      <c r="AW40" s="35">
        <v>0.1</v>
      </c>
      <c r="AX40" s="1">
        <v>115</v>
      </c>
      <c r="AY40">
        <f t="shared" ref="AY40:AY44" si="32">BA40+BC40</f>
        <v>4</v>
      </c>
      <c r="AZ40">
        <f t="shared" ref="AZ40:AZ44" si="33">BB40+BD40</f>
        <v>30</v>
      </c>
      <c r="BA40">
        <f t="shared" ref="BA40:BA45" si="34">ROUND(POWER(AX40/10*(BE40*2+BG40),2)/BH40*(A40+A40)/AQ40,0)</f>
        <v>3</v>
      </c>
      <c r="BB40" s="31">
        <f t="shared" ref="BB40:BB45" si="35">ROUND(POWER(AX40/10*(BF40*2+BG40),2)/BH40*(A40+A40)/AQ40,0)</f>
        <v>8</v>
      </c>
      <c r="BC40">
        <f t="shared" ref="BC40:BC45" si="36">ROUND(POWER(AX40/10*(BE40-BF40+BI40),2)/BJ40*(A40+A40)/AQ40,0)</f>
        <v>1</v>
      </c>
      <c r="BD40" s="31">
        <f t="shared" ref="BD40:BD45" si="37">ROUND(POWER(AX40/10*(BF40*2-BE40*2+BI40),2)/BJ40*(A40+A40)/AQ40,0)</f>
        <v>22</v>
      </c>
      <c r="BE40">
        <f>基本公式!$B$183</f>
        <v>30</v>
      </c>
      <c r="BF40">
        <f>基本公式!$B$182</f>
        <v>150</v>
      </c>
      <c r="BG40" s="8">
        <v>300</v>
      </c>
      <c r="BH40" s="8">
        <v>60000</v>
      </c>
      <c r="BI40" s="8">
        <v>200</v>
      </c>
      <c r="BJ40" s="8">
        <v>11500</v>
      </c>
    </row>
    <row r="41" spans="1:62">
      <c r="A41">
        <v>200</v>
      </c>
      <c r="B41" s="19">
        <f t="shared" ca="1" si="21"/>
        <v>1</v>
      </c>
      <c r="C41" s="21">
        <f ca="1">ROUND(C33*基本公式!$B$83,0)</f>
        <v>2</v>
      </c>
      <c r="D41" s="1">
        <v>14</v>
      </c>
      <c r="E41">
        <f t="shared" si="22"/>
        <v>5</v>
      </c>
      <c r="F41" s="72">
        <f t="shared" ref="F41:F45" si="38">ROUND(G41*0.35+H41*0.65,0)</f>
        <v>581</v>
      </c>
      <c r="G41">
        <f>ROUND((E41+(30+30)/2)*AN41*兵攻防!A41/基本公式!$B$50,0)</f>
        <v>210</v>
      </c>
      <c r="H41" s="76">
        <f>ROUND((E41+(基本公式!$B$180+基本公式!$B$28)/2)*AN41*兵攻防!A41/基本公式!$B$50,0)</f>
        <v>780</v>
      </c>
      <c r="I41" s="1">
        <v>7</v>
      </c>
      <c r="J41">
        <f>ROUND(POWER($A$25*I41/100,$AM$25),0)</f>
        <v>4</v>
      </c>
      <c r="K41" s="18">
        <v>3</v>
      </c>
      <c r="L41">
        <f t="shared" ca="1" si="23"/>
        <v>15</v>
      </c>
      <c r="M41" s="1">
        <v>190</v>
      </c>
      <c r="N41" s="11">
        <f ca="1">OFFSET(其他表格!$G$2,M41/100,0)</f>
        <v>1</v>
      </c>
      <c r="O41" s="1">
        <v>8</v>
      </c>
      <c r="P41" s="11">
        <f ca="1">OFFSET(其他表格!$B$1,O41,0)</f>
        <v>1.5</v>
      </c>
      <c r="Q41">
        <f t="shared" si="24"/>
        <v>30.75</v>
      </c>
      <c r="R41">
        <f>ROUND(($E$25+200)*$AN$25,2)</f>
        <v>30</v>
      </c>
      <c r="S41">
        <f>ROUND(POWER((E41+200-$J$25-200+AP41),2)/AO41,2)</f>
        <v>42.5</v>
      </c>
      <c r="T41">
        <f>ROUND(POWER(($E$25+200-J41-200+AP41),2)/AO41,2)</f>
        <v>41</v>
      </c>
      <c r="U41">
        <f t="shared" ca="1" si="25"/>
        <v>22</v>
      </c>
      <c r="V41">
        <f t="shared" ca="1" si="26"/>
        <v>21</v>
      </c>
      <c r="W41" s="15">
        <f t="shared" ca="1" si="27"/>
        <v>0.11</v>
      </c>
      <c r="X41" s="15">
        <f t="shared" ca="1" si="28"/>
        <v>0.105</v>
      </c>
      <c r="Y41"/>
      <c r="Z41"/>
      <c r="AA41"/>
      <c r="AB41" s="15"/>
      <c r="AC41"/>
      <c r="AD41" s="10"/>
      <c r="AE41" s="10"/>
      <c r="AF41" s="15"/>
      <c r="AG41" s="10"/>
      <c r="AH41" s="10"/>
      <c r="AI41" s="15"/>
      <c r="AJ41" s="10"/>
      <c r="AK41" s="10"/>
      <c r="AL41" s="15"/>
      <c r="AM41" s="8">
        <v>0.5</v>
      </c>
      <c r="AN41" s="8">
        <v>0.15</v>
      </c>
      <c r="AO41" s="8">
        <v>6000</v>
      </c>
      <c r="AP41" s="8">
        <v>500</v>
      </c>
      <c r="AQ41" s="8">
        <v>20000</v>
      </c>
      <c r="AS41">
        <f t="shared" ca="1" si="29"/>
        <v>9</v>
      </c>
      <c r="AT41">
        <f t="shared" si="30"/>
        <v>42</v>
      </c>
      <c r="AU41" s="15">
        <f t="shared" ca="1" si="31"/>
        <v>4.4999999999999998E-2</v>
      </c>
      <c r="AV41" s="64">
        <f ca="1">ROUND((AW41+其他表格!K5+基本公式!$B$84)*OFFSET(其他表格!$N$1,兵攻防!O41,0)+OFFSET(其他表格!$P$1,M41/100,0),4)</f>
        <v>0.21329999999999999</v>
      </c>
      <c r="AW41" s="35">
        <v>0.1</v>
      </c>
      <c r="AX41" s="1">
        <v>115</v>
      </c>
      <c r="AY41">
        <f t="shared" si="32"/>
        <v>7</v>
      </c>
      <c r="AZ41">
        <f t="shared" si="33"/>
        <v>61</v>
      </c>
      <c r="BA41">
        <f t="shared" si="34"/>
        <v>6</v>
      </c>
      <c r="BB41" s="31">
        <f t="shared" si="35"/>
        <v>16</v>
      </c>
      <c r="BC41">
        <f t="shared" si="36"/>
        <v>1</v>
      </c>
      <c r="BD41" s="31">
        <f t="shared" si="37"/>
        <v>45</v>
      </c>
      <c r="BE41">
        <f>基本公式!$B$183</f>
        <v>30</v>
      </c>
      <c r="BF41">
        <f>基本公式!$B$182</f>
        <v>150</v>
      </c>
      <c r="BG41" s="8">
        <v>300</v>
      </c>
      <c r="BH41" s="8">
        <v>60000</v>
      </c>
      <c r="BI41" s="8">
        <v>200</v>
      </c>
      <c r="BJ41" s="8">
        <v>11500</v>
      </c>
    </row>
    <row r="42" spans="1:62">
      <c r="A42">
        <v>500</v>
      </c>
      <c r="B42" s="19">
        <f t="shared" ca="1" si="21"/>
        <v>3</v>
      </c>
      <c r="C42" s="21">
        <f ca="1">ROUND(C34*基本公式!$B$83,0)</f>
        <v>3</v>
      </c>
      <c r="D42" s="1">
        <v>14</v>
      </c>
      <c r="E42">
        <f t="shared" si="22"/>
        <v>8</v>
      </c>
      <c r="F42" s="72">
        <f t="shared" si="38"/>
        <v>1496</v>
      </c>
      <c r="G42">
        <f>ROUND((E42+(30+30)/2)*AN42*兵攻防!A42/基本公式!$B$50,0)</f>
        <v>570</v>
      </c>
      <c r="H42" s="76">
        <f>ROUND((E42+(基本公式!$B$180+基本公式!$B$28)/2)*AN42*兵攻防!A42/基本公式!$B$50,0)</f>
        <v>1995</v>
      </c>
      <c r="I42" s="1">
        <v>7</v>
      </c>
      <c r="J42">
        <f>ROUND(POWER($A$26*I42/100,$AM$26),0)</f>
        <v>6</v>
      </c>
      <c r="K42" s="18">
        <v>3</v>
      </c>
      <c r="L42">
        <f t="shared" ca="1" si="23"/>
        <v>15</v>
      </c>
      <c r="M42" s="1">
        <v>190</v>
      </c>
      <c r="N42" s="11">
        <f ca="1">OFFSET(其他表格!$G$2,M42/100,0)</f>
        <v>1</v>
      </c>
      <c r="O42" s="1">
        <v>8</v>
      </c>
      <c r="P42" s="11">
        <f ca="1">OFFSET(其他表格!$B$1,O42,0)</f>
        <v>1.5</v>
      </c>
      <c r="Q42">
        <f t="shared" si="24"/>
        <v>31.2</v>
      </c>
      <c r="R42">
        <f>ROUND(($E$26+200)*$AN$26,2)</f>
        <v>30</v>
      </c>
      <c r="S42">
        <f>ROUND(POWER((E42+200-$J$26-200+AP42),2)/AO42,2)</f>
        <v>43.01</v>
      </c>
      <c r="T42">
        <f>ROUND(POWER(($E$26+200-J42-200+AP42),2)/AO42,2)</f>
        <v>40.67</v>
      </c>
      <c r="U42">
        <f t="shared" ca="1" si="25"/>
        <v>56</v>
      </c>
      <c r="V42">
        <f t="shared" ca="1" si="26"/>
        <v>53</v>
      </c>
      <c r="W42" s="15">
        <f t="shared" ca="1" si="27"/>
        <v>0.112</v>
      </c>
      <c r="X42" s="15">
        <f t="shared" ca="1" si="28"/>
        <v>0.106</v>
      </c>
      <c r="Y42"/>
      <c r="Z42"/>
      <c r="AA42"/>
      <c r="AB42" s="15"/>
      <c r="AC42"/>
      <c r="AD42" s="10"/>
      <c r="AE42" s="10"/>
      <c r="AF42" s="15"/>
      <c r="AG42" s="10"/>
      <c r="AH42" s="10"/>
      <c r="AI42" s="15"/>
      <c r="AJ42" s="10"/>
      <c r="AK42" s="10"/>
      <c r="AL42" s="15"/>
      <c r="AM42" s="8">
        <v>0.5</v>
      </c>
      <c r="AN42" s="8">
        <v>0.15</v>
      </c>
      <c r="AO42" s="8">
        <v>6000</v>
      </c>
      <c r="AP42" s="8">
        <v>500</v>
      </c>
      <c r="AQ42" s="8">
        <v>20000</v>
      </c>
      <c r="AS42">
        <f t="shared" ca="1" si="29"/>
        <v>26</v>
      </c>
      <c r="AT42">
        <f t="shared" si="30"/>
        <v>104</v>
      </c>
      <c r="AU42" s="15">
        <f t="shared" ca="1" si="31"/>
        <v>5.1999999999999998E-2</v>
      </c>
      <c r="AV42" s="64">
        <f ca="1">ROUND((AW42+其他表格!K6+基本公式!$B$84)*OFFSET(其他表格!$N$1,兵攻防!O42,0)+OFFSET(其他表格!$P$1,M42/100,0),4)</f>
        <v>0.251</v>
      </c>
      <c r="AW42" s="35">
        <v>0.1</v>
      </c>
      <c r="AX42" s="1">
        <v>115</v>
      </c>
      <c r="AY42">
        <f t="shared" si="32"/>
        <v>18</v>
      </c>
      <c r="AZ42">
        <f t="shared" si="33"/>
        <v>151</v>
      </c>
      <c r="BA42">
        <f t="shared" si="34"/>
        <v>14</v>
      </c>
      <c r="BB42" s="31">
        <f t="shared" si="35"/>
        <v>40</v>
      </c>
      <c r="BC42">
        <f t="shared" si="36"/>
        <v>4</v>
      </c>
      <c r="BD42" s="31">
        <f t="shared" si="37"/>
        <v>111</v>
      </c>
      <c r="BE42">
        <f>基本公式!$B$183</f>
        <v>30</v>
      </c>
      <c r="BF42">
        <f>基本公式!$B$182</f>
        <v>150</v>
      </c>
      <c r="BG42" s="8">
        <v>300</v>
      </c>
      <c r="BH42" s="8">
        <v>60000</v>
      </c>
      <c r="BI42" s="8">
        <v>200</v>
      </c>
      <c r="BJ42" s="8">
        <v>11500</v>
      </c>
    </row>
    <row r="43" spans="1:62">
      <c r="A43">
        <v>1000</v>
      </c>
      <c r="B43" s="19">
        <f t="shared" ca="1" si="21"/>
        <v>7</v>
      </c>
      <c r="C43" s="21">
        <f ca="1">ROUND(C35*基本公式!$B$83,0)</f>
        <v>9</v>
      </c>
      <c r="D43" s="1">
        <v>14</v>
      </c>
      <c r="E43">
        <f t="shared" si="22"/>
        <v>12</v>
      </c>
      <c r="F43" s="72">
        <f t="shared" si="38"/>
        <v>3113</v>
      </c>
      <c r="G43">
        <f>ROUND((E43+(30+30)/2)*AN43*兵攻防!A43/基本公式!$B$50,0)</f>
        <v>1260</v>
      </c>
      <c r="H43" s="76">
        <f>ROUND((E43+(基本公式!$B$180+基本公式!$B$28)/2)*AN43*兵攻防!A43/基本公式!$B$50,0)</f>
        <v>4110</v>
      </c>
      <c r="I43" s="1">
        <v>7</v>
      </c>
      <c r="J43">
        <f>ROUND(POWER($A$27*I43/100,$AM$27),0)</f>
        <v>8</v>
      </c>
      <c r="K43" s="18">
        <v>3</v>
      </c>
      <c r="L43">
        <f t="shared" ca="1" si="23"/>
        <v>15</v>
      </c>
      <c r="M43" s="1">
        <v>190</v>
      </c>
      <c r="N43" s="11">
        <f ca="1">OFFSET(其他表格!$G$2,M43/100,0)</f>
        <v>1</v>
      </c>
      <c r="O43" s="1">
        <v>8</v>
      </c>
      <c r="P43" s="11">
        <f ca="1">OFFSET(其他表格!$B$1,O43,0)</f>
        <v>1.5</v>
      </c>
      <c r="Q43">
        <f t="shared" si="24"/>
        <v>31.8</v>
      </c>
      <c r="R43">
        <f>ROUND(($E$27+200)*$AN$27,2)</f>
        <v>30</v>
      </c>
      <c r="S43">
        <f>ROUND(POWER((E43+200-$J$27-200+AP43),2)/AO43,2)</f>
        <v>43.69</v>
      </c>
      <c r="T43">
        <f>ROUND(POWER(($E$27+200-J43-200+AP43),2)/AO43,2)</f>
        <v>40.340000000000003</v>
      </c>
      <c r="U43">
        <f t="shared" ca="1" si="25"/>
        <v>113</v>
      </c>
      <c r="V43">
        <f t="shared" ca="1" si="26"/>
        <v>106</v>
      </c>
      <c r="W43" s="15">
        <f t="shared" ca="1" si="27"/>
        <v>0.113</v>
      </c>
      <c r="X43" s="15">
        <f t="shared" ca="1" si="28"/>
        <v>0.106</v>
      </c>
      <c r="Y43"/>
      <c r="Z43"/>
      <c r="AA43"/>
      <c r="AB43" s="15"/>
      <c r="AC43"/>
      <c r="AD43" s="10"/>
      <c r="AE43" s="10"/>
      <c r="AF43" s="15"/>
      <c r="AG43" s="10"/>
      <c r="AH43" s="10"/>
      <c r="AI43" s="15"/>
      <c r="AJ43" s="10"/>
      <c r="AK43" s="10"/>
      <c r="AL43" s="15"/>
      <c r="AM43" s="8">
        <v>0.5</v>
      </c>
      <c r="AN43" s="8">
        <v>0.15</v>
      </c>
      <c r="AO43" s="8">
        <v>6000</v>
      </c>
      <c r="AP43" s="8">
        <v>500</v>
      </c>
      <c r="AQ43" s="8">
        <v>20000</v>
      </c>
      <c r="AS43">
        <f t="shared" ca="1" si="29"/>
        <v>60</v>
      </c>
      <c r="AT43">
        <f t="shared" si="30"/>
        <v>209</v>
      </c>
      <c r="AU43" s="15">
        <f t="shared" ca="1" si="31"/>
        <v>0.06</v>
      </c>
      <c r="AV43" s="64">
        <f ca="1">ROUND((AW43+其他表格!K7+基本公式!$B$84)*OFFSET(其他表格!$N$1,兵攻防!O43,0)+OFFSET(其他表格!$P$1,M43/100,0),4)</f>
        <v>0.28860000000000002</v>
      </c>
      <c r="AW43" s="35">
        <v>0.1</v>
      </c>
      <c r="AX43" s="1">
        <v>115</v>
      </c>
      <c r="AY43">
        <f t="shared" si="32"/>
        <v>36</v>
      </c>
      <c r="AZ43">
        <f t="shared" si="33"/>
        <v>302</v>
      </c>
      <c r="BA43">
        <f t="shared" si="34"/>
        <v>29</v>
      </c>
      <c r="BB43" s="31">
        <f t="shared" si="35"/>
        <v>79</v>
      </c>
      <c r="BC43">
        <f t="shared" si="36"/>
        <v>7</v>
      </c>
      <c r="BD43" s="31">
        <f t="shared" si="37"/>
        <v>223</v>
      </c>
      <c r="BE43">
        <f>基本公式!$B$183</f>
        <v>30</v>
      </c>
      <c r="BF43">
        <f>基本公式!$B$182</f>
        <v>150</v>
      </c>
      <c r="BG43" s="8">
        <v>300</v>
      </c>
      <c r="BH43" s="8">
        <v>60000</v>
      </c>
      <c r="BI43" s="8">
        <v>200</v>
      </c>
      <c r="BJ43" s="8">
        <v>11500</v>
      </c>
    </row>
    <row r="44" spans="1:62">
      <c r="A44">
        <v>2000</v>
      </c>
      <c r="B44" s="19">
        <f t="shared" ca="1" si="21"/>
        <v>22</v>
      </c>
      <c r="C44" s="21">
        <f ca="1">ROUND(C36*基本公式!$B$83,0)</f>
        <v>22</v>
      </c>
      <c r="D44" s="1">
        <v>14</v>
      </c>
      <c r="E44">
        <f t="shared" si="22"/>
        <v>17</v>
      </c>
      <c r="F44" s="72">
        <f t="shared" si="38"/>
        <v>6525</v>
      </c>
      <c r="G44">
        <f>ROUND((E44+(30+30)/2)*AN44*兵攻防!A44/基本公式!$B$50,0)</f>
        <v>2820</v>
      </c>
      <c r="H44" s="76">
        <f>ROUND((E44+(基本公式!$B$180+基本公式!$B$28)/2)*AN44*兵攻防!A44/基本公式!$B$50,0)</f>
        <v>8520</v>
      </c>
      <c r="I44" s="1">
        <v>7</v>
      </c>
      <c r="J44">
        <f>ROUND(POWER($A$28*I44/100,$AM$28),0)</f>
        <v>12</v>
      </c>
      <c r="K44" s="18">
        <v>3</v>
      </c>
      <c r="L44">
        <f t="shared" ca="1" si="23"/>
        <v>15</v>
      </c>
      <c r="M44" s="1">
        <v>190</v>
      </c>
      <c r="N44" s="11">
        <f ca="1">OFFSET(其他表格!$G$2,M44/100,0)</f>
        <v>1</v>
      </c>
      <c r="O44" s="1">
        <v>8</v>
      </c>
      <c r="P44" s="11">
        <f ca="1">OFFSET(其他表格!$B$1,O44,0)</f>
        <v>1.5</v>
      </c>
      <c r="Q44">
        <f t="shared" si="24"/>
        <v>32.549999999999997</v>
      </c>
      <c r="R44">
        <f>ROUND(($E$28+200)*$AN$28,2)</f>
        <v>30</v>
      </c>
      <c r="S44">
        <f>ROUND(POWER((E44+200-$J$28-200+AP44),2)/AO44,2)</f>
        <v>44.55</v>
      </c>
      <c r="T44">
        <f>ROUND(POWER(($E$28+200-J44-200+AP44),2)/AO44,2)</f>
        <v>39.69</v>
      </c>
      <c r="U44">
        <f t="shared" ca="1" si="25"/>
        <v>231</v>
      </c>
      <c r="V44">
        <f t="shared" ca="1" si="26"/>
        <v>209</v>
      </c>
      <c r="W44" s="15">
        <f t="shared" ca="1" si="27"/>
        <v>0.11550000000000001</v>
      </c>
      <c r="X44" s="15">
        <f t="shared" ca="1" si="28"/>
        <v>0.1045</v>
      </c>
      <c r="Y44"/>
      <c r="Z44"/>
      <c r="AA44"/>
      <c r="AB44" s="15"/>
      <c r="AC44"/>
      <c r="AD44" s="10"/>
      <c r="AE44" s="10"/>
      <c r="AF44" s="15"/>
      <c r="AG44" s="10"/>
      <c r="AH44" s="10"/>
      <c r="AI44" s="15"/>
      <c r="AJ44" s="10"/>
      <c r="AK44" s="10"/>
      <c r="AL44" s="15"/>
      <c r="AM44" s="8">
        <v>0.5</v>
      </c>
      <c r="AN44" s="8">
        <v>0.15</v>
      </c>
      <c r="AO44" s="8">
        <v>6000</v>
      </c>
      <c r="AP44" s="8">
        <v>500</v>
      </c>
      <c r="AQ44" s="8">
        <v>20000</v>
      </c>
      <c r="AS44">
        <f t="shared" ca="1" si="29"/>
        <v>139</v>
      </c>
      <c r="AT44">
        <f t="shared" si="30"/>
        <v>418</v>
      </c>
      <c r="AU44" s="15">
        <f t="shared" ca="1" si="31"/>
        <v>6.9500000000000006E-2</v>
      </c>
      <c r="AV44" s="64">
        <f ca="1">ROUND((AW44+其他表格!K8+基本公式!$B$84)*OFFSET(其他表格!$N$1,兵攻防!O44,0)+OFFSET(其他表格!$P$1,M44/100,0),4)</f>
        <v>0.33250000000000002</v>
      </c>
      <c r="AW44" s="35">
        <v>0.1</v>
      </c>
      <c r="AX44" s="1">
        <v>115</v>
      </c>
      <c r="AY44">
        <f t="shared" si="32"/>
        <v>72</v>
      </c>
      <c r="AZ44">
        <f t="shared" si="33"/>
        <v>604</v>
      </c>
      <c r="BA44">
        <f t="shared" si="34"/>
        <v>57</v>
      </c>
      <c r="BB44" s="31">
        <f t="shared" si="35"/>
        <v>159</v>
      </c>
      <c r="BC44">
        <f t="shared" si="36"/>
        <v>15</v>
      </c>
      <c r="BD44" s="31">
        <f t="shared" si="37"/>
        <v>445</v>
      </c>
      <c r="BE44">
        <f>基本公式!$B$183</f>
        <v>30</v>
      </c>
      <c r="BF44">
        <f>基本公式!$B$182</f>
        <v>150</v>
      </c>
      <c r="BG44" s="8">
        <v>300</v>
      </c>
      <c r="BH44" s="8">
        <v>60000</v>
      </c>
      <c r="BI44" s="8">
        <v>200</v>
      </c>
      <c r="BJ44" s="8">
        <v>11500</v>
      </c>
    </row>
    <row r="45" spans="1:62">
      <c r="A45">
        <v>5000</v>
      </c>
      <c r="B45" s="19">
        <f t="shared" ca="1" si="21"/>
        <v>86</v>
      </c>
      <c r="C45" s="21">
        <f ca="1">ROUND(C37*基本公式!$B$83,0)</f>
        <v>85</v>
      </c>
      <c r="D45" s="1">
        <v>14</v>
      </c>
      <c r="E45">
        <f t="shared" si="22"/>
        <v>26</v>
      </c>
      <c r="F45" s="72">
        <f t="shared" si="38"/>
        <v>17663</v>
      </c>
      <c r="G45">
        <f>ROUND((E45+(30+30)/2)*AN45*兵攻防!A45/基本公式!$B$50,0)</f>
        <v>8400</v>
      </c>
      <c r="H45" s="76">
        <f>ROUND((E45+(基本公式!$B$180+基本公式!$B$28)/2)*AN45*兵攻防!A45/基本公式!$B$50,0)</f>
        <v>22650</v>
      </c>
      <c r="I45" s="1">
        <v>7</v>
      </c>
      <c r="J45">
        <f>ROUND(POWER($A$29*I45/100,$AM$29),0)</f>
        <v>19</v>
      </c>
      <c r="K45" s="18">
        <v>3</v>
      </c>
      <c r="L45">
        <f t="shared" ca="1" si="23"/>
        <v>15</v>
      </c>
      <c r="M45" s="1">
        <v>190</v>
      </c>
      <c r="N45" s="11">
        <f ca="1">OFFSET(其他表格!$G$2,M45/100,0)</f>
        <v>1</v>
      </c>
      <c r="O45" s="1">
        <v>8</v>
      </c>
      <c r="P45" s="11">
        <f ca="1">OFFSET(其他表格!$B$1,O45,0)</f>
        <v>1.5</v>
      </c>
      <c r="Q45">
        <f t="shared" si="24"/>
        <v>33.9</v>
      </c>
      <c r="R45">
        <f>ROUND(($E$29+200)*$AN$29,2)</f>
        <v>30</v>
      </c>
      <c r="S45">
        <f>ROUND(POWER((E45+200-$J$29-200+AP45),2)/AO45,2)</f>
        <v>46.11</v>
      </c>
      <c r="T45">
        <f>ROUND(POWER(($E$29+200-J45-200+AP45),2)/AO45,2)</f>
        <v>38.56</v>
      </c>
      <c r="U45">
        <f t="shared" ca="1" si="25"/>
        <v>600</v>
      </c>
      <c r="V45">
        <f t="shared" ca="1" si="26"/>
        <v>514</v>
      </c>
      <c r="W45" s="15">
        <f t="shared" ca="1" si="27"/>
        <v>0.12</v>
      </c>
      <c r="X45" s="15">
        <f t="shared" ca="1" si="28"/>
        <v>0.1028</v>
      </c>
      <c r="Y45"/>
      <c r="Z45"/>
      <c r="AA45"/>
      <c r="AB45" s="15"/>
      <c r="AC45"/>
      <c r="AD45" s="10"/>
      <c r="AE45" s="10"/>
      <c r="AF45" s="15"/>
      <c r="AG45" s="10"/>
      <c r="AH45" s="10"/>
      <c r="AI45" s="15"/>
      <c r="AJ45" s="10"/>
      <c r="AK45" s="10"/>
      <c r="AL45" s="15"/>
      <c r="AM45" s="8">
        <v>0.5</v>
      </c>
      <c r="AN45" s="8">
        <v>0.15</v>
      </c>
      <c r="AO45" s="8">
        <v>6000</v>
      </c>
      <c r="AP45" s="8">
        <v>500</v>
      </c>
      <c r="AQ45" s="8">
        <v>20000</v>
      </c>
      <c r="AS45">
        <f t="shared" ca="1" si="29"/>
        <v>400</v>
      </c>
      <c r="AT45">
        <f t="shared" si="30"/>
        <v>1045</v>
      </c>
      <c r="AU45" s="15">
        <f t="shared" ca="1" si="31"/>
        <v>0.08</v>
      </c>
      <c r="AV45" s="64">
        <f ca="1">ROUND((AW45+其他表格!K9+基本公式!$B$84)*OFFSET(其他表格!$N$1,兵攻防!O45,0)+OFFSET(其他表格!$P$1,M45/100,0),4)</f>
        <v>0.38269999999999998</v>
      </c>
      <c r="AW45" s="35">
        <v>0.1</v>
      </c>
      <c r="AX45" s="1">
        <v>115</v>
      </c>
      <c r="AY45">
        <f>BA45+BC45</f>
        <v>180</v>
      </c>
      <c r="AZ45">
        <f>BB45+BD45</f>
        <v>1510</v>
      </c>
      <c r="BA45">
        <f t="shared" si="34"/>
        <v>143</v>
      </c>
      <c r="BB45" s="31">
        <f t="shared" si="35"/>
        <v>397</v>
      </c>
      <c r="BC45">
        <f t="shared" si="36"/>
        <v>37</v>
      </c>
      <c r="BD45" s="31">
        <f t="shared" si="37"/>
        <v>1113</v>
      </c>
      <c r="BE45">
        <f>基本公式!$B$183</f>
        <v>30</v>
      </c>
      <c r="BF45">
        <f>基本公式!$B$182</f>
        <v>150</v>
      </c>
      <c r="BG45" s="8">
        <v>300</v>
      </c>
      <c r="BH45" s="8">
        <v>60000</v>
      </c>
      <c r="BI45" s="8">
        <v>200</v>
      </c>
      <c r="BJ45" s="8">
        <v>11500</v>
      </c>
    </row>
    <row r="47" spans="1:62" s="23" customFormat="1">
      <c r="A47" s="23" t="s">
        <v>114</v>
      </c>
      <c r="B47" s="26" t="s">
        <v>73</v>
      </c>
      <c r="C47" s="26" t="s">
        <v>198</v>
      </c>
      <c r="F47" s="75"/>
      <c r="H47" s="78"/>
      <c r="K47" s="63"/>
      <c r="AR47" s="30"/>
      <c r="AV47" s="21"/>
      <c r="AW47" s="37"/>
      <c r="AX47" s="27"/>
      <c r="BB47" s="33"/>
      <c r="BD47" s="33"/>
      <c r="BG47" s="8"/>
      <c r="BH47" s="8"/>
    </row>
    <row r="48" spans="1:62">
      <c r="A48">
        <v>100</v>
      </c>
      <c r="B48" s="19">
        <f t="shared" ref="B48:B53" ca="1" si="39">ROUND(((U48-$U$29)+($V$29-V48)),0)</f>
        <v>0</v>
      </c>
      <c r="C48" s="21">
        <f>ROUND(C40*基本公式!$B$83,0)</f>
        <v>22</v>
      </c>
      <c r="D48" s="1">
        <v>32</v>
      </c>
      <c r="E48">
        <f t="shared" ref="E48:E53" si="40">ROUND(POWER(A48*D48/100,AM48),0)</f>
        <v>6</v>
      </c>
      <c r="F48" s="72">
        <f>ROUND(G48*0.35+H48*0.65,0)</f>
        <v>293</v>
      </c>
      <c r="G48">
        <f>ROUND((E48+(30+30)/2)*AN48*兵攻防!A48/基本公式!$B$50,0)</f>
        <v>108</v>
      </c>
      <c r="H48" s="76">
        <f>ROUND((E48+(基本公式!$B$180+基本公式!$B$28)/2)*AN48*兵攻防!A48/基本公式!$B$50,0)</f>
        <v>393</v>
      </c>
      <c r="I48" s="1">
        <v>15</v>
      </c>
      <c r="J48">
        <f>ROUND(POWER($A$24*I48/100,$AM$24),0)</f>
        <v>4</v>
      </c>
      <c r="K48" s="18">
        <v>3</v>
      </c>
      <c r="L48">
        <f t="shared" ref="L48:L53" ca="1" si="41">ROUND(30/K48*P48*N48,2)</f>
        <v>16.68</v>
      </c>
      <c r="M48" s="1">
        <v>400</v>
      </c>
      <c r="N48" s="11">
        <f ca="1">OFFSET(其他表格!$G$2,M48/100,0)</f>
        <v>1.1500000000000001</v>
      </c>
      <c r="O48" s="1">
        <v>7</v>
      </c>
      <c r="P48" s="11">
        <f ca="1">OFFSET(其他表格!$B$1,O48,0)</f>
        <v>1.45</v>
      </c>
      <c r="Q48">
        <f t="shared" ref="Q48:Q53" si="42">ROUND((E48+200)*AN48,2)</f>
        <v>30.9</v>
      </c>
      <c r="R48">
        <f>ROUND(($E$24+200)*$AN$24,2)</f>
        <v>30</v>
      </c>
      <c r="S48">
        <f>ROUND(POWER((E48+200-$J$24-200+AP48),2)/AO48,2)</f>
        <v>42.67</v>
      </c>
      <c r="T48">
        <f>ROUND(POWER(($E$24+200-J48-200+AP48),2)/AO48,2)</f>
        <v>41</v>
      </c>
      <c r="U48">
        <f t="shared" ref="U48:U53" ca="1" si="43">ROUND((Q48+S48)*(A48+A48)/AQ48*L48,0)</f>
        <v>12</v>
      </c>
      <c r="V48">
        <f t="shared" ref="V48:V53" ca="1" si="44">ROUND((R48+T48)*(A48+A48)/AQ48*L48,0)</f>
        <v>12</v>
      </c>
      <c r="W48" s="15">
        <f t="shared" ref="W48:W53" ca="1" si="45">MIN(ROUND(U48/A48,4),1)</f>
        <v>0.12</v>
      </c>
      <c r="X48" s="15">
        <f t="shared" ref="X48:X53" ca="1" si="46">MIN(ROUND(V48/A48,4),1)</f>
        <v>0.12</v>
      </c>
      <c r="Y48"/>
      <c r="Z48"/>
      <c r="AA48"/>
      <c r="AB48" s="15"/>
      <c r="AC48"/>
      <c r="AD48" s="10"/>
      <c r="AE48" s="10"/>
      <c r="AF48" s="15"/>
      <c r="AG48" s="10"/>
      <c r="AH48" s="10"/>
      <c r="AI48" s="15"/>
      <c r="AJ48" s="10"/>
      <c r="AK48" s="10"/>
      <c r="AL48" s="15"/>
      <c r="AM48" s="8">
        <v>0.5</v>
      </c>
      <c r="AN48" s="8">
        <v>0.15</v>
      </c>
      <c r="AO48" s="8">
        <v>6000</v>
      </c>
      <c r="AP48" s="8">
        <v>500</v>
      </c>
      <c r="AQ48" s="8">
        <v>20000</v>
      </c>
      <c r="AS48">
        <f t="shared" ref="AS48:AS53" ca="1" si="47">ROUND(AT48*AV48,0)</f>
        <v>8</v>
      </c>
      <c r="AT48">
        <f t="shared" ref="AT48:AT53" si="48">ROUND(AY48*0.35+AZ48*0.65,0)</f>
        <v>36</v>
      </c>
      <c r="AU48" s="15">
        <f t="shared" ref="AU48:AU53" ca="1" si="49">ROUND(AS48/A48,4)</f>
        <v>0.08</v>
      </c>
      <c r="AV48" s="64">
        <f ca="1">ROUND((AW48+其他表格!K4+基本公式!$B$84)*OFFSET(其他表格!$N$1,兵攻防!O48,0)+OFFSET(其他表格!$P$1,M48/100,0),4)</f>
        <v>0.2157</v>
      </c>
      <c r="AW48" s="35">
        <v>0.1</v>
      </c>
      <c r="AX48" s="1">
        <v>150</v>
      </c>
      <c r="AY48">
        <f t="shared" ref="AY48:AY52" si="50">BA48+BC48</f>
        <v>6</v>
      </c>
      <c r="AZ48">
        <f t="shared" ref="AZ48:AZ52" si="51">BB48+BD48</f>
        <v>52</v>
      </c>
      <c r="BA48">
        <f t="shared" ref="BA48:BA53" si="52">ROUND(POWER(AX48/10*(BE48*2+BG48),2)/BH48*(A48+A48)/AQ48,0)</f>
        <v>5</v>
      </c>
      <c r="BB48" s="31">
        <f t="shared" ref="BB48:BB53" si="53">ROUND(POWER(AX48/10*(BF48*2+BG48),2)/BH48*(A48+A48)/AQ48,0)</f>
        <v>14</v>
      </c>
      <c r="BC48">
        <f t="shared" ref="BC48:BC53" si="54">ROUND(POWER(AX48/10*(BE48-BF48+BI48),2)/BJ48*(A48+A48)/AQ48,0)</f>
        <v>1</v>
      </c>
      <c r="BD48" s="31">
        <f t="shared" ref="BD48:BD53" si="55">ROUND(POWER(AX48/10*(BF48*2-BE48*2+BI48),2)/BJ48*(A48+A48)/AQ48,0)</f>
        <v>38</v>
      </c>
      <c r="BE48">
        <f>基本公式!$B$183</f>
        <v>30</v>
      </c>
      <c r="BF48">
        <f>基本公式!$B$182</f>
        <v>150</v>
      </c>
      <c r="BG48" s="8">
        <v>300</v>
      </c>
      <c r="BH48" s="8">
        <v>60000</v>
      </c>
      <c r="BI48" s="8">
        <v>200</v>
      </c>
      <c r="BJ48" s="8">
        <v>11500</v>
      </c>
    </row>
    <row r="49" spans="1:62">
      <c r="A49">
        <v>200</v>
      </c>
      <c r="B49" s="19">
        <f t="shared" ca="1" si="39"/>
        <v>1</v>
      </c>
      <c r="C49" s="21">
        <f ca="1">ROUND(C41*基本公式!$B$83,0)</f>
        <v>3</v>
      </c>
      <c r="D49" s="1">
        <v>32</v>
      </c>
      <c r="E49">
        <f t="shared" si="40"/>
        <v>8</v>
      </c>
      <c r="F49" s="72">
        <f t="shared" ref="F49:F53" si="56">ROUND(G49*0.35+H49*0.65,0)</f>
        <v>599</v>
      </c>
      <c r="G49">
        <f>ROUND((E49+(30+30)/2)*AN49*兵攻防!A49/基本公式!$B$50,0)</f>
        <v>228</v>
      </c>
      <c r="H49" s="76">
        <f>ROUND((E49+(基本公式!$B$180+基本公式!$B$28)/2)*AN49*兵攻防!A49/基本公式!$B$50,0)</f>
        <v>798</v>
      </c>
      <c r="I49" s="1">
        <v>15</v>
      </c>
      <c r="J49">
        <f>ROUND(POWER($A$25*I49/100,$AM$25),0)</f>
        <v>5</v>
      </c>
      <c r="K49" s="18">
        <v>3</v>
      </c>
      <c r="L49">
        <f t="shared" ca="1" si="41"/>
        <v>16.68</v>
      </c>
      <c r="M49" s="1">
        <v>400</v>
      </c>
      <c r="N49" s="11">
        <f ca="1">OFFSET(其他表格!$G$2,M49/100,0)</f>
        <v>1.1500000000000001</v>
      </c>
      <c r="O49" s="1">
        <v>7</v>
      </c>
      <c r="P49" s="11">
        <f ca="1">OFFSET(其他表格!$B$1,O49,0)</f>
        <v>1.45</v>
      </c>
      <c r="Q49">
        <f t="shared" si="42"/>
        <v>31.2</v>
      </c>
      <c r="R49">
        <f>ROUND(($E$25+200)*$AN$25,2)</f>
        <v>30</v>
      </c>
      <c r="S49">
        <f>ROUND(POWER((E49+200-$J$25-200+AP49),2)/AO49,2)</f>
        <v>43.01</v>
      </c>
      <c r="T49">
        <f>ROUND(POWER(($E$25+200-J49-200+AP49),2)/AO49,2)</f>
        <v>40.840000000000003</v>
      </c>
      <c r="U49">
        <f t="shared" ca="1" si="43"/>
        <v>25</v>
      </c>
      <c r="V49">
        <f t="shared" ca="1" si="44"/>
        <v>24</v>
      </c>
      <c r="W49" s="15">
        <f t="shared" ca="1" si="45"/>
        <v>0.125</v>
      </c>
      <c r="X49" s="15">
        <f t="shared" ca="1" si="46"/>
        <v>0.12</v>
      </c>
      <c r="Y49"/>
      <c r="Z49"/>
      <c r="AA49"/>
      <c r="AB49" s="15"/>
      <c r="AC49"/>
      <c r="AD49" s="10"/>
      <c r="AE49" s="10"/>
      <c r="AF49" s="15"/>
      <c r="AG49" s="10"/>
      <c r="AH49" s="10"/>
      <c r="AI49" s="15"/>
      <c r="AJ49" s="10"/>
      <c r="AK49" s="10"/>
      <c r="AL49" s="15"/>
      <c r="AM49" s="8">
        <v>0.5</v>
      </c>
      <c r="AN49" s="8">
        <v>0.15</v>
      </c>
      <c r="AO49" s="8">
        <v>6000</v>
      </c>
      <c r="AP49" s="8">
        <v>500</v>
      </c>
      <c r="AQ49" s="8">
        <v>20000</v>
      </c>
      <c r="AS49">
        <f t="shared" ca="1" si="47"/>
        <v>18</v>
      </c>
      <c r="AT49">
        <f t="shared" si="48"/>
        <v>72</v>
      </c>
      <c r="AU49" s="15">
        <f t="shared" ca="1" si="49"/>
        <v>0.09</v>
      </c>
      <c r="AV49" s="64">
        <f ca="1">ROUND((AW49+其他表格!K5+基本公式!$B$84)*OFFSET(其他表格!$N$1,兵攻防!O49,0)+OFFSET(其他表格!$P$1,M49/100,0),4)</f>
        <v>0.24909999999999999</v>
      </c>
      <c r="AW49" s="35">
        <v>0.1</v>
      </c>
      <c r="AX49" s="1">
        <v>150</v>
      </c>
      <c r="AY49">
        <f t="shared" si="50"/>
        <v>13</v>
      </c>
      <c r="AZ49">
        <f t="shared" si="51"/>
        <v>103</v>
      </c>
      <c r="BA49">
        <f t="shared" si="52"/>
        <v>10</v>
      </c>
      <c r="BB49" s="31">
        <f t="shared" si="53"/>
        <v>27</v>
      </c>
      <c r="BC49">
        <f t="shared" si="54"/>
        <v>3</v>
      </c>
      <c r="BD49" s="31">
        <f t="shared" si="55"/>
        <v>76</v>
      </c>
      <c r="BE49">
        <f>基本公式!$B$183</f>
        <v>30</v>
      </c>
      <c r="BF49">
        <f>基本公式!$B$182</f>
        <v>150</v>
      </c>
      <c r="BG49" s="8">
        <v>300</v>
      </c>
      <c r="BH49" s="8">
        <v>60000</v>
      </c>
      <c r="BI49" s="8">
        <v>200</v>
      </c>
      <c r="BJ49" s="8">
        <v>11500</v>
      </c>
    </row>
    <row r="50" spans="1:62">
      <c r="A50">
        <v>500</v>
      </c>
      <c r="B50" s="19">
        <f t="shared" ca="1" si="39"/>
        <v>4</v>
      </c>
      <c r="C50" s="21">
        <f ca="1">ROUND(C42*基本公式!$B$83,0)</f>
        <v>5</v>
      </c>
      <c r="D50" s="1">
        <v>32</v>
      </c>
      <c r="E50">
        <f t="shared" si="40"/>
        <v>13</v>
      </c>
      <c r="F50" s="72">
        <f t="shared" si="56"/>
        <v>1571</v>
      </c>
      <c r="G50">
        <f>ROUND((E50+(30+30)/2)*AN50*兵攻防!A50/基本公式!$B$50,0)</f>
        <v>645</v>
      </c>
      <c r="H50" s="76">
        <f>ROUND((E50+(基本公式!$B$180+基本公式!$B$28)/2)*AN50*兵攻防!A50/基本公式!$B$50,0)</f>
        <v>2070</v>
      </c>
      <c r="I50" s="1">
        <v>15</v>
      </c>
      <c r="J50">
        <f>ROUND(POWER($A$26*I50/100,$AM$26),0)</f>
        <v>9</v>
      </c>
      <c r="K50" s="18">
        <v>3</v>
      </c>
      <c r="L50">
        <f t="shared" ca="1" si="41"/>
        <v>16.68</v>
      </c>
      <c r="M50" s="1">
        <v>400</v>
      </c>
      <c r="N50" s="11">
        <f ca="1">OFFSET(其他表格!$G$2,M50/100,0)</f>
        <v>1.1500000000000001</v>
      </c>
      <c r="O50" s="1">
        <v>7</v>
      </c>
      <c r="P50" s="11">
        <f ca="1">OFFSET(其他表格!$B$1,O50,0)</f>
        <v>1.45</v>
      </c>
      <c r="Q50">
        <f t="shared" si="42"/>
        <v>31.95</v>
      </c>
      <c r="R50">
        <f>ROUND(($E$26+200)*$AN$26,2)</f>
        <v>30</v>
      </c>
      <c r="S50">
        <f>ROUND(POWER((E50+200-$J$26-200+AP50),2)/AO50,2)</f>
        <v>43.86</v>
      </c>
      <c r="T50">
        <f>ROUND(POWER(($E$26+200-J50-200+AP50),2)/AO50,2)</f>
        <v>40.18</v>
      </c>
      <c r="U50">
        <f t="shared" ca="1" si="43"/>
        <v>63</v>
      </c>
      <c r="V50">
        <f t="shared" ca="1" si="44"/>
        <v>59</v>
      </c>
      <c r="W50" s="15">
        <f t="shared" ca="1" si="45"/>
        <v>0.126</v>
      </c>
      <c r="X50" s="15">
        <f t="shared" ca="1" si="46"/>
        <v>0.11799999999999999</v>
      </c>
      <c r="Y50"/>
      <c r="Z50"/>
      <c r="AA50"/>
      <c r="AB50" s="15"/>
      <c r="AC50"/>
      <c r="AD50" s="10"/>
      <c r="AE50" s="10"/>
      <c r="AF50" s="15"/>
      <c r="AG50" s="10"/>
      <c r="AH50" s="10"/>
      <c r="AI50" s="15"/>
      <c r="AJ50" s="10"/>
      <c r="AK50" s="10"/>
      <c r="AL50" s="15"/>
      <c r="AM50" s="8">
        <v>0.5</v>
      </c>
      <c r="AN50" s="8">
        <v>0.15</v>
      </c>
      <c r="AO50" s="8">
        <v>6000</v>
      </c>
      <c r="AP50" s="8">
        <v>500</v>
      </c>
      <c r="AQ50" s="8">
        <v>20000</v>
      </c>
      <c r="AS50">
        <f t="shared" ca="1" si="47"/>
        <v>50</v>
      </c>
      <c r="AT50">
        <f t="shared" si="48"/>
        <v>178</v>
      </c>
      <c r="AU50" s="15">
        <f t="shared" ca="1" si="49"/>
        <v>0.1</v>
      </c>
      <c r="AV50" s="64">
        <f ca="1">ROUND((AW50+其他表格!K6+基本公式!$B$84)*OFFSET(其他表格!$N$1,兵攻防!O50,0)+OFFSET(其他表格!$P$1,M50/100,0),4)</f>
        <v>0.28249999999999997</v>
      </c>
      <c r="AW50" s="35">
        <v>0.1</v>
      </c>
      <c r="AX50" s="1">
        <v>150</v>
      </c>
      <c r="AY50">
        <f t="shared" si="50"/>
        <v>30</v>
      </c>
      <c r="AZ50">
        <f t="shared" si="51"/>
        <v>257</v>
      </c>
      <c r="BA50">
        <f t="shared" si="52"/>
        <v>24</v>
      </c>
      <c r="BB50" s="31">
        <f t="shared" si="53"/>
        <v>68</v>
      </c>
      <c r="BC50">
        <f t="shared" si="54"/>
        <v>6</v>
      </c>
      <c r="BD50" s="31">
        <f t="shared" si="55"/>
        <v>189</v>
      </c>
      <c r="BE50">
        <f>基本公式!$B$183</f>
        <v>30</v>
      </c>
      <c r="BF50">
        <f>基本公式!$B$182</f>
        <v>150</v>
      </c>
      <c r="BG50" s="8">
        <v>300</v>
      </c>
      <c r="BH50" s="8">
        <v>60000</v>
      </c>
      <c r="BI50" s="8">
        <v>200</v>
      </c>
      <c r="BJ50" s="8">
        <v>11500</v>
      </c>
    </row>
    <row r="51" spans="1:62">
      <c r="A51">
        <v>1000</v>
      </c>
      <c r="B51" s="19">
        <f t="shared" ca="1" si="39"/>
        <v>13</v>
      </c>
      <c r="C51" s="21">
        <f ca="1">ROUND(C43*基本公式!$B$83,0)</f>
        <v>15</v>
      </c>
      <c r="D51" s="1">
        <v>32</v>
      </c>
      <c r="E51">
        <f t="shared" si="40"/>
        <v>18</v>
      </c>
      <c r="F51" s="72">
        <f t="shared" si="56"/>
        <v>3293</v>
      </c>
      <c r="G51">
        <f>ROUND((E51+(30+30)/2)*AN51*兵攻防!A51/基本公式!$B$50,0)</f>
        <v>1440</v>
      </c>
      <c r="H51" s="76">
        <f>ROUND((E51+(基本公式!$B$180+基本公式!$B$28)/2)*AN51*兵攻防!A51/基本公式!$B$50,0)</f>
        <v>4290</v>
      </c>
      <c r="I51" s="1">
        <v>15</v>
      </c>
      <c r="J51">
        <f>ROUND(POWER($A$27*I51/100,$AM$27),0)</f>
        <v>12</v>
      </c>
      <c r="K51" s="18">
        <v>3</v>
      </c>
      <c r="L51">
        <f t="shared" ca="1" si="41"/>
        <v>16.68</v>
      </c>
      <c r="M51" s="1">
        <v>400</v>
      </c>
      <c r="N51" s="11">
        <f ca="1">OFFSET(其他表格!$G$2,M51/100,0)</f>
        <v>1.1500000000000001</v>
      </c>
      <c r="O51" s="1">
        <v>7</v>
      </c>
      <c r="P51" s="11">
        <f ca="1">OFFSET(其他表格!$B$1,O51,0)</f>
        <v>1.45</v>
      </c>
      <c r="Q51">
        <f t="shared" si="42"/>
        <v>32.700000000000003</v>
      </c>
      <c r="R51">
        <f>ROUND(($E$27+200)*$AN$27,2)</f>
        <v>30</v>
      </c>
      <c r="S51">
        <f>ROUND(POWER((E51+200-$J$27-200+AP51),2)/AO51,2)</f>
        <v>44.72</v>
      </c>
      <c r="T51">
        <f>ROUND(POWER(($E$27+200-J51-200+AP51),2)/AO51,2)</f>
        <v>39.69</v>
      </c>
      <c r="U51">
        <f t="shared" ca="1" si="43"/>
        <v>129</v>
      </c>
      <c r="V51">
        <f t="shared" ca="1" si="44"/>
        <v>116</v>
      </c>
      <c r="W51" s="15">
        <f t="shared" ca="1" si="45"/>
        <v>0.129</v>
      </c>
      <c r="X51" s="15">
        <f t="shared" ca="1" si="46"/>
        <v>0.11600000000000001</v>
      </c>
      <c r="Y51"/>
      <c r="Z51"/>
      <c r="AA51"/>
      <c r="AB51" s="15"/>
      <c r="AC51"/>
      <c r="AD51" s="10"/>
      <c r="AE51" s="10"/>
      <c r="AF51" s="15"/>
      <c r="AG51" s="10"/>
      <c r="AH51" s="10"/>
      <c r="AI51" s="15"/>
      <c r="AJ51" s="10"/>
      <c r="AK51" s="10"/>
      <c r="AL51" s="15"/>
      <c r="AM51" s="8">
        <v>0.5</v>
      </c>
      <c r="AN51" s="8">
        <v>0.15</v>
      </c>
      <c r="AO51" s="8">
        <v>6000</v>
      </c>
      <c r="AP51" s="8">
        <v>500</v>
      </c>
      <c r="AQ51" s="8">
        <v>20000</v>
      </c>
      <c r="AS51">
        <f t="shared" ca="1" si="47"/>
        <v>112</v>
      </c>
      <c r="AT51">
        <f t="shared" si="48"/>
        <v>356</v>
      </c>
      <c r="AU51" s="15">
        <f t="shared" ca="1" si="49"/>
        <v>0.112</v>
      </c>
      <c r="AV51" s="64">
        <f ca="1">ROUND((AW51+其他表格!K7+基本公式!$B$84)*OFFSET(其他表格!$N$1,兵攻防!O51,0)+OFFSET(其他表格!$P$1,M51/100,0),4)</f>
        <v>0.31590000000000001</v>
      </c>
      <c r="AW51" s="35">
        <v>0.1</v>
      </c>
      <c r="AX51" s="1">
        <v>150</v>
      </c>
      <c r="AY51">
        <f t="shared" si="50"/>
        <v>62</v>
      </c>
      <c r="AZ51">
        <f t="shared" si="51"/>
        <v>514</v>
      </c>
      <c r="BA51">
        <f t="shared" si="52"/>
        <v>49</v>
      </c>
      <c r="BB51" s="31">
        <f t="shared" si="53"/>
        <v>135</v>
      </c>
      <c r="BC51">
        <f t="shared" si="54"/>
        <v>13</v>
      </c>
      <c r="BD51" s="31">
        <f t="shared" si="55"/>
        <v>379</v>
      </c>
      <c r="BE51">
        <f>基本公式!$B$183</f>
        <v>30</v>
      </c>
      <c r="BF51">
        <f>基本公式!$B$182</f>
        <v>150</v>
      </c>
      <c r="BG51" s="8">
        <v>300</v>
      </c>
      <c r="BH51" s="8">
        <v>60000</v>
      </c>
      <c r="BI51" s="8">
        <v>200</v>
      </c>
      <c r="BJ51" s="8">
        <v>11500</v>
      </c>
    </row>
    <row r="52" spans="1:62">
      <c r="A52">
        <v>2000</v>
      </c>
      <c r="B52" s="19">
        <f t="shared" ca="1" si="39"/>
        <v>36</v>
      </c>
      <c r="C52" s="21">
        <f ca="1">ROUND(C44*基本公式!$B$83,0)</f>
        <v>37</v>
      </c>
      <c r="D52" s="1">
        <v>32</v>
      </c>
      <c r="E52">
        <f t="shared" si="40"/>
        <v>25</v>
      </c>
      <c r="F52" s="72">
        <f t="shared" si="56"/>
        <v>7005</v>
      </c>
      <c r="G52">
        <f>ROUND((E52+(30+30)/2)*AN52*兵攻防!A52/基本公式!$B$50,0)</f>
        <v>3300</v>
      </c>
      <c r="H52" s="76">
        <f>ROUND((E52+(基本公式!$B$180+基本公式!$B$28)/2)*AN52*兵攻防!A52/基本公式!$B$50,0)</f>
        <v>9000</v>
      </c>
      <c r="I52" s="1">
        <v>15</v>
      </c>
      <c r="J52">
        <f>ROUND(POWER($A$28*I52/100,$AM$28),0)</f>
        <v>17</v>
      </c>
      <c r="K52" s="18">
        <v>3</v>
      </c>
      <c r="L52">
        <f t="shared" ca="1" si="41"/>
        <v>16.68</v>
      </c>
      <c r="M52" s="1">
        <v>400</v>
      </c>
      <c r="N52" s="11">
        <f ca="1">OFFSET(其他表格!$G$2,M52/100,0)</f>
        <v>1.1500000000000001</v>
      </c>
      <c r="O52" s="1">
        <v>7</v>
      </c>
      <c r="P52" s="11">
        <f ca="1">OFFSET(其他表格!$B$1,O52,0)</f>
        <v>1.45</v>
      </c>
      <c r="Q52">
        <f t="shared" si="42"/>
        <v>33.75</v>
      </c>
      <c r="R52">
        <f>ROUND(($E$28+200)*$AN$28,2)</f>
        <v>30</v>
      </c>
      <c r="S52">
        <f>ROUND(POWER((E52+200-$J$28-200+AP52),2)/AO52,2)</f>
        <v>45.94</v>
      </c>
      <c r="T52">
        <f>ROUND(POWER(($E$28+200-J52-200+AP52),2)/AO52,2)</f>
        <v>38.880000000000003</v>
      </c>
      <c r="U52">
        <f t="shared" ca="1" si="43"/>
        <v>266</v>
      </c>
      <c r="V52">
        <f t="shared" ca="1" si="44"/>
        <v>230</v>
      </c>
      <c r="W52" s="15">
        <f t="shared" ca="1" si="45"/>
        <v>0.13300000000000001</v>
      </c>
      <c r="X52" s="15">
        <f t="shared" ca="1" si="46"/>
        <v>0.115</v>
      </c>
      <c r="Y52"/>
      <c r="Z52"/>
      <c r="AA52"/>
      <c r="AB52" s="15"/>
      <c r="AC52"/>
      <c r="AD52" s="10"/>
      <c r="AE52" s="10"/>
      <c r="AF52" s="15"/>
      <c r="AG52" s="10"/>
      <c r="AH52" s="10"/>
      <c r="AI52" s="15"/>
      <c r="AJ52" s="10"/>
      <c r="AK52" s="10"/>
      <c r="AL52" s="15"/>
      <c r="AM52" s="8">
        <v>0.5</v>
      </c>
      <c r="AN52" s="8">
        <v>0.15</v>
      </c>
      <c r="AO52" s="8">
        <v>6000</v>
      </c>
      <c r="AP52" s="8">
        <v>500</v>
      </c>
      <c r="AQ52" s="8">
        <v>20000</v>
      </c>
      <c r="AS52">
        <f t="shared" ca="1" si="47"/>
        <v>252</v>
      </c>
      <c r="AT52">
        <f t="shared" si="48"/>
        <v>711</v>
      </c>
      <c r="AU52" s="15">
        <f t="shared" ca="1" si="49"/>
        <v>0.126</v>
      </c>
      <c r="AV52" s="64">
        <f ca="1">ROUND((AW52+其他表格!K8+基本公式!$B$84)*OFFSET(其他表格!$N$1,兵攻防!O52,0)+OFFSET(其他表格!$P$1,M52/100,0),4)</f>
        <v>0.3548</v>
      </c>
      <c r="AW52" s="35">
        <v>0.1</v>
      </c>
      <c r="AX52" s="1">
        <v>150</v>
      </c>
      <c r="AY52">
        <f t="shared" si="50"/>
        <v>122</v>
      </c>
      <c r="AZ52">
        <f t="shared" si="51"/>
        <v>1028</v>
      </c>
      <c r="BA52">
        <f t="shared" si="52"/>
        <v>97</v>
      </c>
      <c r="BB52" s="31">
        <f t="shared" si="53"/>
        <v>270</v>
      </c>
      <c r="BC52">
        <f t="shared" si="54"/>
        <v>25</v>
      </c>
      <c r="BD52" s="31">
        <f t="shared" si="55"/>
        <v>758</v>
      </c>
      <c r="BE52">
        <f>基本公式!$B$183</f>
        <v>30</v>
      </c>
      <c r="BF52">
        <f>基本公式!$B$182</f>
        <v>150</v>
      </c>
      <c r="BG52" s="8">
        <v>300</v>
      </c>
      <c r="BH52" s="8">
        <v>60000</v>
      </c>
      <c r="BI52" s="8">
        <v>200</v>
      </c>
      <c r="BJ52" s="8">
        <v>11500</v>
      </c>
    </row>
    <row r="53" spans="1:62">
      <c r="A53">
        <v>5000</v>
      </c>
      <c r="B53" s="19">
        <f t="shared" ca="1" si="39"/>
        <v>145</v>
      </c>
      <c r="C53" s="21">
        <f ca="1">ROUND(C45*基本公式!$B$83,0)</f>
        <v>145</v>
      </c>
      <c r="D53" s="1">
        <v>32</v>
      </c>
      <c r="E53">
        <f t="shared" si="40"/>
        <v>40</v>
      </c>
      <c r="F53" s="72">
        <f t="shared" si="56"/>
        <v>19763</v>
      </c>
      <c r="G53">
        <f>ROUND((E53+(30+30)/2)*AN53*兵攻防!A53/基本公式!$B$50,0)</f>
        <v>10500</v>
      </c>
      <c r="H53" s="76">
        <f>ROUND((E53+(基本公式!$B$180+基本公式!$B$28)/2)*AN53*兵攻防!A53/基本公式!$B$50,0)</f>
        <v>24750</v>
      </c>
      <c r="I53" s="1">
        <v>15</v>
      </c>
      <c r="J53">
        <f>ROUND(POWER($A$29*I53/100,$AM$29),0)</f>
        <v>27</v>
      </c>
      <c r="K53" s="18">
        <v>3</v>
      </c>
      <c r="L53">
        <f t="shared" ca="1" si="41"/>
        <v>16.68</v>
      </c>
      <c r="M53" s="1">
        <v>400</v>
      </c>
      <c r="N53" s="11">
        <f ca="1">OFFSET(其他表格!$G$2,M53/100,0)</f>
        <v>1.1500000000000001</v>
      </c>
      <c r="O53" s="1">
        <v>7</v>
      </c>
      <c r="P53" s="11">
        <f ca="1">OFFSET(其他表格!$B$1,O53,0)</f>
        <v>1.45</v>
      </c>
      <c r="Q53">
        <f t="shared" si="42"/>
        <v>36</v>
      </c>
      <c r="R53">
        <f>ROUND(($E$29+200)*$AN$29,2)</f>
        <v>30</v>
      </c>
      <c r="S53">
        <f>ROUND(POWER((E53+200-$J$29-200+AP53),2)/AO53,2)</f>
        <v>48.6</v>
      </c>
      <c r="T53">
        <f>ROUND(POWER(($E$29+200-J53-200+AP53),2)/AO53,2)</f>
        <v>37.29</v>
      </c>
      <c r="U53">
        <f t="shared" ca="1" si="43"/>
        <v>706</v>
      </c>
      <c r="V53">
        <f t="shared" ca="1" si="44"/>
        <v>561</v>
      </c>
      <c r="W53" s="15">
        <f t="shared" ca="1" si="45"/>
        <v>0.14119999999999999</v>
      </c>
      <c r="X53" s="15">
        <f t="shared" ca="1" si="46"/>
        <v>0.11219999999999999</v>
      </c>
      <c r="Y53"/>
      <c r="Z53"/>
      <c r="AA53"/>
      <c r="AB53" s="15"/>
      <c r="AC53"/>
      <c r="AD53" s="10"/>
      <c r="AE53" s="10"/>
      <c r="AF53" s="15"/>
      <c r="AG53" s="10"/>
      <c r="AH53" s="10"/>
      <c r="AI53" s="15"/>
      <c r="AJ53" s="10"/>
      <c r="AK53" s="10"/>
      <c r="AL53" s="15"/>
      <c r="AM53" s="8">
        <v>0.5</v>
      </c>
      <c r="AN53" s="8">
        <v>0.15</v>
      </c>
      <c r="AO53" s="8">
        <v>6000</v>
      </c>
      <c r="AP53" s="8">
        <v>500</v>
      </c>
      <c r="AQ53" s="8">
        <v>20000</v>
      </c>
      <c r="AS53">
        <f t="shared" ca="1" si="47"/>
        <v>710</v>
      </c>
      <c r="AT53">
        <f t="shared" si="48"/>
        <v>1777</v>
      </c>
      <c r="AU53" s="15">
        <f t="shared" ca="1" si="49"/>
        <v>0.14199999999999999</v>
      </c>
      <c r="AV53" s="64">
        <f ca="1">ROUND((AW53+其他表格!K9+基本公式!$B$84)*OFFSET(其他表格!$N$1,兵攻防!O53,0)+OFFSET(其他表格!$P$1,M53/100,0),4)</f>
        <v>0.39929999999999999</v>
      </c>
      <c r="AW53" s="35">
        <v>0.1</v>
      </c>
      <c r="AX53" s="1">
        <v>150</v>
      </c>
      <c r="AY53">
        <f>BA53+BC53</f>
        <v>306</v>
      </c>
      <c r="AZ53">
        <f>BB53+BD53</f>
        <v>2569</v>
      </c>
      <c r="BA53">
        <f t="shared" si="52"/>
        <v>243</v>
      </c>
      <c r="BB53" s="31">
        <f t="shared" si="53"/>
        <v>675</v>
      </c>
      <c r="BC53">
        <f t="shared" si="54"/>
        <v>63</v>
      </c>
      <c r="BD53" s="31">
        <f t="shared" si="55"/>
        <v>1894</v>
      </c>
      <c r="BE53">
        <f>基本公式!$B$183</f>
        <v>30</v>
      </c>
      <c r="BF53">
        <f>基本公式!$B$182</f>
        <v>150</v>
      </c>
      <c r="BG53" s="8">
        <v>300</v>
      </c>
      <c r="BH53" s="8">
        <v>60000</v>
      </c>
      <c r="BI53" s="8">
        <v>200</v>
      </c>
      <c r="BJ53" s="8">
        <v>11500</v>
      </c>
    </row>
    <row r="55" spans="1:62" s="23" customFormat="1">
      <c r="A55" s="23" t="s">
        <v>74</v>
      </c>
      <c r="B55" s="26" t="s">
        <v>75</v>
      </c>
      <c r="C55" s="26" t="s">
        <v>194</v>
      </c>
      <c r="F55" s="75"/>
      <c r="H55" s="78"/>
      <c r="K55" s="63"/>
      <c r="AR55" s="30"/>
      <c r="AV55" s="21"/>
      <c r="AW55" s="37"/>
      <c r="AX55" s="27"/>
      <c r="BB55" s="33"/>
      <c r="BD55" s="33"/>
      <c r="BG55" s="8"/>
      <c r="BH55" s="8"/>
    </row>
    <row r="56" spans="1:62">
      <c r="A56">
        <v>100</v>
      </c>
      <c r="B56" s="19">
        <f t="shared" ref="B56:B61" ca="1" si="57">ROUND(((U56-$U$29)+($V$29-V56)),0)</f>
        <v>0</v>
      </c>
      <c r="C56" s="21">
        <f t="shared" ref="C56:C61" ca="1" si="58">C32</f>
        <v>0</v>
      </c>
      <c r="D56" s="1">
        <v>7</v>
      </c>
      <c r="E56">
        <f t="shared" ref="E56:E61" si="59">ROUND(POWER(A56*D56/100,AM56),0)</f>
        <v>3</v>
      </c>
      <c r="F56" s="72">
        <f>ROUND(G56*0.35+H56*0.65,0)</f>
        <v>284</v>
      </c>
      <c r="G56">
        <f>ROUND((E56+(30+30)/2)*AN56*兵攻防!A56/基本公式!$B$50,0)</f>
        <v>99</v>
      </c>
      <c r="H56" s="76">
        <f>ROUND((E56+(基本公式!$B$180+基本公式!$B$28)/2)*AN56*兵攻防!A56/基本公式!$B$50,0)</f>
        <v>384</v>
      </c>
      <c r="I56" s="1">
        <v>5</v>
      </c>
      <c r="J56">
        <f>ROUND(POWER($A$24*I56/100,$AM$24),0)</f>
        <v>2</v>
      </c>
      <c r="K56" s="18">
        <v>3</v>
      </c>
      <c r="L56">
        <f t="shared" ref="L56:L61" ca="1" si="60">ROUND(30/K56*P56*N56,2)</f>
        <v>11.55</v>
      </c>
      <c r="M56" s="1">
        <v>280</v>
      </c>
      <c r="N56" s="11">
        <f ca="1">OFFSET(其他表格!$G$2,M56/100,0)</f>
        <v>1.05</v>
      </c>
      <c r="O56" s="1">
        <v>2</v>
      </c>
      <c r="P56" s="11">
        <f ca="1">OFFSET(其他表格!$B$1,O56,0)</f>
        <v>1.1000000000000001</v>
      </c>
      <c r="Q56">
        <f t="shared" ref="Q56:Q61" si="61">ROUND((E56+200)*AN56,2)</f>
        <v>30.45</v>
      </c>
      <c r="R56">
        <f>ROUND(($E$24+200)*$AN$24,2)</f>
        <v>30</v>
      </c>
      <c r="S56">
        <f>ROUND(POWER((E56+200-$J$24-200+AP56),2)/AO56,2)</f>
        <v>42.17</v>
      </c>
      <c r="T56">
        <f>ROUND(POWER(($E$24+200-J56-200+AP56),2)/AO56,2)</f>
        <v>41.33</v>
      </c>
      <c r="U56">
        <f t="shared" ref="U56:U61" ca="1" si="62">ROUND((Q56+S56)*(A56+A56)/AQ56*L56,0)</f>
        <v>8</v>
      </c>
      <c r="V56">
        <f t="shared" ref="V56:V61" ca="1" si="63">ROUND((R56+T56)*(A56+A56)/AQ56*L56,0)</f>
        <v>8</v>
      </c>
      <c r="W56" s="15">
        <f t="shared" ref="W56:W61" ca="1" si="64">MIN(ROUND(U56/A56,4),1)</f>
        <v>0.08</v>
      </c>
      <c r="X56" s="15">
        <f t="shared" ref="X56:X61" ca="1" si="65">MIN(ROUND(V56/A56,4),1)</f>
        <v>0.08</v>
      </c>
      <c r="Y56"/>
      <c r="Z56"/>
      <c r="AA56"/>
      <c r="AB56" s="15"/>
      <c r="AC56"/>
      <c r="AD56" s="10"/>
      <c r="AE56" s="10"/>
      <c r="AF56" s="15"/>
      <c r="AG56" s="10"/>
      <c r="AH56" s="10"/>
      <c r="AI56" s="15"/>
      <c r="AJ56" s="10"/>
      <c r="AK56" s="10"/>
      <c r="AL56" s="15"/>
      <c r="AM56" s="8">
        <v>0.5</v>
      </c>
      <c r="AN56" s="8">
        <v>0.15</v>
      </c>
      <c r="AO56" s="8">
        <v>6000</v>
      </c>
      <c r="AP56" s="8">
        <v>500</v>
      </c>
      <c r="AQ56" s="8">
        <v>20000</v>
      </c>
      <c r="AS56">
        <f t="shared" ref="AS56:AS61" ca="1" si="66">ROUND(AT56*AV56,0)</f>
        <v>2</v>
      </c>
      <c r="AT56">
        <f t="shared" ref="AT56:AT61" si="67">ROUND(AY56*0.35+AZ56*0.65,0)</f>
        <v>27</v>
      </c>
      <c r="AU56" s="15">
        <f t="shared" ref="AU56:AU61" ca="1" si="68">ROUND(AS56/A56,4)</f>
        <v>0.02</v>
      </c>
      <c r="AV56" s="64">
        <f ca="1">ROUND((AW56+其他表格!K4+基本公式!$B$84)*OFFSET(其他表格!$N$1,兵攻防!O56,0)+OFFSET(其他表格!$P$1,M56/100,0),4)</f>
        <v>6.1800000000000001E-2</v>
      </c>
      <c r="AW56" s="35">
        <v>0.1</v>
      </c>
      <c r="AX56" s="1">
        <v>131</v>
      </c>
      <c r="AY56">
        <f t="shared" ref="AY56:AY60" si="69">BA56+BC56</f>
        <v>4</v>
      </c>
      <c r="AZ56">
        <f t="shared" ref="AZ56:AZ60" si="70">BB56+BD56</f>
        <v>39</v>
      </c>
      <c r="BA56">
        <f t="shared" ref="BA56:BA61" si="71">ROUND(POWER(AX56/10*(BE56+BG56),2)/BH56*(A56+A56)/AQ56,0)</f>
        <v>3</v>
      </c>
      <c r="BB56" s="31">
        <f t="shared" ref="BB56:BB61" si="72">ROUND(POWER(AX56/10*(BF56*2+BG56),2)/BH56*(A56+A56)/AQ56,0)</f>
        <v>10</v>
      </c>
      <c r="BC56">
        <f t="shared" ref="BC56:BC61" si="73">ROUND(POWER(AX56/10*(BE56-BF56+BI56),2)/BJ56*(A56+A56)/AQ56,0)</f>
        <v>1</v>
      </c>
      <c r="BD56" s="31">
        <f t="shared" ref="BD56:BD61" si="74">ROUND(POWER(AX56/10*(BF56*2-BE56*2+BI56),2)/BJ56*(A56+A56)/AQ56,0)</f>
        <v>29</v>
      </c>
      <c r="BE56">
        <f>基本公式!$B$183</f>
        <v>30</v>
      </c>
      <c r="BF56">
        <f>基本公式!$B$182</f>
        <v>150</v>
      </c>
      <c r="BG56" s="8">
        <v>300</v>
      </c>
      <c r="BH56" s="8">
        <v>60000</v>
      </c>
      <c r="BI56" s="8">
        <v>200</v>
      </c>
      <c r="BJ56" s="8">
        <v>11500</v>
      </c>
    </row>
    <row r="57" spans="1:62">
      <c r="A57">
        <v>200</v>
      </c>
      <c r="B57" s="19">
        <f t="shared" ca="1" si="57"/>
        <v>1</v>
      </c>
      <c r="C57" s="21">
        <f t="shared" ca="1" si="58"/>
        <v>1</v>
      </c>
      <c r="D57" s="1">
        <v>7</v>
      </c>
      <c r="E57">
        <f t="shared" si="59"/>
        <v>4</v>
      </c>
      <c r="F57" s="72">
        <f t="shared" ref="F57:F61" si="75">ROUND(G57*0.35+H57*0.65,0)</f>
        <v>575</v>
      </c>
      <c r="G57">
        <f>ROUND((E57+(30+30)/2)*AN57*兵攻防!A57/基本公式!$B$50,0)</f>
        <v>204</v>
      </c>
      <c r="H57" s="76">
        <f>ROUND((E57+(基本公式!$B$180+基本公式!$B$28)/2)*AN57*兵攻防!A57/基本公式!$B$50,0)</f>
        <v>774</v>
      </c>
      <c r="I57" s="1">
        <v>5</v>
      </c>
      <c r="J57">
        <f>ROUND(POWER($A$25*I57/100,$AM$25),0)</f>
        <v>3</v>
      </c>
      <c r="K57" s="18">
        <v>3</v>
      </c>
      <c r="L57">
        <f t="shared" ca="1" si="60"/>
        <v>11.55</v>
      </c>
      <c r="M57" s="1">
        <v>280</v>
      </c>
      <c r="N57" s="11">
        <f ca="1">OFFSET(其他表格!$G$2,M57/100,0)</f>
        <v>1.05</v>
      </c>
      <c r="O57" s="1">
        <v>2</v>
      </c>
      <c r="P57" s="11">
        <f ca="1">OFFSET(其他表格!$B$1,O57,0)</f>
        <v>1.1000000000000001</v>
      </c>
      <c r="Q57">
        <f t="shared" si="61"/>
        <v>30.6</v>
      </c>
      <c r="R57">
        <f>ROUND(($E$25+200)*$AN$25,2)</f>
        <v>30</v>
      </c>
      <c r="S57">
        <f>ROUND(POWER((E57+200-$J$25-200+AP57),2)/AO57,2)</f>
        <v>42.34</v>
      </c>
      <c r="T57">
        <f>ROUND(POWER(($E$25+200-J57-200+AP57),2)/AO57,2)</f>
        <v>41.17</v>
      </c>
      <c r="U57">
        <f t="shared" ca="1" si="62"/>
        <v>17</v>
      </c>
      <c r="V57">
        <f t="shared" ca="1" si="63"/>
        <v>16</v>
      </c>
      <c r="W57" s="15">
        <f t="shared" ca="1" si="64"/>
        <v>8.5000000000000006E-2</v>
      </c>
      <c r="X57" s="15">
        <f t="shared" ca="1" si="65"/>
        <v>0.08</v>
      </c>
      <c r="Y57"/>
      <c r="Z57"/>
      <c r="AA57"/>
      <c r="AB57" s="15"/>
      <c r="AC57"/>
      <c r="AD57" s="10"/>
      <c r="AE57" s="10"/>
      <c r="AF57" s="15"/>
      <c r="AG57" s="10"/>
      <c r="AH57" s="10"/>
      <c r="AI57" s="15"/>
      <c r="AJ57" s="10"/>
      <c r="AK57" s="10"/>
      <c r="AL57" s="15"/>
      <c r="AM57" s="8">
        <v>0.5</v>
      </c>
      <c r="AN57" s="8">
        <v>0.15</v>
      </c>
      <c r="AO57" s="8">
        <v>6000</v>
      </c>
      <c r="AP57" s="8">
        <v>500</v>
      </c>
      <c r="AQ57" s="8">
        <v>20000</v>
      </c>
      <c r="AS57">
        <f t="shared" ca="1" si="66"/>
        <v>4</v>
      </c>
      <c r="AT57">
        <f t="shared" si="67"/>
        <v>54</v>
      </c>
      <c r="AU57" s="15">
        <f t="shared" ca="1" si="68"/>
        <v>0.02</v>
      </c>
      <c r="AV57" s="64">
        <f ca="1">ROUND((AW57+其他表格!K5+基本公式!$B$84)*OFFSET(其他表格!$N$1,兵攻防!O57,0)+OFFSET(其他表格!$P$1,M57/100,0),4)</f>
        <v>7.2900000000000006E-2</v>
      </c>
      <c r="AW57" s="35">
        <v>0.1</v>
      </c>
      <c r="AX57" s="1">
        <v>131</v>
      </c>
      <c r="AY57">
        <f t="shared" si="69"/>
        <v>8</v>
      </c>
      <c r="AZ57">
        <f t="shared" si="70"/>
        <v>79</v>
      </c>
      <c r="BA57">
        <f t="shared" si="71"/>
        <v>6</v>
      </c>
      <c r="BB57" s="31">
        <f t="shared" si="72"/>
        <v>21</v>
      </c>
      <c r="BC57">
        <f t="shared" si="73"/>
        <v>2</v>
      </c>
      <c r="BD57" s="31">
        <f t="shared" si="74"/>
        <v>58</v>
      </c>
      <c r="BE57">
        <f>基本公式!$B$183</f>
        <v>30</v>
      </c>
      <c r="BF57">
        <f>基本公式!$B$182</f>
        <v>150</v>
      </c>
      <c r="BG57" s="8">
        <v>300</v>
      </c>
      <c r="BH57" s="8">
        <v>60000</v>
      </c>
      <c r="BI57" s="8">
        <v>200</v>
      </c>
      <c r="BJ57" s="8">
        <v>11500</v>
      </c>
    </row>
    <row r="58" spans="1:62">
      <c r="A58">
        <v>500</v>
      </c>
      <c r="B58" s="19">
        <f t="shared" ca="1" si="57"/>
        <v>1</v>
      </c>
      <c r="C58" s="21">
        <f t="shared" ca="1" si="58"/>
        <v>2</v>
      </c>
      <c r="D58" s="1">
        <v>7</v>
      </c>
      <c r="E58">
        <f t="shared" si="59"/>
        <v>6</v>
      </c>
      <c r="F58" s="72">
        <f t="shared" si="75"/>
        <v>1466</v>
      </c>
      <c r="G58">
        <f>ROUND((E58+(30+30)/2)*AN58*兵攻防!A58/基本公式!$B$50,0)</f>
        <v>540</v>
      </c>
      <c r="H58" s="76">
        <f>ROUND((E58+(基本公式!$B$180+基本公式!$B$28)/2)*AN58*兵攻防!A58/基本公式!$B$50,0)</f>
        <v>1965</v>
      </c>
      <c r="I58" s="1">
        <v>5</v>
      </c>
      <c r="J58">
        <f>ROUND(POWER($A$26*I58/100,$AM$26),0)</f>
        <v>5</v>
      </c>
      <c r="K58" s="18">
        <v>3</v>
      </c>
      <c r="L58">
        <f t="shared" ca="1" si="60"/>
        <v>11.55</v>
      </c>
      <c r="M58" s="1">
        <v>280</v>
      </c>
      <c r="N58" s="11">
        <f ca="1">OFFSET(其他表格!$G$2,M58/100,0)</f>
        <v>1.05</v>
      </c>
      <c r="O58" s="1">
        <v>2</v>
      </c>
      <c r="P58" s="11">
        <f ca="1">OFFSET(其他表格!$B$1,O58,0)</f>
        <v>1.1000000000000001</v>
      </c>
      <c r="Q58">
        <f t="shared" si="61"/>
        <v>30.9</v>
      </c>
      <c r="R58">
        <f>ROUND(($E$26+200)*$AN$26,2)</f>
        <v>30</v>
      </c>
      <c r="S58">
        <f>ROUND(POWER((E58+200-$J$26-200+AP58),2)/AO58,2)</f>
        <v>42.67</v>
      </c>
      <c r="T58">
        <f>ROUND(POWER(($E$26+200-J58-200+AP58),2)/AO58,2)</f>
        <v>40.840000000000003</v>
      </c>
      <c r="U58">
        <f t="shared" ca="1" si="62"/>
        <v>42</v>
      </c>
      <c r="V58">
        <f t="shared" ca="1" si="63"/>
        <v>41</v>
      </c>
      <c r="W58" s="15">
        <f t="shared" ca="1" si="64"/>
        <v>8.4000000000000005E-2</v>
      </c>
      <c r="X58" s="15">
        <f t="shared" ca="1" si="65"/>
        <v>8.2000000000000003E-2</v>
      </c>
      <c r="Y58"/>
      <c r="Z58"/>
      <c r="AA58"/>
      <c r="AB58" s="15"/>
      <c r="AC58"/>
      <c r="AD58" s="10"/>
      <c r="AE58" s="10"/>
      <c r="AF58" s="15"/>
      <c r="AG58" s="10"/>
      <c r="AH58" s="10"/>
      <c r="AI58" s="15"/>
      <c r="AJ58" s="10"/>
      <c r="AK58" s="10"/>
      <c r="AL58" s="15"/>
      <c r="AM58" s="8">
        <v>0.5</v>
      </c>
      <c r="AN58" s="8">
        <v>0.15</v>
      </c>
      <c r="AO58" s="8">
        <v>6000</v>
      </c>
      <c r="AP58" s="8">
        <v>500</v>
      </c>
      <c r="AQ58" s="8">
        <v>20000</v>
      </c>
      <c r="AS58">
        <f t="shared" ca="1" si="66"/>
        <v>11</v>
      </c>
      <c r="AT58">
        <f t="shared" si="67"/>
        <v>134</v>
      </c>
      <c r="AU58" s="15">
        <f t="shared" ca="1" si="68"/>
        <v>2.1999999999999999E-2</v>
      </c>
      <c r="AV58" s="64">
        <f ca="1">ROUND((AW58+其他表格!K6+基本公式!$B$84)*OFFSET(其他表格!$N$1,兵攻防!O58,0)+OFFSET(其他表格!$P$1,M58/100,0),4)</f>
        <v>8.4000000000000005E-2</v>
      </c>
      <c r="AW58" s="35">
        <v>0.1</v>
      </c>
      <c r="AX58" s="1">
        <v>131</v>
      </c>
      <c r="AY58">
        <f t="shared" si="69"/>
        <v>21</v>
      </c>
      <c r="AZ58">
        <f t="shared" si="70"/>
        <v>195</v>
      </c>
      <c r="BA58">
        <f t="shared" si="71"/>
        <v>16</v>
      </c>
      <c r="BB58" s="31">
        <f t="shared" si="72"/>
        <v>51</v>
      </c>
      <c r="BC58">
        <f t="shared" si="73"/>
        <v>5</v>
      </c>
      <c r="BD58" s="31">
        <f t="shared" si="74"/>
        <v>144</v>
      </c>
      <c r="BE58">
        <f>基本公式!$B$183</f>
        <v>30</v>
      </c>
      <c r="BF58">
        <f>基本公式!$B$182</f>
        <v>150</v>
      </c>
      <c r="BG58" s="8">
        <v>300</v>
      </c>
      <c r="BH58" s="8">
        <v>60000</v>
      </c>
      <c r="BI58" s="8">
        <v>200</v>
      </c>
      <c r="BJ58" s="8">
        <v>11500</v>
      </c>
    </row>
    <row r="59" spans="1:62">
      <c r="A59">
        <v>1000</v>
      </c>
      <c r="B59" s="19">
        <f t="shared" ca="1" si="57"/>
        <v>5</v>
      </c>
      <c r="C59" s="21">
        <f t="shared" ca="1" si="58"/>
        <v>5</v>
      </c>
      <c r="D59" s="1">
        <v>7</v>
      </c>
      <c r="E59">
        <f t="shared" si="59"/>
        <v>8</v>
      </c>
      <c r="F59" s="72">
        <f t="shared" si="75"/>
        <v>2993</v>
      </c>
      <c r="G59">
        <f>ROUND((E59+(30+30)/2)*AN59*兵攻防!A59/基本公式!$B$50,0)</f>
        <v>1140</v>
      </c>
      <c r="H59" s="76">
        <f>ROUND((E59+(基本公式!$B$180+基本公式!$B$28)/2)*AN59*兵攻防!A59/基本公式!$B$50,0)</f>
        <v>3990</v>
      </c>
      <c r="I59" s="1">
        <v>5</v>
      </c>
      <c r="J59">
        <f>ROUND(POWER($A$27*I59/100,$AM$27),0)</f>
        <v>7</v>
      </c>
      <c r="K59" s="18">
        <v>3</v>
      </c>
      <c r="L59">
        <f t="shared" ca="1" si="60"/>
        <v>11.55</v>
      </c>
      <c r="M59" s="1">
        <v>280</v>
      </c>
      <c r="N59" s="11">
        <f ca="1">OFFSET(其他表格!$G$2,M59/100,0)</f>
        <v>1.05</v>
      </c>
      <c r="O59" s="1">
        <v>2</v>
      </c>
      <c r="P59" s="11">
        <f ca="1">OFFSET(其他表格!$B$1,O59,0)</f>
        <v>1.1000000000000001</v>
      </c>
      <c r="Q59">
        <f t="shared" si="61"/>
        <v>31.2</v>
      </c>
      <c r="R59">
        <f>ROUND(($E$27+200)*$AN$27,2)</f>
        <v>30</v>
      </c>
      <c r="S59">
        <f>ROUND(POWER((E59+200-$J$27-200+AP59),2)/AO59,2)</f>
        <v>43.01</v>
      </c>
      <c r="T59">
        <f>ROUND(POWER(($E$27+200-J59-200+AP59),2)/AO59,2)</f>
        <v>40.51</v>
      </c>
      <c r="U59">
        <f t="shared" ca="1" si="62"/>
        <v>86</v>
      </c>
      <c r="V59">
        <f t="shared" ca="1" si="63"/>
        <v>81</v>
      </c>
      <c r="W59" s="15">
        <f t="shared" ca="1" si="64"/>
        <v>8.5999999999999993E-2</v>
      </c>
      <c r="X59" s="15">
        <f t="shared" ca="1" si="65"/>
        <v>8.1000000000000003E-2</v>
      </c>
      <c r="Y59"/>
      <c r="Z59"/>
      <c r="AA59"/>
      <c r="AB59" s="15"/>
      <c r="AC59"/>
      <c r="AD59" s="10"/>
      <c r="AE59" s="10"/>
      <c r="AF59" s="15"/>
      <c r="AG59" s="10"/>
      <c r="AH59" s="10"/>
      <c r="AI59" s="15"/>
      <c r="AJ59" s="10"/>
      <c r="AK59" s="10"/>
      <c r="AL59" s="15"/>
      <c r="AM59" s="8">
        <v>0.5</v>
      </c>
      <c r="AN59" s="8">
        <v>0.15</v>
      </c>
      <c r="AO59" s="8">
        <v>6000</v>
      </c>
      <c r="AP59" s="8">
        <v>500</v>
      </c>
      <c r="AQ59" s="8">
        <v>20000</v>
      </c>
      <c r="AS59">
        <f t="shared" ca="1" si="66"/>
        <v>26</v>
      </c>
      <c r="AT59">
        <f t="shared" si="67"/>
        <v>269</v>
      </c>
      <c r="AU59" s="15">
        <f t="shared" ca="1" si="68"/>
        <v>2.5999999999999999E-2</v>
      </c>
      <c r="AV59" s="64">
        <f ca="1">ROUND((AW59+其他表格!K7+基本公式!$B$84)*OFFSET(其他表格!$N$1,兵攻防!O59,0)+OFFSET(其他表格!$P$1,M59/100,0),4)</f>
        <v>9.5100000000000004E-2</v>
      </c>
      <c r="AW59" s="35">
        <v>0.1</v>
      </c>
      <c r="AX59" s="1">
        <v>131</v>
      </c>
      <c r="AY59">
        <f t="shared" si="69"/>
        <v>41</v>
      </c>
      <c r="AZ59">
        <f t="shared" si="70"/>
        <v>392</v>
      </c>
      <c r="BA59">
        <f t="shared" si="71"/>
        <v>31</v>
      </c>
      <c r="BB59" s="31">
        <f t="shared" si="72"/>
        <v>103</v>
      </c>
      <c r="BC59">
        <f t="shared" si="73"/>
        <v>10</v>
      </c>
      <c r="BD59" s="31">
        <f t="shared" si="74"/>
        <v>289</v>
      </c>
      <c r="BE59">
        <f>基本公式!$B$183</f>
        <v>30</v>
      </c>
      <c r="BF59">
        <f>基本公式!$B$182</f>
        <v>150</v>
      </c>
      <c r="BG59" s="8">
        <v>300</v>
      </c>
      <c r="BH59" s="8">
        <v>60000</v>
      </c>
      <c r="BI59" s="8">
        <v>200</v>
      </c>
      <c r="BJ59" s="8">
        <v>11500</v>
      </c>
    </row>
    <row r="60" spans="1:62">
      <c r="A60">
        <v>2000</v>
      </c>
      <c r="B60" s="19">
        <f t="shared" ca="1" si="57"/>
        <v>12</v>
      </c>
      <c r="C60" s="21">
        <f t="shared" ca="1" si="58"/>
        <v>13</v>
      </c>
      <c r="D60" s="1">
        <v>7</v>
      </c>
      <c r="E60">
        <f t="shared" si="59"/>
        <v>12</v>
      </c>
      <c r="F60" s="72">
        <f t="shared" si="75"/>
        <v>6225</v>
      </c>
      <c r="G60">
        <f>ROUND((E60+(30+30)/2)*AN60*兵攻防!A60/基本公式!$B$50,0)</f>
        <v>2520</v>
      </c>
      <c r="H60" s="76">
        <f>ROUND((E60+(基本公式!$B$180+基本公式!$B$28)/2)*AN60*兵攻防!A60/基本公式!$B$50,0)</f>
        <v>8220</v>
      </c>
      <c r="I60" s="1">
        <v>5</v>
      </c>
      <c r="J60">
        <f>ROUND(POWER($A$28*I60/100,$AM$28),0)</f>
        <v>10</v>
      </c>
      <c r="K60" s="18">
        <v>3</v>
      </c>
      <c r="L60">
        <f t="shared" ca="1" si="60"/>
        <v>11.55</v>
      </c>
      <c r="M60" s="1">
        <v>280</v>
      </c>
      <c r="N60" s="11">
        <f ca="1">OFFSET(其他表格!$G$2,M60/100,0)</f>
        <v>1.05</v>
      </c>
      <c r="O60" s="1">
        <v>2</v>
      </c>
      <c r="P60" s="11">
        <f ca="1">OFFSET(其他表格!$B$1,O60,0)</f>
        <v>1.1000000000000001</v>
      </c>
      <c r="Q60">
        <f t="shared" si="61"/>
        <v>31.8</v>
      </c>
      <c r="R60">
        <f>ROUND(($E$28+200)*$AN$28,2)</f>
        <v>30</v>
      </c>
      <c r="S60">
        <f>ROUND(POWER((E60+200-$J$28-200+AP60),2)/AO60,2)</f>
        <v>43.69</v>
      </c>
      <c r="T60">
        <f>ROUND(POWER(($E$28+200-J60-200+AP60),2)/AO60,2)</f>
        <v>40.020000000000003</v>
      </c>
      <c r="U60">
        <f t="shared" ca="1" si="62"/>
        <v>174</v>
      </c>
      <c r="V60">
        <f t="shared" ca="1" si="63"/>
        <v>162</v>
      </c>
      <c r="W60" s="15">
        <f t="shared" ca="1" si="64"/>
        <v>8.6999999999999994E-2</v>
      </c>
      <c r="X60" s="15">
        <f t="shared" ca="1" si="65"/>
        <v>8.1000000000000003E-2</v>
      </c>
      <c r="Y60"/>
      <c r="Z60"/>
      <c r="AA60"/>
      <c r="AB60" s="15"/>
      <c r="AC60"/>
      <c r="AD60" s="10"/>
      <c r="AE60" s="10"/>
      <c r="AF60" s="15"/>
      <c r="AG60" s="10"/>
      <c r="AH60" s="10"/>
      <c r="AI60" s="15"/>
      <c r="AJ60" s="10"/>
      <c r="AK60" s="10"/>
      <c r="AL60" s="15"/>
      <c r="AM60" s="8">
        <v>0.5</v>
      </c>
      <c r="AN60" s="8">
        <v>0.15</v>
      </c>
      <c r="AO60" s="8">
        <v>6000</v>
      </c>
      <c r="AP60" s="8">
        <v>500</v>
      </c>
      <c r="AQ60" s="8">
        <v>20000</v>
      </c>
      <c r="AS60">
        <f t="shared" ca="1" si="66"/>
        <v>58</v>
      </c>
      <c r="AT60">
        <f t="shared" si="67"/>
        <v>538</v>
      </c>
      <c r="AU60" s="15">
        <f t="shared" ca="1" si="68"/>
        <v>2.9000000000000001E-2</v>
      </c>
      <c r="AV60" s="64">
        <f ca="1">ROUND((AW60+其他表格!K8+基本公式!$B$84)*OFFSET(其他表格!$N$1,兵攻防!O60,0)+OFFSET(其他表格!$P$1,M60/100,0),4)</f>
        <v>0.108</v>
      </c>
      <c r="AW60" s="35">
        <v>0.1</v>
      </c>
      <c r="AX60" s="1">
        <v>131</v>
      </c>
      <c r="AY60">
        <f t="shared" si="69"/>
        <v>81</v>
      </c>
      <c r="AZ60">
        <f t="shared" si="70"/>
        <v>784</v>
      </c>
      <c r="BA60">
        <f t="shared" si="71"/>
        <v>62</v>
      </c>
      <c r="BB60" s="31">
        <f t="shared" si="72"/>
        <v>206</v>
      </c>
      <c r="BC60">
        <f t="shared" si="73"/>
        <v>19</v>
      </c>
      <c r="BD60" s="31">
        <f t="shared" si="74"/>
        <v>578</v>
      </c>
      <c r="BE60">
        <f>基本公式!$B$183</f>
        <v>30</v>
      </c>
      <c r="BF60">
        <f>基本公式!$B$182</f>
        <v>150</v>
      </c>
      <c r="BG60" s="8">
        <v>300</v>
      </c>
      <c r="BH60" s="8">
        <v>60000</v>
      </c>
      <c r="BI60" s="8">
        <v>200</v>
      </c>
      <c r="BJ60" s="8">
        <v>11500</v>
      </c>
    </row>
    <row r="61" spans="1:62">
      <c r="A61">
        <v>5000</v>
      </c>
      <c r="B61" s="19">
        <f t="shared" ca="1" si="57"/>
        <v>50</v>
      </c>
      <c r="C61" s="21">
        <f t="shared" ca="1" si="58"/>
        <v>50</v>
      </c>
      <c r="D61" s="1">
        <v>7</v>
      </c>
      <c r="E61">
        <f t="shared" si="59"/>
        <v>19</v>
      </c>
      <c r="F61" s="72">
        <f t="shared" si="75"/>
        <v>16613</v>
      </c>
      <c r="G61">
        <f>ROUND((E61+(30+30)/2)*AN61*兵攻防!A61/基本公式!$B$50,0)</f>
        <v>7350</v>
      </c>
      <c r="H61" s="76">
        <f>ROUND((E61+(基本公式!$B$180+基本公式!$B$28)/2)*AN61*兵攻防!A61/基本公式!$B$50,0)</f>
        <v>21600</v>
      </c>
      <c r="I61" s="1">
        <v>5</v>
      </c>
      <c r="J61">
        <f>ROUND(POWER($A$29*I61/100,$AM$29),0)</f>
        <v>16</v>
      </c>
      <c r="K61" s="18">
        <v>3</v>
      </c>
      <c r="L61">
        <f t="shared" ca="1" si="60"/>
        <v>11.55</v>
      </c>
      <c r="M61" s="1">
        <v>280</v>
      </c>
      <c r="N61" s="11">
        <f ca="1">OFFSET(其他表格!$G$2,M61/100,0)</f>
        <v>1.05</v>
      </c>
      <c r="O61" s="1">
        <v>2</v>
      </c>
      <c r="P61" s="11">
        <f ca="1">OFFSET(其他表格!$B$1,O61,0)</f>
        <v>1.1000000000000001</v>
      </c>
      <c r="Q61">
        <f t="shared" si="61"/>
        <v>32.85</v>
      </c>
      <c r="R61">
        <f>ROUND(($E$29+200)*$AN$29,2)</f>
        <v>30</v>
      </c>
      <c r="S61">
        <f>ROUND(POWER((E61+200-$J$29-200+AP61),2)/AO61,2)</f>
        <v>44.89</v>
      </c>
      <c r="T61">
        <f>ROUND(POWER(($E$29+200-J61-200+AP61),2)/AO61,2)</f>
        <v>39.04</v>
      </c>
      <c r="U61">
        <f t="shared" ca="1" si="62"/>
        <v>449</v>
      </c>
      <c r="V61">
        <f t="shared" ca="1" si="63"/>
        <v>399</v>
      </c>
      <c r="W61" s="15">
        <f t="shared" ca="1" si="64"/>
        <v>8.9800000000000005E-2</v>
      </c>
      <c r="X61" s="15">
        <f t="shared" ca="1" si="65"/>
        <v>7.9799999999999996E-2</v>
      </c>
      <c r="Y61"/>
      <c r="Z61"/>
      <c r="AA61"/>
      <c r="AB61" s="15"/>
      <c r="AC61"/>
      <c r="AD61" s="10"/>
      <c r="AE61" s="10"/>
      <c r="AF61" s="15"/>
      <c r="AG61" s="10"/>
      <c r="AH61" s="10"/>
      <c r="AI61" s="15"/>
      <c r="AJ61" s="10"/>
      <c r="AK61" s="10"/>
      <c r="AL61" s="15"/>
      <c r="AM61" s="8">
        <v>0.5</v>
      </c>
      <c r="AN61" s="8">
        <v>0.15</v>
      </c>
      <c r="AO61" s="8">
        <v>6000</v>
      </c>
      <c r="AP61" s="8">
        <v>500</v>
      </c>
      <c r="AQ61" s="8">
        <v>20000</v>
      </c>
      <c r="AS61">
        <f t="shared" ca="1" si="66"/>
        <v>165</v>
      </c>
      <c r="AT61">
        <f t="shared" si="67"/>
        <v>1345</v>
      </c>
      <c r="AU61" s="15">
        <f t="shared" ca="1" si="68"/>
        <v>3.3000000000000002E-2</v>
      </c>
      <c r="AV61" s="64">
        <f ca="1">ROUND((AW61+其他表格!K9+基本公式!$B$84)*OFFSET(其他表格!$N$1,兵攻防!O61,0)+OFFSET(其他表格!$P$1,M61/100,0),4)</f>
        <v>0.12280000000000001</v>
      </c>
      <c r="AW61" s="35">
        <v>0.1</v>
      </c>
      <c r="AX61" s="1">
        <v>131</v>
      </c>
      <c r="AY61">
        <f>BA61+BC61</f>
        <v>204</v>
      </c>
      <c r="AZ61">
        <f>BB61+BD61</f>
        <v>1960</v>
      </c>
      <c r="BA61">
        <f t="shared" si="71"/>
        <v>156</v>
      </c>
      <c r="BB61" s="31">
        <f t="shared" si="72"/>
        <v>515</v>
      </c>
      <c r="BC61">
        <f t="shared" si="73"/>
        <v>48</v>
      </c>
      <c r="BD61" s="31">
        <f t="shared" si="74"/>
        <v>1445</v>
      </c>
      <c r="BE61">
        <f>基本公式!$B$183</f>
        <v>30</v>
      </c>
      <c r="BF61">
        <f>基本公式!$B$182</f>
        <v>150</v>
      </c>
      <c r="BG61" s="8">
        <v>300</v>
      </c>
      <c r="BH61" s="8">
        <v>60000</v>
      </c>
      <c r="BI61" s="8">
        <v>200</v>
      </c>
      <c r="BJ61" s="8">
        <v>11500</v>
      </c>
    </row>
    <row r="63" spans="1:62" s="23" customFormat="1">
      <c r="A63" s="23" t="s">
        <v>76</v>
      </c>
      <c r="B63" s="26" t="s">
        <v>72</v>
      </c>
      <c r="C63" s="26" t="s">
        <v>199</v>
      </c>
      <c r="F63" s="75"/>
      <c r="H63" s="78"/>
      <c r="K63" s="63"/>
      <c r="AR63" s="30"/>
      <c r="AV63" s="21"/>
      <c r="AW63" s="37"/>
      <c r="AX63" s="27"/>
      <c r="BB63" s="33"/>
      <c r="BD63" s="33"/>
      <c r="BG63" s="8"/>
      <c r="BH63" s="8"/>
    </row>
    <row r="64" spans="1:62">
      <c r="A64">
        <v>100</v>
      </c>
      <c r="B64" s="19">
        <f t="shared" ref="B64:B69" ca="1" si="76">ROUND(((U64-$U$29)+($V$29-V64)),0)</f>
        <v>0</v>
      </c>
      <c r="C64" s="21">
        <f t="shared" ref="C64:C69" si="77">C40</f>
        <v>13</v>
      </c>
      <c r="D64" s="1">
        <v>15</v>
      </c>
      <c r="E64">
        <f t="shared" ref="E64:E69" si="78">ROUND(POWER(A64*D64/100,AM64),0)</f>
        <v>4</v>
      </c>
      <c r="F64" s="72">
        <f>ROUND(G64*0.35+H64*0.65,0)</f>
        <v>287</v>
      </c>
      <c r="G64">
        <f>ROUND((E64+(30+30)/2)*AN64*兵攻防!A64/基本公式!$B$50,0)</f>
        <v>102</v>
      </c>
      <c r="H64" s="76">
        <f>ROUND((E64+(基本公式!$B$180+基本公式!$B$28)/2)*AN64*兵攻防!A64/基本公式!$B$50,0)</f>
        <v>387</v>
      </c>
      <c r="I64" s="1">
        <v>12</v>
      </c>
      <c r="J64">
        <f>ROUND(POWER($A$24*I64/100,$AM$24),0)</f>
        <v>3</v>
      </c>
      <c r="K64" s="18">
        <v>3</v>
      </c>
      <c r="L64">
        <f t="shared" ref="L64:L69" ca="1" si="79">ROUND(30/K64*P64*N64,2)</f>
        <v>13.75</v>
      </c>
      <c r="M64" s="1">
        <v>320</v>
      </c>
      <c r="N64" s="11">
        <f ca="1">OFFSET(其他表格!$G$2,M64/100,0)</f>
        <v>1.1000000000000001</v>
      </c>
      <c r="O64" s="1">
        <v>3</v>
      </c>
      <c r="P64" s="11">
        <f ca="1">OFFSET(其他表格!$B$1,O64,0)</f>
        <v>1.25</v>
      </c>
      <c r="Q64">
        <f t="shared" ref="Q64:Q69" si="80">ROUND((E64+200)*AN64,2)</f>
        <v>30.6</v>
      </c>
      <c r="R64">
        <f>ROUND(($E$24+200)*$AN$24,2)</f>
        <v>30</v>
      </c>
      <c r="S64">
        <f>ROUND(POWER((E64+200-$J$24-200+AP64),2)/AO64,2)</f>
        <v>42.34</v>
      </c>
      <c r="T64">
        <f>ROUND(POWER(($E$24+200-J64-200+AP64),2)/AO64,2)</f>
        <v>41.17</v>
      </c>
      <c r="U64">
        <f t="shared" ref="U64:U69" ca="1" si="81">ROUND((Q64+S64)*(A64+A64)/AQ64*L64,0)</f>
        <v>10</v>
      </c>
      <c r="V64">
        <f t="shared" ref="V64:V69" ca="1" si="82">ROUND((R64+T64)*(A64+A64)/AQ64*L64,0)</f>
        <v>10</v>
      </c>
      <c r="W64" s="15">
        <f t="shared" ref="W64:W69" ca="1" si="83">MIN(ROUND(U64/A64,4),1)</f>
        <v>0.1</v>
      </c>
      <c r="X64" s="15">
        <f t="shared" ref="X64:X69" ca="1" si="84">MIN(ROUND(V64/A64,4),1)</f>
        <v>0.1</v>
      </c>
      <c r="Y64"/>
      <c r="Z64"/>
      <c r="AA64"/>
      <c r="AB64" s="15"/>
      <c r="AC64"/>
      <c r="AD64" s="10"/>
      <c r="AE64" s="10"/>
      <c r="AF64" s="15"/>
      <c r="AG64" s="10"/>
      <c r="AH64" s="10"/>
      <c r="AI64" s="15"/>
      <c r="AJ64" s="10"/>
      <c r="AK64" s="10"/>
      <c r="AL64" s="15"/>
      <c r="AM64" s="8">
        <v>0.5</v>
      </c>
      <c r="AN64" s="8">
        <v>0.15</v>
      </c>
      <c r="AO64" s="8">
        <v>6000</v>
      </c>
      <c r="AP64" s="8">
        <v>500</v>
      </c>
      <c r="AQ64" s="8">
        <v>20000</v>
      </c>
      <c r="AS64">
        <f t="shared" ref="AS64:AS69" ca="1" si="85">ROUND(AT64*AV64,0)</f>
        <v>4</v>
      </c>
      <c r="AT64">
        <f t="shared" ref="AT64:AT69" si="86">ROUND(AY64*0.35+AZ64*0.65,0)</f>
        <v>37</v>
      </c>
      <c r="AU64" s="15">
        <f t="shared" ref="AU64:AU69" ca="1" si="87">ROUND(AS64/A64,4)</f>
        <v>0.04</v>
      </c>
      <c r="AV64" s="64">
        <f ca="1">ROUND((AW64+其他表格!K4+基本公式!$B$84)*OFFSET(其他表格!$N$1,兵攻防!O64,0)+OFFSET(其他表格!$P$1,M64/100,0),4)</f>
        <v>0.10639999999999999</v>
      </c>
      <c r="AW64" s="35">
        <v>0.1</v>
      </c>
      <c r="AX64" s="1">
        <v>154</v>
      </c>
      <c r="AY64">
        <f t="shared" ref="AY64:AY68" si="88">BA64+BC64</f>
        <v>5</v>
      </c>
      <c r="AZ64">
        <f t="shared" ref="AZ64:AZ68" si="89">BB64+BD64</f>
        <v>54</v>
      </c>
      <c r="BA64">
        <f t="shared" ref="BA64:BA69" si="90">ROUND(POWER(AX64/10*(BE64+BG64),2)/BH64*(A64+A64)/AQ64,0)</f>
        <v>4</v>
      </c>
      <c r="BB64" s="31">
        <f t="shared" ref="BB64:BB69" si="91">ROUND(POWER(AX64/10*(BF64*2+BG64),2)/BH64*(A64+A64)/AQ64,0)</f>
        <v>14</v>
      </c>
      <c r="BC64">
        <f t="shared" ref="BC64:BC69" si="92">ROUND(POWER(AX64/10*(BE64-BF64+BI64),2)/BJ64*(A64+A64)/AQ64,0)</f>
        <v>1</v>
      </c>
      <c r="BD64" s="31">
        <f t="shared" ref="BD64:BD69" si="93">ROUND(POWER(AX64/10*(BF64*2-BE64*2+BI64),2)/BJ64*(A64+A64)/AQ64,0)</f>
        <v>40</v>
      </c>
      <c r="BE64">
        <f>基本公式!$B$183</f>
        <v>30</v>
      </c>
      <c r="BF64">
        <f>基本公式!$B$182</f>
        <v>150</v>
      </c>
      <c r="BG64" s="8">
        <v>300</v>
      </c>
      <c r="BH64" s="8">
        <v>60000</v>
      </c>
      <c r="BI64" s="8">
        <v>200</v>
      </c>
      <c r="BJ64" s="8">
        <v>11500</v>
      </c>
    </row>
    <row r="65" spans="1:62">
      <c r="A65">
        <v>200</v>
      </c>
      <c r="B65" s="19">
        <f t="shared" ca="1" si="76"/>
        <v>1</v>
      </c>
      <c r="C65" s="21">
        <f t="shared" ca="1" si="77"/>
        <v>2</v>
      </c>
      <c r="D65" s="1">
        <v>15</v>
      </c>
      <c r="E65">
        <f t="shared" si="78"/>
        <v>5</v>
      </c>
      <c r="F65" s="72">
        <f t="shared" ref="F65:F69" si="94">ROUND(G65*0.35+H65*0.65,0)</f>
        <v>581</v>
      </c>
      <c r="G65">
        <f>ROUND((E65+(30+30)/2)*AN65*兵攻防!A65/基本公式!$B$50,0)</f>
        <v>210</v>
      </c>
      <c r="H65" s="76">
        <f>ROUND((E65+(基本公式!$B$180+基本公式!$B$28)/2)*AN65*兵攻防!A65/基本公式!$B$50,0)</f>
        <v>780</v>
      </c>
      <c r="I65" s="1">
        <v>12</v>
      </c>
      <c r="J65">
        <f>ROUND(POWER($A$25*I65/100,$AM$25),0)</f>
        <v>5</v>
      </c>
      <c r="K65" s="18">
        <v>3</v>
      </c>
      <c r="L65">
        <f t="shared" ca="1" si="79"/>
        <v>13.75</v>
      </c>
      <c r="M65" s="1">
        <v>320</v>
      </c>
      <c r="N65" s="11">
        <f ca="1">OFFSET(其他表格!$G$2,M65/100,0)</f>
        <v>1.1000000000000001</v>
      </c>
      <c r="O65" s="1">
        <v>3</v>
      </c>
      <c r="P65" s="11">
        <f ca="1">OFFSET(其他表格!$B$1,O65,0)</f>
        <v>1.25</v>
      </c>
      <c r="Q65">
        <f t="shared" si="80"/>
        <v>30.75</v>
      </c>
      <c r="R65">
        <f>ROUND(($E$25+200)*$AN$25,2)</f>
        <v>30</v>
      </c>
      <c r="S65">
        <f>ROUND(POWER((E65+200-$J$25-200+AP65),2)/AO65,2)</f>
        <v>42.5</v>
      </c>
      <c r="T65">
        <f>ROUND(POWER(($E$25+200-J65-200+AP65),2)/AO65,2)</f>
        <v>40.840000000000003</v>
      </c>
      <c r="U65">
        <f t="shared" ca="1" si="81"/>
        <v>20</v>
      </c>
      <c r="V65">
        <f t="shared" ca="1" si="82"/>
        <v>19</v>
      </c>
      <c r="W65" s="15">
        <f t="shared" ca="1" si="83"/>
        <v>0.1</v>
      </c>
      <c r="X65" s="15">
        <f t="shared" ca="1" si="84"/>
        <v>9.5000000000000001E-2</v>
      </c>
      <c r="Y65"/>
      <c r="Z65"/>
      <c r="AA65"/>
      <c r="AB65" s="15"/>
      <c r="AC65"/>
      <c r="AD65" s="10"/>
      <c r="AE65" s="10"/>
      <c r="AF65" s="15"/>
      <c r="AG65" s="10"/>
      <c r="AH65" s="10"/>
      <c r="AI65" s="15"/>
      <c r="AJ65" s="10"/>
      <c r="AK65" s="10"/>
      <c r="AL65" s="15"/>
      <c r="AM65" s="8">
        <v>0.5</v>
      </c>
      <c r="AN65" s="8">
        <v>0.15</v>
      </c>
      <c r="AO65" s="8">
        <v>6000</v>
      </c>
      <c r="AP65" s="8">
        <v>500</v>
      </c>
      <c r="AQ65" s="8">
        <v>20000</v>
      </c>
      <c r="AS65">
        <f t="shared" ca="1" si="85"/>
        <v>9</v>
      </c>
      <c r="AT65">
        <f t="shared" si="86"/>
        <v>74</v>
      </c>
      <c r="AU65" s="15">
        <f t="shared" ca="1" si="87"/>
        <v>4.4999999999999998E-2</v>
      </c>
      <c r="AV65" s="64">
        <f ca="1">ROUND((AW65+其他表格!K5+基本公式!$B$84)*OFFSET(其他表格!$N$1,兵攻防!O65,0)+OFFSET(其他表格!$P$1,M65/100,0),4)</f>
        <v>0.1227</v>
      </c>
      <c r="AW65" s="35">
        <v>0.1</v>
      </c>
      <c r="AX65" s="1">
        <v>154</v>
      </c>
      <c r="AY65">
        <f t="shared" si="88"/>
        <v>12</v>
      </c>
      <c r="AZ65">
        <f t="shared" si="89"/>
        <v>108</v>
      </c>
      <c r="BA65">
        <f t="shared" si="90"/>
        <v>9</v>
      </c>
      <c r="BB65" s="31">
        <f t="shared" si="91"/>
        <v>28</v>
      </c>
      <c r="BC65">
        <f t="shared" si="92"/>
        <v>3</v>
      </c>
      <c r="BD65" s="31">
        <f t="shared" si="93"/>
        <v>80</v>
      </c>
      <c r="BE65">
        <f>基本公式!$B$183</f>
        <v>30</v>
      </c>
      <c r="BF65">
        <f>基本公式!$B$182</f>
        <v>150</v>
      </c>
      <c r="BG65" s="8">
        <v>300</v>
      </c>
      <c r="BH65" s="8">
        <v>60000</v>
      </c>
      <c r="BI65" s="8">
        <v>200</v>
      </c>
      <c r="BJ65" s="8">
        <v>11500</v>
      </c>
    </row>
    <row r="66" spans="1:62">
      <c r="A66">
        <v>500</v>
      </c>
      <c r="B66" s="19">
        <f t="shared" ca="1" si="76"/>
        <v>3</v>
      </c>
      <c r="C66" s="21">
        <f t="shared" ca="1" si="77"/>
        <v>3</v>
      </c>
      <c r="D66" s="1">
        <v>15</v>
      </c>
      <c r="E66">
        <f t="shared" si="78"/>
        <v>9</v>
      </c>
      <c r="F66" s="72">
        <f t="shared" si="94"/>
        <v>1511</v>
      </c>
      <c r="G66">
        <f>ROUND((E66+(30+30)/2)*AN66*兵攻防!A66/基本公式!$B$50,0)</f>
        <v>585</v>
      </c>
      <c r="H66" s="76">
        <f>ROUND((E66+(基本公式!$B$180+基本公式!$B$28)/2)*AN66*兵攻防!A66/基本公式!$B$50,0)</f>
        <v>2010</v>
      </c>
      <c r="I66" s="1">
        <v>12</v>
      </c>
      <c r="J66">
        <f>ROUND(POWER($A$26*I66/100,$AM$26),0)</f>
        <v>8</v>
      </c>
      <c r="K66" s="18">
        <v>3</v>
      </c>
      <c r="L66">
        <f t="shared" ca="1" si="79"/>
        <v>13.75</v>
      </c>
      <c r="M66" s="1">
        <v>320</v>
      </c>
      <c r="N66" s="11">
        <f ca="1">OFFSET(其他表格!$G$2,M66/100,0)</f>
        <v>1.1000000000000001</v>
      </c>
      <c r="O66" s="1">
        <v>3</v>
      </c>
      <c r="P66" s="11">
        <f ca="1">OFFSET(其他表格!$B$1,O66,0)</f>
        <v>1.25</v>
      </c>
      <c r="Q66">
        <f t="shared" si="80"/>
        <v>31.35</v>
      </c>
      <c r="R66">
        <f>ROUND(($E$26+200)*$AN$26,2)</f>
        <v>30</v>
      </c>
      <c r="S66">
        <f>ROUND(POWER((E66+200-$J$26-200+AP66),2)/AO66,2)</f>
        <v>43.18</v>
      </c>
      <c r="T66">
        <f>ROUND(POWER(($E$26+200-J66-200+AP66),2)/AO66,2)</f>
        <v>40.340000000000003</v>
      </c>
      <c r="U66">
        <f t="shared" ca="1" si="81"/>
        <v>51</v>
      </c>
      <c r="V66">
        <f t="shared" ca="1" si="82"/>
        <v>48</v>
      </c>
      <c r="W66" s="15">
        <f t="shared" ca="1" si="83"/>
        <v>0.10199999999999999</v>
      </c>
      <c r="X66" s="15">
        <f t="shared" ca="1" si="84"/>
        <v>9.6000000000000002E-2</v>
      </c>
      <c r="Y66"/>
      <c r="Z66"/>
      <c r="AA66"/>
      <c r="AB66" s="15"/>
      <c r="AC66"/>
      <c r="AD66" s="10"/>
      <c r="AE66" s="10"/>
      <c r="AF66" s="15"/>
      <c r="AG66" s="10"/>
      <c r="AH66" s="10"/>
      <c r="AI66" s="15"/>
      <c r="AJ66" s="10"/>
      <c r="AK66" s="10"/>
      <c r="AL66" s="15"/>
      <c r="AM66" s="8">
        <v>0.5</v>
      </c>
      <c r="AN66" s="8">
        <v>0.15</v>
      </c>
      <c r="AO66" s="8">
        <v>6000</v>
      </c>
      <c r="AP66" s="8">
        <v>500</v>
      </c>
      <c r="AQ66" s="8">
        <v>20000</v>
      </c>
      <c r="AS66">
        <f t="shared" ca="1" si="85"/>
        <v>26</v>
      </c>
      <c r="AT66">
        <f t="shared" si="86"/>
        <v>186</v>
      </c>
      <c r="AU66" s="15">
        <f t="shared" ca="1" si="87"/>
        <v>5.1999999999999998E-2</v>
      </c>
      <c r="AV66" s="64">
        <f ca="1">ROUND((AW66+其他表格!K6+基本公式!$B$84)*OFFSET(其他表格!$N$1,兵攻防!O66,0)+OFFSET(其他表格!$P$1,M66/100,0),4)</f>
        <v>0.1391</v>
      </c>
      <c r="AW66" s="35">
        <v>0.1</v>
      </c>
      <c r="AX66" s="1">
        <v>154</v>
      </c>
      <c r="AY66">
        <f t="shared" si="88"/>
        <v>29</v>
      </c>
      <c r="AZ66">
        <f t="shared" si="89"/>
        <v>271</v>
      </c>
      <c r="BA66">
        <f t="shared" si="90"/>
        <v>22</v>
      </c>
      <c r="BB66" s="31">
        <f t="shared" si="91"/>
        <v>71</v>
      </c>
      <c r="BC66">
        <f t="shared" si="92"/>
        <v>7</v>
      </c>
      <c r="BD66" s="31">
        <f t="shared" si="93"/>
        <v>200</v>
      </c>
      <c r="BE66">
        <f>基本公式!$B$183</f>
        <v>30</v>
      </c>
      <c r="BF66">
        <f>基本公式!$B$182</f>
        <v>150</v>
      </c>
      <c r="BG66" s="8">
        <v>300</v>
      </c>
      <c r="BH66" s="8">
        <v>60000</v>
      </c>
      <c r="BI66" s="8">
        <v>200</v>
      </c>
      <c r="BJ66" s="8">
        <v>11500</v>
      </c>
    </row>
    <row r="67" spans="1:62">
      <c r="A67">
        <v>1000</v>
      </c>
      <c r="B67" s="19">
        <f t="shared" ca="1" si="76"/>
        <v>8</v>
      </c>
      <c r="C67" s="21">
        <f t="shared" ca="1" si="77"/>
        <v>9</v>
      </c>
      <c r="D67" s="1">
        <v>15</v>
      </c>
      <c r="E67">
        <f t="shared" si="78"/>
        <v>12</v>
      </c>
      <c r="F67" s="72">
        <f t="shared" si="94"/>
        <v>3113</v>
      </c>
      <c r="G67">
        <f>ROUND((E67+(30+30)/2)*AN67*兵攻防!A67/基本公式!$B$50,0)</f>
        <v>1260</v>
      </c>
      <c r="H67" s="76">
        <f>ROUND((E67+(基本公式!$B$180+基本公式!$B$28)/2)*AN67*兵攻防!A67/基本公式!$B$50,0)</f>
        <v>4110</v>
      </c>
      <c r="I67" s="1">
        <v>12</v>
      </c>
      <c r="J67">
        <f>ROUND(POWER($A$27*I67/100,$AM$27),0)</f>
        <v>11</v>
      </c>
      <c r="K67" s="18">
        <v>3</v>
      </c>
      <c r="L67">
        <f t="shared" ca="1" si="79"/>
        <v>13.75</v>
      </c>
      <c r="M67" s="1">
        <v>320</v>
      </c>
      <c r="N67" s="11">
        <f ca="1">OFFSET(其他表格!$G$2,M67/100,0)</f>
        <v>1.1000000000000001</v>
      </c>
      <c r="O67" s="1">
        <v>3</v>
      </c>
      <c r="P67" s="11">
        <f ca="1">OFFSET(其他表格!$B$1,O67,0)</f>
        <v>1.25</v>
      </c>
      <c r="Q67">
        <f t="shared" si="80"/>
        <v>31.8</v>
      </c>
      <c r="R67">
        <f>ROUND(($E$27+200)*$AN$27,2)</f>
        <v>30</v>
      </c>
      <c r="S67">
        <f>ROUND(POWER((E67+200-$J$27-200+AP67),2)/AO67,2)</f>
        <v>43.69</v>
      </c>
      <c r="T67">
        <f>ROUND(POWER(($E$27+200-J67-200+AP67),2)/AO67,2)</f>
        <v>39.85</v>
      </c>
      <c r="U67">
        <f t="shared" ca="1" si="81"/>
        <v>104</v>
      </c>
      <c r="V67">
        <f t="shared" ca="1" si="82"/>
        <v>96</v>
      </c>
      <c r="W67" s="15">
        <f t="shared" ca="1" si="83"/>
        <v>0.104</v>
      </c>
      <c r="X67" s="15">
        <f t="shared" ca="1" si="84"/>
        <v>9.6000000000000002E-2</v>
      </c>
      <c r="Y67"/>
      <c r="Z67"/>
      <c r="AA67"/>
      <c r="AB67" s="15"/>
      <c r="AC67"/>
      <c r="AD67" s="10"/>
      <c r="AE67" s="10"/>
      <c r="AF67" s="15"/>
      <c r="AG67" s="10"/>
      <c r="AH67" s="10"/>
      <c r="AI67" s="15"/>
      <c r="AJ67" s="10"/>
      <c r="AK67" s="10"/>
      <c r="AL67" s="15"/>
      <c r="AM67" s="8">
        <v>0.5</v>
      </c>
      <c r="AN67" s="8">
        <v>0.15</v>
      </c>
      <c r="AO67" s="8">
        <v>6000</v>
      </c>
      <c r="AP67" s="8">
        <v>500</v>
      </c>
      <c r="AQ67" s="8">
        <v>20000</v>
      </c>
      <c r="AS67">
        <f t="shared" ca="1" si="85"/>
        <v>58</v>
      </c>
      <c r="AT67">
        <f t="shared" si="86"/>
        <v>371</v>
      </c>
      <c r="AU67" s="15">
        <f t="shared" ca="1" si="87"/>
        <v>5.8000000000000003E-2</v>
      </c>
      <c r="AV67" s="64">
        <f ca="1">ROUND((AW67+其他表格!K7+基本公式!$B$84)*OFFSET(其他表格!$N$1,兵攻防!O67,0)+OFFSET(其他表格!$P$1,M67/100,0),4)</f>
        <v>0.1555</v>
      </c>
      <c r="AW67" s="35">
        <v>0.1</v>
      </c>
      <c r="AX67" s="1">
        <v>154</v>
      </c>
      <c r="AY67">
        <f t="shared" si="88"/>
        <v>56</v>
      </c>
      <c r="AZ67">
        <f t="shared" si="89"/>
        <v>541</v>
      </c>
      <c r="BA67">
        <f t="shared" si="90"/>
        <v>43</v>
      </c>
      <c r="BB67" s="31">
        <f t="shared" si="91"/>
        <v>142</v>
      </c>
      <c r="BC67">
        <f t="shared" si="92"/>
        <v>13</v>
      </c>
      <c r="BD67" s="31">
        <f t="shared" si="93"/>
        <v>399</v>
      </c>
      <c r="BE67">
        <f>基本公式!$B$183</f>
        <v>30</v>
      </c>
      <c r="BF67">
        <f>基本公式!$B$182</f>
        <v>150</v>
      </c>
      <c r="BG67" s="8">
        <v>300</v>
      </c>
      <c r="BH67" s="8">
        <v>60000</v>
      </c>
      <c r="BI67" s="8">
        <v>200</v>
      </c>
      <c r="BJ67" s="8">
        <v>11500</v>
      </c>
    </row>
    <row r="68" spans="1:62">
      <c r="A68">
        <v>2000</v>
      </c>
      <c r="B68" s="19">
        <f t="shared" ca="1" si="76"/>
        <v>22</v>
      </c>
      <c r="C68" s="21">
        <f t="shared" ca="1" si="77"/>
        <v>22</v>
      </c>
      <c r="D68" s="1">
        <v>15</v>
      </c>
      <c r="E68">
        <f t="shared" si="78"/>
        <v>17</v>
      </c>
      <c r="F68" s="72">
        <f t="shared" si="94"/>
        <v>6525</v>
      </c>
      <c r="G68">
        <f>ROUND((E68+(30+30)/2)*AN68*兵攻防!A68/基本公式!$B$50,0)</f>
        <v>2820</v>
      </c>
      <c r="H68" s="76">
        <f>ROUND((E68+(基本公式!$B$180+基本公式!$B$28)/2)*AN68*兵攻防!A68/基本公式!$B$50,0)</f>
        <v>8520</v>
      </c>
      <c r="I68" s="1">
        <v>12</v>
      </c>
      <c r="J68">
        <f>ROUND(POWER($A$28*I68/100,$AM$28),0)</f>
        <v>15</v>
      </c>
      <c r="K68" s="18">
        <v>3</v>
      </c>
      <c r="L68">
        <f t="shared" ca="1" si="79"/>
        <v>13.75</v>
      </c>
      <c r="M68" s="1">
        <v>320</v>
      </c>
      <c r="N68" s="11">
        <f ca="1">OFFSET(其他表格!$G$2,M68/100,0)</f>
        <v>1.1000000000000001</v>
      </c>
      <c r="O68" s="1">
        <v>3</v>
      </c>
      <c r="P68" s="11">
        <f ca="1">OFFSET(其他表格!$B$1,O68,0)</f>
        <v>1.25</v>
      </c>
      <c r="Q68">
        <f t="shared" si="80"/>
        <v>32.549999999999997</v>
      </c>
      <c r="R68">
        <f>ROUND(($E$28+200)*$AN$28,2)</f>
        <v>30</v>
      </c>
      <c r="S68">
        <f>ROUND(POWER((E68+200-$J$28-200+AP68),2)/AO68,2)</f>
        <v>44.55</v>
      </c>
      <c r="T68">
        <f>ROUND(POWER(($E$28+200-J68-200+AP68),2)/AO68,2)</f>
        <v>39.200000000000003</v>
      </c>
      <c r="U68">
        <f t="shared" ca="1" si="81"/>
        <v>212</v>
      </c>
      <c r="V68">
        <f t="shared" ca="1" si="82"/>
        <v>190</v>
      </c>
      <c r="W68" s="15">
        <f t="shared" ca="1" si="83"/>
        <v>0.106</v>
      </c>
      <c r="X68" s="15">
        <f t="shared" ca="1" si="84"/>
        <v>9.5000000000000001E-2</v>
      </c>
      <c r="Y68"/>
      <c r="Z68"/>
      <c r="AA68"/>
      <c r="AB68" s="15"/>
      <c r="AC68"/>
      <c r="AD68" s="10"/>
      <c r="AE68" s="10"/>
      <c r="AF68" s="15"/>
      <c r="AG68" s="10"/>
      <c r="AH68" s="10"/>
      <c r="AI68" s="15"/>
      <c r="AJ68" s="10"/>
      <c r="AK68" s="10"/>
      <c r="AL68" s="15"/>
      <c r="AM68" s="8">
        <v>0.5</v>
      </c>
      <c r="AN68" s="8">
        <v>0.15</v>
      </c>
      <c r="AO68" s="8">
        <v>6000</v>
      </c>
      <c r="AP68" s="8">
        <v>500</v>
      </c>
      <c r="AQ68" s="8">
        <v>20000</v>
      </c>
      <c r="AS68">
        <f t="shared" ca="1" si="85"/>
        <v>130</v>
      </c>
      <c r="AT68">
        <f t="shared" si="86"/>
        <v>744</v>
      </c>
      <c r="AU68" s="15">
        <f t="shared" ca="1" si="87"/>
        <v>6.5000000000000002E-2</v>
      </c>
      <c r="AV68" s="64">
        <f ca="1">ROUND((AW68+其他表格!K8+基本公式!$B$84)*OFFSET(其他表格!$N$1,兵攻防!O68,0)+OFFSET(其他表格!$P$1,M68/100,0),4)</f>
        <v>0.17449999999999999</v>
      </c>
      <c r="AW68" s="35">
        <v>0.1</v>
      </c>
      <c r="AX68" s="1">
        <v>154</v>
      </c>
      <c r="AY68">
        <f t="shared" si="88"/>
        <v>112</v>
      </c>
      <c r="AZ68">
        <f t="shared" si="89"/>
        <v>1084</v>
      </c>
      <c r="BA68">
        <f t="shared" si="90"/>
        <v>86</v>
      </c>
      <c r="BB68" s="31">
        <f t="shared" si="91"/>
        <v>285</v>
      </c>
      <c r="BC68">
        <f t="shared" si="92"/>
        <v>26</v>
      </c>
      <c r="BD68" s="31">
        <f t="shared" si="93"/>
        <v>799</v>
      </c>
      <c r="BE68">
        <f>基本公式!$B$183</f>
        <v>30</v>
      </c>
      <c r="BF68">
        <f>基本公式!$B$182</f>
        <v>150</v>
      </c>
      <c r="BG68" s="8">
        <v>300</v>
      </c>
      <c r="BH68" s="8">
        <v>60000</v>
      </c>
      <c r="BI68" s="8">
        <v>200</v>
      </c>
      <c r="BJ68" s="8">
        <v>11500</v>
      </c>
    </row>
    <row r="69" spans="1:62">
      <c r="A69">
        <v>5000</v>
      </c>
      <c r="B69" s="19">
        <f t="shared" ca="1" si="76"/>
        <v>86</v>
      </c>
      <c r="C69" s="21">
        <f t="shared" ca="1" si="77"/>
        <v>85</v>
      </c>
      <c r="D69" s="1">
        <v>15</v>
      </c>
      <c r="E69">
        <f t="shared" si="78"/>
        <v>27</v>
      </c>
      <c r="F69" s="72">
        <f t="shared" si="94"/>
        <v>17813</v>
      </c>
      <c r="G69">
        <f>ROUND((E69+(30+30)/2)*AN69*兵攻防!A69/基本公式!$B$50,0)</f>
        <v>8550</v>
      </c>
      <c r="H69" s="76">
        <f>ROUND((E69+(基本公式!$B$180+基本公式!$B$28)/2)*AN69*兵攻防!A69/基本公式!$B$50,0)</f>
        <v>22800</v>
      </c>
      <c r="I69" s="1">
        <v>12</v>
      </c>
      <c r="J69">
        <f>ROUND(POWER($A$29*I69/100,$AM$29),0)</f>
        <v>24</v>
      </c>
      <c r="K69" s="18">
        <v>3</v>
      </c>
      <c r="L69">
        <f t="shared" ca="1" si="79"/>
        <v>13.75</v>
      </c>
      <c r="M69" s="1">
        <v>320</v>
      </c>
      <c r="N69" s="11">
        <f ca="1">OFFSET(其他表格!$G$2,M69/100,0)</f>
        <v>1.1000000000000001</v>
      </c>
      <c r="O69" s="1">
        <v>3</v>
      </c>
      <c r="P69" s="11">
        <f ca="1">OFFSET(其他表格!$B$1,O69,0)</f>
        <v>1.25</v>
      </c>
      <c r="Q69">
        <f t="shared" si="80"/>
        <v>34.049999999999997</v>
      </c>
      <c r="R69">
        <f>ROUND(($E$29+200)*$AN$29,2)</f>
        <v>30</v>
      </c>
      <c r="S69">
        <f>ROUND(POWER((E69+200-$J$29-200+AP69),2)/AO69,2)</f>
        <v>46.29</v>
      </c>
      <c r="T69">
        <f>ROUND(POWER(($E$29+200-J69-200+AP69),2)/AO69,2)</f>
        <v>37.76</v>
      </c>
      <c r="U69">
        <f t="shared" ca="1" si="81"/>
        <v>552</v>
      </c>
      <c r="V69">
        <f t="shared" ca="1" si="82"/>
        <v>466</v>
      </c>
      <c r="W69" s="15">
        <f t="shared" ca="1" si="83"/>
        <v>0.1104</v>
      </c>
      <c r="X69" s="15">
        <f t="shared" ca="1" si="84"/>
        <v>9.3200000000000005E-2</v>
      </c>
      <c r="Y69"/>
      <c r="Z69"/>
      <c r="AA69"/>
      <c r="AB69" s="15"/>
      <c r="AC69"/>
      <c r="AD69" s="10"/>
      <c r="AE69" s="10"/>
      <c r="AF69" s="15"/>
      <c r="AG69" s="10"/>
      <c r="AH69" s="10"/>
      <c r="AI69" s="15"/>
      <c r="AJ69" s="10"/>
      <c r="AK69" s="10"/>
      <c r="AL69" s="15"/>
      <c r="AM69" s="8">
        <v>0.5</v>
      </c>
      <c r="AN69" s="8">
        <v>0.15</v>
      </c>
      <c r="AO69" s="8">
        <v>6000</v>
      </c>
      <c r="AP69" s="8">
        <v>500</v>
      </c>
      <c r="AQ69" s="8">
        <v>20000</v>
      </c>
      <c r="AS69">
        <f t="shared" ca="1" si="85"/>
        <v>365</v>
      </c>
      <c r="AT69">
        <f t="shared" si="86"/>
        <v>1858</v>
      </c>
      <c r="AU69" s="15">
        <f t="shared" ca="1" si="87"/>
        <v>7.2999999999999995E-2</v>
      </c>
      <c r="AV69" s="64">
        <f ca="1">ROUND((AW69+其他表格!K9+基本公式!$B$84)*OFFSET(其他表格!$N$1,兵攻防!O69,0)+OFFSET(其他表格!$P$1,M69/100,0),4)</f>
        <v>0.19639999999999999</v>
      </c>
      <c r="AW69" s="35">
        <v>0.1</v>
      </c>
      <c r="AX69" s="1">
        <v>154</v>
      </c>
      <c r="AY69">
        <f>BA69+BC69</f>
        <v>281</v>
      </c>
      <c r="AZ69">
        <f>BB69+BD69</f>
        <v>2707</v>
      </c>
      <c r="BA69">
        <f t="shared" si="90"/>
        <v>215</v>
      </c>
      <c r="BB69" s="31">
        <f t="shared" si="91"/>
        <v>711</v>
      </c>
      <c r="BC69">
        <f t="shared" si="92"/>
        <v>66</v>
      </c>
      <c r="BD69" s="31">
        <f t="shared" si="93"/>
        <v>1996</v>
      </c>
      <c r="BE69">
        <f>基本公式!$B$183</f>
        <v>30</v>
      </c>
      <c r="BF69">
        <f>基本公式!$B$182</f>
        <v>150</v>
      </c>
      <c r="BG69" s="8">
        <v>300</v>
      </c>
      <c r="BH69" s="8">
        <v>60000</v>
      </c>
      <c r="BI69" s="8">
        <v>200</v>
      </c>
      <c r="BJ69" s="8">
        <v>11500</v>
      </c>
    </row>
    <row r="71" spans="1:62" s="23" customFormat="1">
      <c r="A71" s="23" t="s">
        <v>77</v>
      </c>
      <c r="B71" s="26" t="s">
        <v>73</v>
      </c>
      <c r="C71" s="26" t="s">
        <v>200</v>
      </c>
      <c r="F71" s="75"/>
      <c r="H71" s="78"/>
      <c r="K71" s="63"/>
      <c r="AR71" s="30"/>
      <c r="AV71" s="21"/>
      <c r="AW71" s="37"/>
      <c r="AX71" s="27"/>
      <c r="BB71" s="33"/>
      <c r="BD71" s="33"/>
      <c r="BG71" s="8"/>
      <c r="BH71" s="8"/>
    </row>
    <row r="72" spans="1:62">
      <c r="A72">
        <v>100</v>
      </c>
      <c r="B72" s="19">
        <f t="shared" ref="B72:B77" ca="1" si="95">ROUND(((U72-$U$29)+($V$29-V72)),0)</f>
        <v>0</v>
      </c>
      <c r="C72" s="21">
        <f t="shared" ref="C72:C77" si="96">C48</f>
        <v>22</v>
      </c>
      <c r="D72" s="1">
        <v>108</v>
      </c>
      <c r="E72">
        <f t="shared" ref="E72:E77" si="97">ROUND(POWER(A72*D72/100,AM72),0)</f>
        <v>10</v>
      </c>
      <c r="F72" s="72">
        <f>ROUND(G72*0.35+H72*0.65,0)</f>
        <v>305</v>
      </c>
      <c r="G72">
        <f>ROUND((E72+(30+30)/2)*AN72*兵攻防!A72/基本公式!$B$50,0)</f>
        <v>120</v>
      </c>
      <c r="H72" s="76">
        <f>ROUND((E72+(基本公式!$B$180+基本公式!$B$28)/2)*AN72*兵攻防!A72/基本公式!$B$50,0)</f>
        <v>405</v>
      </c>
      <c r="I72" s="1">
        <v>90</v>
      </c>
      <c r="J72">
        <f>ROUND(POWER($A$24*I72/100,$AM$24),0)</f>
        <v>9</v>
      </c>
      <c r="K72" s="18">
        <v>3</v>
      </c>
      <c r="L72">
        <f t="shared" ref="L72:L77" ca="1" si="98">ROUND(30/K72*P72*N72,2)</f>
        <v>8.4</v>
      </c>
      <c r="M72" s="1">
        <v>500</v>
      </c>
      <c r="N72" s="11">
        <f ca="1">OFFSET(其他表格!$G$2,M72/100,0)</f>
        <v>1.2000000000000002</v>
      </c>
      <c r="O72" s="1">
        <v>1</v>
      </c>
      <c r="P72" s="11">
        <f ca="1">OFFSET(其他表格!$B$1,O72,0)</f>
        <v>0.7</v>
      </c>
      <c r="Q72">
        <f t="shared" ref="Q72:Q77" si="99">ROUND((E72+200)*AN72,2)</f>
        <v>31.5</v>
      </c>
      <c r="R72">
        <f>ROUND(($E$24+200)*$AN$24,2)</f>
        <v>30</v>
      </c>
      <c r="S72">
        <f>ROUND(POWER((E72+200-$J$24-200+AP72),2)/AO72,2)</f>
        <v>43.35</v>
      </c>
      <c r="T72">
        <f>ROUND(POWER(($E$24+200-J72-200+AP72),2)/AO72,2)</f>
        <v>40.18</v>
      </c>
      <c r="U72">
        <f t="shared" ref="U72:U77" ca="1" si="100">ROUND((Q72+S72)*(A72+A72)/AQ72*L72,0)</f>
        <v>6</v>
      </c>
      <c r="V72">
        <f t="shared" ref="V72:V77" ca="1" si="101">ROUND((R72+T72)*(A72+A72)/AQ72*L72,0)</f>
        <v>6</v>
      </c>
      <c r="W72" s="15">
        <f t="shared" ref="W72:W77" ca="1" si="102">MIN(ROUND(U72/A72,4),1)</f>
        <v>0.06</v>
      </c>
      <c r="X72" s="15">
        <f t="shared" ref="X72:X77" ca="1" si="103">MIN(ROUND(V72/A72,4),1)</f>
        <v>0.06</v>
      </c>
      <c r="Y72"/>
      <c r="Z72"/>
      <c r="AA72"/>
      <c r="AB72" s="15"/>
      <c r="AC72"/>
      <c r="AD72" s="10"/>
      <c r="AE72" s="10"/>
      <c r="AF72" s="15"/>
      <c r="AG72" s="10"/>
      <c r="AH72" s="10"/>
      <c r="AI72" s="15"/>
      <c r="AJ72" s="10"/>
      <c r="AK72" s="10"/>
      <c r="AL72" s="15"/>
      <c r="AM72" s="8">
        <v>0.5</v>
      </c>
      <c r="AN72" s="8">
        <v>0.15</v>
      </c>
      <c r="AO72" s="8">
        <v>6000</v>
      </c>
      <c r="AP72" s="8">
        <v>500</v>
      </c>
      <c r="AQ72" s="8">
        <v>20000</v>
      </c>
      <c r="AS72">
        <f t="shared" ref="AS72:AS77" ca="1" si="104">ROUND(AT72*AV72,0)</f>
        <v>9</v>
      </c>
      <c r="AT72">
        <f t="shared" ref="AT72:AT77" si="105">ROUND(AY72*0.35+AZ72*0.65,0)</f>
        <v>78</v>
      </c>
      <c r="AU72" s="15">
        <f t="shared" ref="AU72:AU77" ca="1" si="106">ROUND(AS72/A72,4)</f>
        <v>0.09</v>
      </c>
      <c r="AV72" s="64">
        <f ca="1">ROUND((AW72+其他表格!K4+基本公式!$B$84)*OFFSET(其他表格!$N$1,兵攻防!O72,0)+OFFSET(其他表格!$P$1,M72/100,0),4)</f>
        <v>0.1139</v>
      </c>
      <c r="AW72" s="35">
        <v>0.1</v>
      </c>
      <c r="AX72" s="1">
        <v>223</v>
      </c>
      <c r="AY72">
        <f t="shared" ref="AY72:AY76" si="107">BA72+BC72</f>
        <v>12</v>
      </c>
      <c r="AZ72">
        <f t="shared" ref="AZ72:AZ76" si="108">BB72+BD72</f>
        <v>114</v>
      </c>
      <c r="BA72">
        <f t="shared" ref="BA72:BA77" si="109">ROUND(POWER(AX72/10*(BE72+BG72),2)/BH72*(A72+A72)/AQ72,0)</f>
        <v>9</v>
      </c>
      <c r="BB72" s="31">
        <f t="shared" ref="BB72:BB77" si="110">ROUND(POWER(AX72/10*(BF72*2+BG72),2)/BH72*(A72+A72)/AQ72,0)</f>
        <v>30</v>
      </c>
      <c r="BC72">
        <f t="shared" ref="BC72:BC77" si="111">ROUND(POWER(AX72/10*(BE72-BF72+BI72),2)/BJ72*(A72+A72)/AQ72,0)</f>
        <v>3</v>
      </c>
      <c r="BD72" s="31">
        <f t="shared" ref="BD72:BD77" si="112">ROUND(POWER(AX72/10*(BF72*2-BE72*2+BI72),2)/BJ72*(A72+A72)/AQ72,0)</f>
        <v>84</v>
      </c>
      <c r="BE72">
        <f>基本公式!$B$183</f>
        <v>30</v>
      </c>
      <c r="BF72">
        <f>基本公式!$B$182</f>
        <v>150</v>
      </c>
      <c r="BG72" s="8">
        <v>300</v>
      </c>
      <c r="BH72" s="8">
        <v>60000</v>
      </c>
      <c r="BI72" s="8">
        <v>200</v>
      </c>
      <c r="BJ72" s="8">
        <v>11500</v>
      </c>
    </row>
    <row r="73" spans="1:62">
      <c r="A73">
        <v>200</v>
      </c>
      <c r="B73" s="19">
        <f t="shared" ca="1" si="95"/>
        <v>1</v>
      </c>
      <c r="C73" s="21">
        <f t="shared" ca="1" si="96"/>
        <v>3</v>
      </c>
      <c r="D73" s="1">
        <v>108</v>
      </c>
      <c r="E73">
        <f t="shared" si="97"/>
        <v>15</v>
      </c>
      <c r="F73" s="72">
        <f t="shared" ref="F73:F77" si="113">ROUND(G73*0.35+H73*0.65,0)</f>
        <v>641</v>
      </c>
      <c r="G73">
        <f>ROUND((E73+(30+30)/2)*AN73*兵攻防!A73/基本公式!$B$50,0)</f>
        <v>270</v>
      </c>
      <c r="H73" s="76">
        <f>ROUND((E73+(基本公式!$B$180+基本公式!$B$28)/2)*AN73*兵攻防!A73/基本公式!$B$50,0)</f>
        <v>840</v>
      </c>
      <c r="I73" s="1">
        <v>90</v>
      </c>
      <c r="J73">
        <f>ROUND(POWER($A$25*I73/100,$AM$25),0)</f>
        <v>13</v>
      </c>
      <c r="K73" s="18">
        <v>3</v>
      </c>
      <c r="L73">
        <f t="shared" ca="1" si="98"/>
        <v>8.4</v>
      </c>
      <c r="M73" s="1">
        <v>500</v>
      </c>
      <c r="N73" s="11">
        <f ca="1">OFFSET(其他表格!$G$2,M73/100,0)</f>
        <v>1.2000000000000002</v>
      </c>
      <c r="O73" s="1">
        <v>1</v>
      </c>
      <c r="P73" s="11">
        <f ca="1">OFFSET(其他表格!$B$1,O73,0)</f>
        <v>0.7</v>
      </c>
      <c r="Q73">
        <f t="shared" si="99"/>
        <v>32.25</v>
      </c>
      <c r="R73">
        <f>ROUND(($E$25+200)*$AN$25,2)</f>
        <v>30</v>
      </c>
      <c r="S73">
        <f>ROUND(POWER((E73+200-$J$25-200+AP73),2)/AO73,2)</f>
        <v>44.2</v>
      </c>
      <c r="T73">
        <f>ROUND(POWER(($E$25+200-J73-200+AP73),2)/AO73,2)</f>
        <v>39.53</v>
      </c>
      <c r="U73">
        <f t="shared" ca="1" si="100"/>
        <v>13</v>
      </c>
      <c r="V73">
        <f t="shared" ca="1" si="101"/>
        <v>12</v>
      </c>
      <c r="W73" s="15">
        <f t="shared" ca="1" si="102"/>
        <v>6.5000000000000002E-2</v>
      </c>
      <c r="X73" s="15">
        <f t="shared" ca="1" si="103"/>
        <v>0.06</v>
      </c>
      <c r="Y73"/>
      <c r="Z73"/>
      <c r="AA73"/>
      <c r="AB73" s="15"/>
      <c r="AC73"/>
      <c r="AD73" s="10"/>
      <c r="AE73" s="10"/>
      <c r="AF73" s="15"/>
      <c r="AG73" s="10"/>
      <c r="AH73" s="10"/>
      <c r="AI73" s="15"/>
      <c r="AJ73" s="10"/>
      <c r="AK73" s="10"/>
      <c r="AL73" s="15"/>
      <c r="AM73" s="8">
        <v>0.5</v>
      </c>
      <c r="AN73" s="8">
        <v>0.15</v>
      </c>
      <c r="AO73" s="8">
        <v>6000</v>
      </c>
      <c r="AP73" s="8">
        <v>500</v>
      </c>
      <c r="AQ73" s="8">
        <v>20000</v>
      </c>
      <c r="AS73">
        <f t="shared" ca="1" si="104"/>
        <v>19</v>
      </c>
      <c r="AT73">
        <f t="shared" si="105"/>
        <v>156</v>
      </c>
      <c r="AU73" s="15">
        <f t="shared" ca="1" si="106"/>
        <v>9.5000000000000001E-2</v>
      </c>
      <c r="AV73" s="64">
        <f ca="1">ROUND((AW73+其他表格!K5+基本公式!$B$84)*OFFSET(其他表格!$N$1,兵攻防!O73,0)+OFFSET(其他表格!$P$1,M73/100,0),4)</f>
        <v>0.1191</v>
      </c>
      <c r="AW73" s="35">
        <v>0.1</v>
      </c>
      <c r="AX73" s="1">
        <v>223</v>
      </c>
      <c r="AY73">
        <f t="shared" si="107"/>
        <v>24</v>
      </c>
      <c r="AZ73">
        <f t="shared" si="108"/>
        <v>227</v>
      </c>
      <c r="BA73">
        <f t="shared" si="109"/>
        <v>18</v>
      </c>
      <c r="BB73" s="31">
        <f t="shared" si="110"/>
        <v>60</v>
      </c>
      <c r="BC73">
        <f t="shared" si="111"/>
        <v>6</v>
      </c>
      <c r="BD73" s="31">
        <f t="shared" si="112"/>
        <v>167</v>
      </c>
      <c r="BE73">
        <f>基本公式!$B$183</f>
        <v>30</v>
      </c>
      <c r="BF73">
        <f>基本公式!$B$182</f>
        <v>150</v>
      </c>
      <c r="BG73" s="8">
        <v>300</v>
      </c>
      <c r="BH73" s="8">
        <v>60000</v>
      </c>
      <c r="BI73" s="8">
        <v>200</v>
      </c>
      <c r="BJ73" s="8">
        <v>11500</v>
      </c>
    </row>
    <row r="74" spans="1:62">
      <c r="A74">
        <v>500</v>
      </c>
      <c r="B74" s="19">
        <f t="shared" ca="1" si="95"/>
        <v>4</v>
      </c>
      <c r="C74" s="21">
        <f t="shared" ca="1" si="96"/>
        <v>5</v>
      </c>
      <c r="D74" s="1">
        <v>108</v>
      </c>
      <c r="E74">
        <f t="shared" si="97"/>
        <v>23</v>
      </c>
      <c r="F74" s="72">
        <f t="shared" si="113"/>
        <v>1721</v>
      </c>
      <c r="G74">
        <f>ROUND((E74+(30+30)/2)*AN74*兵攻防!A74/基本公式!$B$50,0)</f>
        <v>795</v>
      </c>
      <c r="H74" s="76">
        <f>ROUND((E74+(基本公式!$B$180+基本公式!$B$28)/2)*AN74*兵攻防!A74/基本公式!$B$50,0)</f>
        <v>2220</v>
      </c>
      <c r="I74" s="1">
        <v>90</v>
      </c>
      <c r="J74">
        <f>ROUND(POWER($A$26*I74/100,$AM$26),0)</f>
        <v>21</v>
      </c>
      <c r="K74" s="18">
        <v>3</v>
      </c>
      <c r="L74">
        <f t="shared" ca="1" si="98"/>
        <v>8.4</v>
      </c>
      <c r="M74" s="1">
        <v>500</v>
      </c>
      <c r="N74" s="11">
        <f ca="1">OFFSET(其他表格!$G$2,M74/100,0)</f>
        <v>1.2000000000000002</v>
      </c>
      <c r="O74" s="1">
        <v>1</v>
      </c>
      <c r="P74" s="11">
        <f ca="1">OFFSET(其他表格!$B$1,O74,0)</f>
        <v>0.7</v>
      </c>
      <c r="Q74">
        <f t="shared" si="99"/>
        <v>33.450000000000003</v>
      </c>
      <c r="R74">
        <f>ROUND(($E$26+200)*$AN$26,2)</f>
        <v>30</v>
      </c>
      <c r="S74">
        <f>ROUND(POWER((E74+200-$J$26-200+AP74),2)/AO74,2)</f>
        <v>45.59</v>
      </c>
      <c r="T74">
        <f>ROUND(POWER(($E$26+200-J74-200+AP74),2)/AO74,2)</f>
        <v>38.24</v>
      </c>
      <c r="U74">
        <f t="shared" ca="1" si="100"/>
        <v>33</v>
      </c>
      <c r="V74">
        <f t="shared" ca="1" si="101"/>
        <v>29</v>
      </c>
      <c r="W74" s="15">
        <f t="shared" ca="1" si="102"/>
        <v>6.6000000000000003E-2</v>
      </c>
      <c r="X74" s="15">
        <f t="shared" ca="1" si="103"/>
        <v>5.8000000000000003E-2</v>
      </c>
      <c r="Y74"/>
      <c r="Z74"/>
      <c r="AA74"/>
      <c r="AB74" s="15"/>
      <c r="AC74"/>
      <c r="AD74" s="10"/>
      <c r="AE74" s="10"/>
      <c r="AF74" s="15"/>
      <c r="AG74" s="10"/>
      <c r="AH74" s="10"/>
      <c r="AI74" s="15"/>
      <c r="AJ74" s="10"/>
      <c r="AK74" s="10"/>
      <c r="AL74" s="15"/>
      <c r="AM74" s="8">
        <v>0.5</v>
      </c>
      <c r="AN74" s="8">
        <v>0.15</v>
      </c>
      <c r="AO74" s="8">
        <v>6000</v>
      </c>
      <c r="AP74" s="8">
        <v>500</v>
      </c>
      <c r="AQ74" s="8">
        <v>20000</v>
      </c>
      <c r="AS74">
        <f t="shared" ca="1" si="104"/>
        <v>48</v>
      </c>
      <c r="AT74">
        <f t="shared" si="105"/>
        <v>390</v>
      </c>
      <c r="AU74" s="15">
        <f t="shared" ca="1" si="106"/>
        <v>9.6000000000000002E-2</v>
      </c>
      <c r="AV74" s="64">
        <f ca="1">ROUND((AW74+其他表格!K6+基本公式!$B$84)*OFFSET(其他表格!$N$1,兵攻防!O74,0)+OFFSET(其他表格!$P$1,M74/100,0),4)</f>
        <v>0.1242</v>
      </c>
      <c r="AW74" s="35">
        <v>0.1</v>
      </c>
      <c r="AX74" s="1">
        <v>223</v>
      </c>
      <c r="AY74">
        <f t="shared" si="107"/>
        <v>59</v>
      </c>
      <c r="AZ74">
        <f t="shared" si="108"/>
        <v>568</v>
      </c>
      <c r="BA74">
        <f t="shared" si="109"/>
        <v>45</v>
      </c>
      <c r="BB74" s="31">
        <f t="shared" si="110"/>
        <v>149</v>
      </c>
      <c r="BC74">
        <f t="shared" si="111"/>
        <v>14</v>
      </c>
      <c r="BD74" s="31">
        <f t="shared" si="112"/>
        <v>419</v>
      </c>
      <c r="BE74">
        <f>基本公式!$B$183</f>
        <v>30</v>
      </c>
      <c r="BF74">
        <f>基本公式!$B$182</f>
        <v>150</v>
      </c>
      <c r="BG74" s="8">
        <v>300</v>
      </c>
      <c r="BH74" s="8">
        <v>60000</v>
      </c>
      <c r="BI74" s="8">
        <v>200</v>
      </c>
      <c r="BJ74" s="8">
        <v>11500</v>
      </c>
    </row>
    <row r="75" spans="1:62">
      <c r="A75">
        <v>1000</v>
      </c>
      <c r="B75" s="19">
        <f t="shared" ca="1" si="95"/>
        <v>13</v>
      </c>
      <c r="C75" s="21">
        <f t="shared" ca="1" si="96"/>
        <v>15</v>
      </c>
      <c r="D75" s="1">
        <v>108</v>
      </c>
      <c r="E75">
        <f t="shared" si="97"/>
        <v>33</v>
      </c>
      <c r="F75" s="72">
        <f t="shared" si="113"/>
        <v>3743</v>
      </c>
      <c r="G75">
        <f>ROUND((E75+(30+30)/2)*AN75*兵攻防!A75/基本公式!$B$50,0)</f>
        <v>1890</v>
      </c>
      <c r="H75" s="76">
        <f>ROUND((E75+(基本公式!$B$180+基本公式!$B$28)/2)*AN75*兵攻防!A75/基本公式!$B$50,0)</f>
        <v>4740</v>
      </c>
      <c r="I75" s="1">
        <v>90</v>
      </c>
      <c r="J75">
        <f>ROUND(POWER($A$27*I75/100,$AM$27),0)</f>
        <v>30</v>
      </c>
      <c r="K75" s="18">
        <v>3</v>
      </c>
      <c r="L75">
        <f t="shared" ca="1" si="98"/>
        <v>8.4</v>
      </c>
      <c r="M75" s="1">
        <v>500</v>
      </c>
      <c r="N75" s="11">
        <f ca="1">OFFSET(其他表格!$G$2,M75/100,0)</f>
        <v>1.2000000000000002</v>
      </c>
      <c r="O75" s="1">
        <v>1</v>
      </c>
      <c r="P75" s="11">
        <f ca="1">OFFSET(其他表格!$B$1,O75,0)</f>
        <v>0.7</v>
      </c>
      <c r="Q75">
        <f t="shared" si="99"/>
        <v>34.950000000000003</v>
      </c>
      <c r="R75">
        <f>ROUND(($E$27+200)*$AN$27,2)</f>
        <v>30</v>
      </c>
      <c r="S75">
        <f>ROUND(POWER((E75+200-$J$27-200+AP75),2)/AO75,2)</f>
        <v>47.35</v>
      </c>
      <c r="T75">
        <f>ROUND(POWER(($E$27+200-J75-200+AP75),2)/AO75,2)</f>
        <v>36.82</v>
      </c>
      <c r="U75">
        <f t="shared" ca="1" si="100"/>
        <v>69</v>
      </c>
      <c r="V75">
        <f t="shared" ca="1" si="101"/>
        <v>56</v>
      </c>
      <c r="W75" s="15">
        <f t="shared" ca="1" si="102"/>
        <v>6.9000000000000006E-2</v>
      </c>
      <c r="X75" s="15">
        <f t="shared" ca="1" si="103"/>
        <v>5.6000000000000001E-2</v>
      </c>
      <c r="Y75"/>
      <c r="Z75"/>
      <c r="AA75"/>
      <c r="AB75" s="15"/>
      <c r="AC75"/>
      <c r="AD75" s="10"/>
      <c r="AE75" s="10"/>
      <c r="AF75" s="15"/>
      <c r="AG75" s="10"/>
      <c r="AH75" s="10"/>
      <c r="AI75" s="15"/>
      <c r="AJ75" s="10"/>
      <c r="AK75" s="10"/>
      <c r="AL75" s="15"/>
      <c r="AM75" s="8">
        <v>0.5</v>
      </c>
      <c r="AN75" s="8">
        <v>0.15</v>
      </c>
      <c r="AO75" s="8">
        <v>6000</v>
      </c>
      <c r="AP75" s="8">
        <v>500</v>
      </c>
      <c r="AQ75" s="8">
        <v>20000</v>
      </c>
      <c r="AS75">
        <f t="shared" ca="1" si="104"/>
        <v>101</v>
      </c>
      <c r="AT75">
        <f t="shared" si="105"/>
        <v>779</v>
      </c>
      <c r="AU75" s="15">
        <f t="shared" ca="1" si="106"/>
        <v>0.10100000000000001</v>
      </c>
      <c r="AV75" s="64">
        <f ca="1">ROUND((AW75+其他表格!K7+基本公式!$B$84)*OFFSET(其他表格!$N$1,兵攻防!O75,0)+OFFSET(其他表格!$P$1,M75/100,0),4)</f>
        <v>0.1293</v>
      </c>
      <c r="AW75" s="35">
        <v>0.1</v>
      </c>
      <c r="AX75" s="1">
        <v>223</v>
      </c>
      <c r="AY75">
        <f t="shared" si="107"/>
        <v>118</v>
      </c>
      <c r="AZ75">
        <f t="shared" si="108"/>
        <v>1135</v>
      </c>
      <c r="BA75">
        <f t="shared" si="109"/>
        <v>90</v>
      </c>
      <c r="BB75" s="31">
        <f t="shared" si="110"/>
        <v>298</v>
      </c>
      <c r="BC75">
        <f t="shared" si="111"/>
        <v>28</v>
      </c>
      <c r="BD75" s="31">
        <f t="shared" si="112"/>
        <v>837</v>
      </c>
      <c r="BE75">
        <f>基本公式!$B$183</f>
        <v>30</v>
      </c>
      <c r="BF75">
        <f>基本公式!$B$182</f>
        <v>150</v>
      </c>
      <c r="BG75" s="8">
        <v>300</v>
      </c>
      <c r="BH75" s="8">
        <v>60000</v>
      </c>
      <c r="BI75" s="8">
        <v>200</v>
      </c>
      <c r="BJ75" s="8">
        <v>11500</v>
      </c>
    </row>
    <row r="76" spans="1:62">
      <c r="A76">
        <v>2000</v>
      </c>
      <c r="B76" s="19">
        <f t="shared" ca="1" si="95"/>
        <v>36</v>
      </c>
      <c r="C76" s="21">
        <f t="shared" ca="1" si="96"/>
        <v>37</v>
      </c>
      <c r="D76" s="1">
        <v>108</v>
      </c>
      <c r="E76">
        <f t="shared" si="97"/>
        <v>46</v>
      </c>
      <c r="F76" s="72">
        <f t="shared" si="113"/>
        <v>8265</v>
      </c>
      <c r="G76">
        <f>ROUND((E76+(30+30)/2)*AN76*兵攻防!A76/基本公式!$B$50,0)</f>
        <v>4560</v>
      </c>
      <c r="H76" s="76">
        <f>ROUND((E76+(基本公式!$B$180+基本公式!$B$28)/2)*AN76*兵攻防!A76/基本公式!$B$50,0)</f>
        <v>10260</v>
      </c>
      <c r="I76" s="1">
        <v>90</v>
      </c>
      <c r="J76">
        <f>ROUND(POWER($A$28*I76/100,$AM$28),0)</f>
        <v>42</v>
      </c>
      <c r="K76" s="18">
        <v>3</v>
      </c>
      <c r="L76">
        <f t="shared" ca="1" si="98"/>
        <v>8.4</v>
      </c>
      <c r="M76" s="1">
        <v>500</v>
      </c>
      <c r="N76" s="11">
        <f ca="1">OFFSET(其他表格!$G$2,M76/100,0)</f>
        <v>1.2000000000000002</v>
      </c>
      <c r="O76" s="1">
        <v>1</v>
      </c>
      <c r="P76" s="11">
        <f ca="1">OFFSET(其他表格!$B$1,O76,0)</f>
        <v>0.7</v>
      </c>
      <c r="Q76">
        <f t="shared" si="99"/>
        <v>36.9</v>
      </c>
      <c r="R76">
        <f>ROUND(($E$28+200)*$AN$28,2)</f>
        <v>30</v>
      </c>
      <c r="S76">
        <f>ROUND(POWER((E76+200-$J$28-200+AP76),2)/AO76,2)</f>
        <v>49.69</v>
      </c>
      <c r="T76">
        <f>ROUND(POWER(($E$28+200-J76-200+AP76),2)/AO76,2)</f>
        <v>34.96</v>
      </c>
      <c r="U76">
        <f t="shared" ca="1" si="100"/>
        <v>145</v>
      </c>
      <c r="V76">
        <f t="shared" ca="1" si="101"/>
        <v>109</v>
      </c>
      <c r="W76" s="15">
        <f t="shared" ca="1" si="102"/>
        <v>7.2499999999999995E-2</v>
      </c>
      <c r="X76" s="15">
        <f t="shared" ca="1" si="103"/>
        <v>5.45E-2</v>
      </c>
      <c r="Y76"/>
      <c r="Z76"/>
      <c r="AA76"/>
      <c r="AB76" s="15"/>
      <c r="AC76"/>
      <c r="AD76" s="10"/>
      <c r="AE76" s="10"/>
      <c r="AF76" s="15"/>
      <c r="AG76" s="10"/>
      <c r="AH76" s="10"/>
      <c r="AI76" s="15"/>
      <c r="AJ76" s="10"/>
      <c r="AK76" s="10"/>
      <c r="AL76" s="15"/>
      <c r="AM76" s="8">
        <v>0.5</v>
      </c>
      <c r="AN76" s="8">
        <v>0.15</v>
      </c>
      <c r="AO76" s="8">
        <v>6000</v>
      </c>
      <c r="AP76" s="8">
        <v>500</v>
      </c>
      <c r="AQ76" s="8">
        <v>20000</v>
      </c>
      <c r="AS76">
        <f t="shared" ca="1" si="104"/>
        <v>211</v>
      </c>
      <c r="AT76">
        <f t="shared" si="105"/>
        <v>1559</v>
      </c>
      <c r="AU76" s="15">
        <f t="shared" ca="1" si="106"/>
        <v>0.1055</v>
      </c>
      <c r="AV76" s="64">
        <f ca="1">ROUND((AW76+其他表格!K8+基本公式!$B$84)*OFFSET(其他表格!$N$1,兵攻防!O76,0)+OFFSET(其他表格!$P$1,M76/100,0),4)</f>
        <v>0.1353</v>
      </c>
      <c r="AW76" s="35">
        <v>0.1</v>
      </c>
      <c r="AX76" s="1">
        <v>223</v>
      </c>
      <c r="AY76">
        <f t="shared" si="107"/>
        <v>236</v>
      </c>
      <c r="AZ76">
        <f t="shared" si="108"/>
        <v>2271</v>
      </c>
      <c r="BA76">
        <f t="shared" si="109"/>
        <v>181</v>
      </c>
      <c r="BB76" s="31">
        <f t="shared" si="110"/>
        <v>597</v>
      </c>
      <c r="BC76">
        <f t="shared" si="111"/>
        <v>55</v>
      </c>
      <c r="BD76" s="31">
        <f t="shared" si="112"/>
        <v>1674</v>
      </c>
      <c r="BE76">
        <f>基本公式!$B$183</f>
        <v>30</v>
      </c>
      <c r="BF76">
        <f>基本公式!$B$182</f>
        <v>150</v>
      </c>
      <c r="BG76" s="8">
        <v>300</v>
      </c>
      <c r="BH76" s="8">
        <v>60000</v>
      </c>
      <c r="BI76" s="8">
        <v>200</v>
      </c>
      <c r="BJ76" s="8">
        <v>11500</v>
      </c>
    </row>
    <row r="77" spans="1:62">
      <c r="A77">
        <v>5000</v>
      </c>
      <c r="B77" s="19">
        <f t="shared" ca="1" si="95"/>
        <v>145</v>
      </c>
      <c r="C77" s="21">
        <f t="shared" ca="1" si="96"/>
        <v>145</v>
      </c>
      <c r="D77" s="1">
        <v>108</v>
      </c>
      <c r="E77">
        <f t="shared" si="97"/>
        <v>73</v>
      </c>
      <c r="F77" s="72">
        <f t="shared" si="113"/>
        <v>24713</v>
      </c>
      <c r="G77">
        <f>ROUND((E77+(30+30)/2)*AN77*兵攻防!A77/基本公式!$B$50,0)</f>
        <v>15450</v>
      </c>
      <c r="H77" s="76">
        <f>ROUND((E77+(基本公式!$B$180+基本公式!$B$28)/2)*AN77*兵攻防!A77/基本公式!$B$50,0)</f>
        <v>29700</v>
      </c>
      <c r="I77" s="1">
        <v>90</v>
      </c>
      <c r="J77">
        <f>ROUND(POWER($A$29*I77/100,$AM$29),0)</f>
        <v>67</v>
      </c>
      <c r="K77" s="18">
        <v>3</v>
      </c>
      <c r="L77">
        <f t="shared" ca="1" si="98"/>
        <v>8.4</v>
      </c>
      <c r="M77" s="1">
        <v>500</v>
      </c>
      <c r="N77" s="11">
        <f ca="1">OFFSET(其他表格!$G$2,M77/100,0)</f>
        <v>1.2000000000000002</v>
      </c>
      <c r="O77" s="1">
        <v>1</v>
      </c>
      <c r="P77" s="11">
        <f ca="1">OFFSET(其他表格!$B$1,O77,0)</f>
        <v>0.7</v>
      </c>
      <c r="Q77">
        <f t="shared" si="99"/>
        <v>40.950000000000003</v>
      </c>
      <c r="R77">
        <f>ROUND(($E$29+200)*$AN$29,2)</f>
        <v>30</v>
      </c>
      <c r="S77">
        <f>ROUND(POWER((E77+200-$J$29-200+AP77),2)/AO77,2)</f>
        <v>54.72</v>
      </c>
      <c r="T77">
        <f>ROUND(POWER(($E$29+200-J77-200+AP77),2)/AO77,2)</f>
        <v>31.25</v>
      </c>
      <c r="U77">
        <f t="shared" ca="1" si="100"/>
        <v>402</v>
      </c>
      <c r="V77">
        <f t="shared" ca="1" si="101"/>
        <v>257</v>
      </c>
      <c r="W77" s="15">
        <f t="shared" ca="1" si="102"/>
        <v>8.0399999999999999E-2</v>
      </c>
      <c r="X77" s="15">
        <f t="shared" ca="1" si="103"/>
        <v>5.1400000000000001E-2</v>
      </c>
      <c r="Y77"/>
      <c r="Z77"/>
      <c r="AA77"/>
      <c r="AB77" s="15"/>
      <c r="AC77"/>
      <c r="AD77" s="10"/>
      <c r="AE77" s="10"/>
      <c r="AF77" s="15"/>
      <c r="AG77" s="10"/>
      <c r="AH77" s="10"/>
      <c r="AI77" s="15"/>
      <c r="AJ77" s="10"/>
      <c r="AK77" s="10"/>
      <c r="AL77" s="15"/>
      <c r="AM77" s="8">
        <v>0.5</v>
      </c>
      <c r="AN77" s="8">
        <v>0.15</v>
      </c>
      <c r="AO77" s="8">
        <v>6000</v>
      </c>
      <c r="AP77" s="8">
        <v>500</v>
      </c>
      <c r="AQ77" s="8">
        <v>20000</v>
      </c>
      <c r="AS77">
        <f t="shared" ca="1" si="104"/>
        <v>554</v>
      </c>
      <c r="AT77">
        <f t="shared" si="105"/>
        <v>3897</v>
      </c>
      <c r="AU77" s="15">
        <f t="shared" ca="1" si="106"/>
        <v>0.1108</v>
      </c>
      <c r="AV77" s="64">
        <f ca="1">ROUND((AW77+其他表格!K9+基本公式!$B$84)*OFFSET(其他表格!$N$1,兵攻防!O77,0)+OFFSET(其他表格!$P$1,M77/100,0),4)</f>
        <v>0.1421</v>
      </c>
      <c r="AW77" s="35">
        <v>0.1</v>
      </c>
      <c r="AX77" s="1">
        <v>223</v>
      </c>
      <c r="AY77">
        <f>BA77+BC77</f>
        <v>589</v>
      </c>
      <c r="AZ77">
        <f>BB77+BD77</f>
        <v>5678</v>
      </c>
      <c r="BA77">
        <f t="shared" si="109"/>
        <v>451</v>
      </c>
      <c r="BB77" s="31">
        <f t="shared" si="110"/>
        <v>1492</v>
      </c>
      <c r="BC77">
        <f t="shared" si="111"/>
        <v>138</v>
      </c>
      <c r="BD77" s="31">
        <f t="shared" si="112"/>
        <v>4186</v>
      </c>
      <c r="BE77">
        <f>基本公式!$B$183</f>
        <v>30</v>
      </c>
      <c r="BF77">
        <f>基本公式!$B$182</f>
        <v>150</v>
      </c>
      <c r="BG77" s="8">
        <v>300</v>
      </c>
      <c r="BH77" s="8">
        <v>60000</v>
      </c>
      <c r="BI77" s="8">
        <v>200</v>
      </c>
      <c r="BJ77" s="8">
        <v>11500</v>
      </c>
    </row>
    <row r="79" spans="1:62" s="23" customFormat="1">
      <c r="A79" s="23" t="s">
        <v>78</v>
      </c>
      <c r="B79" s="26" t="s">
        <v>73</v>
      </c>
      <c r="C79" s="26" t="s">
        <v>195</v>
      </c>
      <c r="F79" s="75"/>
      <c r="H79" s="78"/>
      <c r="K79" s="63"/>
      <c r="AR79" s="30"/>
      <c r="AV79" s="21"/>
      <c r="AW79" s="37"/>
      <c r="AX79" s="27"/>
      <c r="BB79" s="33"/>
      <c r="BD79" s="33"/>
      <c r="BG79" s="8"/>
      <c r="BH79" s="8"/>
    </row>
    <row r="80" spans="1:62">
      <c r="A80">
        <v>100</v>
      </c>
      <c r="B80" s="19">
        <f t="shared" ref="B80:B85" ca="1" si="114">ROUND(((U80-$U$29)+($V$29-V80)),0)</f>
        <v>0</v>
      </c>
      <c r="C80" s="21">
        <f t="shared" ref="C80:C85" ca="1" si="115">C32</f>
        <v>0</v>
      </c>
      <c r="D80" s="1">
        <v>5</v>
      </c>
      <c r="E80">
        <f t="shared" ref="E80:E85" si="116">ROUND(POWER(A80*D80/100,AM80),0)</f>
        <v>2</v>
      </c>
      <c r="F80" s="72">
        <f>ROUND(G80*0.35+H80*0.65,0)</f>
        <v>281</v>
      </c>
      <c r="G80">
        <f>ROUND((E80+(30+30)/2)*AN80*兵攻防!A80/基本公式!$B$50,0)</f>
        <v>96</v>
      </c>
      <c r="H80" s="76">
        <f>ROUND((E80+(基本公式!$B$180+基本公式!$B$28)/2)*AN80*兵攻防!A80/基本公式!$B$50,0)</f>
        <v>381</v>
      </c>
      <c r="I80" s="1">
        <v>4</v>
      </c>
      <c r="J80">
        <f>ROUND(POWER($A$24*I80/100,$AM$24),0)</f>
        <v>2</v>
      </c>
      <c r="K80" s="18">
        <v>3</v>
      </c>
      <c r="L80">
        <f t="shared" ref="L80:L85" ca="1" si="117">ROUND(30/K80*P80*N80,2)</f>
        <v>13.75</v>
      </c>
      <c r="M80" s="1">
        <v>650</v>
      </c>
      <c r="N80" s="11">
        <f ca="1">OFFSET(其他表格!$G$2,M80/100,0)</f>
        <v>1.2500000000000002</v>
      </c>
      <c r="O80" s="1">
        <v>2</v>
      </c>
      <c r="P80" s="11">
        <f ca="1">OFFSET(其他表格!$B$1,O80,0)</f>
        <v>1.1000000000000001</v>
      </c>
      <c r="Q80">
        <f t="shared" ref="Q80:Q85" si="118">ROUND((E80+200)*AN80,2)</f>
        <v>30.3</v>
      </c>
      <c r="R80">
        <f>ROUND(($E$24+200)*$AN$24,2)</f>
        <v>30</v>
      </c>
      <c r="S80">
        <f>ROUND(POWER((E80+200-$J$24-200+AP80),2)/AO80,2)</f>
        <v>42</v>
      </c>
      <c r="T80">
        <f>ROUND(POWER(($E$24+200-J80-200+AP80),2)/AO80,2)</f>
        <v>41.33</v>
      </c>
      <c r="U80">
        <f t="shared" ref="U80:U85" ca="1" si="119">ROUND((Q80+S80)*(A80+A80)/AQ80*L80,0)</f>
        <v>10</v>
      </c>
      <c r="V80">
        <f t="shared" ref="V80:V85" ca="1" si="120">ROUND((R80+T80)*(A80+A80)/AQ80*L80,0)</f>
        <v>10</v>
      </c>
      <c r="W80" s="15">
        <f t="shared" ref="W80:W85" ca="1" si="121">MIN(ROUND(U80/A80,4),1)</f>
        <v>0.1</v>
      </c>
      <c r="X80" s="15">
        <f t="shared" ref="X80:X85" ca="1" si="122">MIN(ROUND(V80/A80,4),1)</f>
        <v>0.1</v>
      </c>
      <c r="Y80"/>
      <c r="Z80"/>
      <c r="AA80"/>
      <c r="AB80" s="15"/>
      <c r="AC80"/>
      <c r="AD80" s="10"/>
      <c r="AE80" s="10"/>
      <c r="AF80" s="15"/>
      <c r="AG80" s="10"/>
      <c r="AH80" s="10"/>
      <c r="AI80" s="15"/>
      <c r="AJ80" s="10"/>
      <c r="AK80" s="10"/>
      <c r="AL80" s="15"/>
      <c r="AM80" s="8">
        <v>0.5</v>
      </c>
      <c r="AN80" s="8">
        <v>0.15</v>
      </c>
      <c r="AO80" s="8">
        <v>6000</v>
      </c>
      <c r="AP80" s="8">
        <v>500</v>
      </c>
      <c r="AQ80" s="8">
        <v>20000</v>
      </c>
      <c r="AS80">
        <f t="shared" ref="AS80:AS85" ca="1" si="123">ROUND(AT80*AV80,0)</f>
        <v>2</v>
      </c>
      <c r="AT80">
        <f t="shared" ref="AT80:AT85" si="124">ROUND(AY80*0.35+AZ80*0.65,0)</f>
        <v>11</v>
      </c>
      <c r="AU80" s="15">
        <f t="shared" ref="AU80:AU85" ca="1" si="125">ROUND(AS80/A80,4)</f>
        <v>0.02</v>
      </c>
      <c r="AV80" s="64">
        <f ca="1">ROUND((AW80+其他表格!K4+基本公式!$B$84)*OFFSET(其他表格!$N$1,兵攻防!O80,0)+OFFSET(其他表格!$P$1,M80/100,0),4)</f>
        <v>0.17180000000000001</v>
      </c>
      <c r="AW80" s="35">
        <v>0.1</v>
      </c>
      <c r="AX80" s="1">
        <v>86</v>
      </c>
      <c r="AY80">
        <f t="shared" ref="AY80:AY84" si="126">BA80+BC80</f>
        <v>1</v>
      </c>
      <c r="AZ80">
        <f t="shared" ref="AZ80:AZ84" si="127">BB80+BD80</f>
        <v>16</v>
      </c>
      <c r="BA80">
        <f t="shared" ref="BA80:BA85" si="128">ROUND(POWER(AX80/10*(BE80+BG80),2)/BH80*(A80+A80)/AQ80,0)</f>
        <v>1</v>
      </c>
      <c r="BB80" s="31">
        <f t="shared" ref="BB80:BB85" si="129">ROUND(POWER(AX80/10*(BF80*2+BG80),2)/BH80*(A80+A80)/AQ80,0)</f>
        <v>4</v>
      </c>
      <c r="BC80">
        <f t="shared" ref="BC80:BC85" si="130">ROUND(POWER(AX80/10*(BE80-BF80+BI80),2)/BJ80*(A80+A80)/AQ80,0)</f>
        <v>0</v>
      </c>
      <c r="BD80" s="31">
        <f t="shared" ref="BD80:BD85" si="131">ROUND(POWER(AX80/10*(BF80*2-BE80*2+BI80),2)/BJ80*(A80+A80)/AQ80,0)</f>
        <v>12</v>
      </c>
      <c r="BE80">
        <f>基本公式!$B$183</f>
        <v>30</v>
      </c>
      <c r="BF80">
        <f>基本公式!$B$182</f>
        <v>150</v>
      </c>
      <c r="BG80" s="8">
        <v>300</v>
      </c>
      <c r="BH80" s="8">
        <v>60000</v>
      </c>
      <c r="BI80" s="8">
        <v>200</v>
      </c>
      <c r="BJ80" s="8">
        <v>11500</v>
      </c>
    </row>
    <row r="81" spans="1:62">
      <c r="A81">
        <v>200</v>
      </c>
      <c r="B81" s="19">
        <f t="shared" ca="1" si="114"/>
        <v>0</v>
      </c>
      <c r="C81" s="21">
        <f t="shared" ca="1" si="115"/>
        <v>1</v>
      </c>
      <c r="D81" s="1">
        <v>5</v>
      </c>
      <c r="E81">
        <f t="shared" si="116"/>
        <v>3</v>
      </c>
      <c r="F81" s="72">
        <f t="shared" ref="F81:F85" si="132">ROUND(G81*0.35+H81*0.65,0)</f>
        <v>569</v>
      </c>
      <c r="G81">
        <f>ROUND((E81+(30+30)/2)*AN81*兵攻防!A81/基本公式!$B$50,0)</f>
        <v>198</v>
      </c>
      <c r="H81" s="76">
        <f>ROUND((E81+(基本公式!$B$180+基本公式!$B$28)/2)*AN81*兵攻防!A81/基本公式!$B$50,0)</f>
        <v>768</v>
      </c>
      <c r="I81" s="1">
        <v>4</v>
      </c>
      <c r="J81">
        <f>ROUND(POWER($A$25*I81/100,$AM$25),0)</f>
        <v>3</v>
      </c>
      <c r="K81" s="18">
        <v>3</v>
      </c>
      <c r="L81">
        <f t="shared" ca="1" si="117"/>
        <v>13.75</v>
      </c>
      <c r="M81" s="1">
        <v>650</v>
      </c>
      <c r="N81" s="11">
        <f ca="1">OFFSET(其他表格!$G$2,M81/100,0)</f>
        <v>1.2500000000000002</v>
      </c>
      <c r="O81" s="1">
        <v>2</v>
      </c>
      <c r="P81" s="11">
        <f ca="1">OFFSET(其他表格!$B$1,O81,0)</f>
        <v>1.1000000000000001</v>
      </c>
      <c r="Q81">
        <f t="shared" si="118"/>
        <v>30.45</v>
      </c>
      <c r="R81">
        <f>ROUND(($E$25+200)*$AN$25,2)</f>
        <v>30</v>
      </c>
      <c r="S81">
        <f>ROUND(POWER((E81+200-$J$25-200+AP81),2)/AO81,2)</f>
        <v>42.17</v>
      </c>
      <c r="T81">
        <f>ROUND(POWER(($E$25+200-J81-200+AP81),2)/AO81,2)</f>
        <v>41.17</v>
      </c>
      <c r="U81">
        <f t="shared" ca="1" si="119"/>
        <v>20</v>
      </c>
      <c r="V81">
        <f t="shared" ca="1" si="120"/>
        <v>20</v>
      </c>
      <c r="W81" s="15">
        <f t="shared" ca="1" si="121"/>
        <v>0.1</v>
      </c>
      <c r="X81" s="15">
        <f t="shared" ca="1" si="122"/>
        <v>0.1</v>
      </c>
      <c r="Y81"/>
      <c r="Z81"/>
      <c r="AA81"/>
      <c r="AB81" s="15"/>
      <c r="AC81"/>
      <c r="AD81" s="10"/>
      <c r="AE81" s="10"/>
      <c r="AF81" s="15"/>
      <c r="AG81" s="10"/>
      <c r="AH81" s="10"/>
      <c r="AI81" s="15"/>
      <c r="AJ81" s="10"/>
      <c r="AK81" s="10"/>
      <c r="AL81" s="15"/>
      <c r="AM81" s="8">
        <v>0.5</v>
      </c>
      <c r="AN81" s="8">
        <v>0.15</v>
      </c>
      <c r="AO81" s="8">
        <v>6000</v>
      </c>
      <c r="AP81" s="8">
        <v>500</v>
      </c>
      <c r="AQ81" s="8">
        <v>20000</v>
      </c>
      <c r="AS81">
        <f t="shared" ca="1" si="123"/>
        <v>4</v>
      </c>
      <c r="AT81">
        <f t="shared" si="124"/>
        <v>24</v>
      </c>
      <c r="AU81" s="15">
        <f t="shared" ca="1" si="125"/>
        <v>0.02</v>
      </c>
      <c r="AV81" s="64">
        <f ca="1">ROUND((AW81+其他表格!K5+基本公式!$B$84)*OFFSET(其他表格!$N$1,兵攻防!O81,0)+OFFSET(其他表格!$P$1,M81/100,0),4)</f>
        <v>0.18290000000000001</v>
      </c>
      <c r="AW81" s="35">
        <v>0.1</v>
      </c>
      <c r="AX81" s="1">
        <v>86</v>
      </c>
      <c r="AY81">
        <f t="shared" si="126"/>
        <v>4</v>
      </c>
      <c r="AZ81">
        <f t="shared" si="127"/>
        <v>34</v>
      </c>
      <c r="BA81">
        <f t="shared" si="128"/>
        <v>3</v>
      </c>
      <c r="BB81" s="31">
        <f t="shared" si="129"/>
        <v>9</v>
      </c>
      <c r="BC81">
        <f t="shared" si="130"/>
        <v>1</v>
      </c>
      <c r="BD81" s="31">
        <f t="shared" si="131"/>
        <v>25</v>
      </c>
      <c r="BE81">
        <f>基本公式!$B$183</f>
        <v>30</v>
      </c>
      <c r="BF81">
        <f>基本公式!$B$182</f>
        <v>150</v>
      </c>
      <c r="BG81" s="8">
        <v>300</v>
      </c>
      <c r="BH81" s="8">
        <v>60000</v>
      </c>
      <c r="BI81" s="8">
        <v>200</v>
      </c>
      <c r="BJ81" s="8">
        <v>11500</v>
      </c>
    </row>
    <row r="82" spans="1:62">
      <c r="A82">
        <v>500</v>
      </c>
      <c r="B82" s="19">
        <f t="shared" ca="1" si="114"/>
        <v>1</v>
      </c>
      <c r="C82" s="21">
        <f t="shared" ca="1" si="115"/>
        <v>2</v>
      </c>
      <c r="D82" s="1">
        <v>5</v>
      </c>
      <c r="E82">
        <f t="shared" si="116"/>
        <v>5</v>
      </c>
      <c r="F82" s="72">
        <f t="shared" si="132"/>
        <v>1451</v>
      </c>
      <c r="G82">
        <f>ROUND((E82+(30+30)/2)*AN82*兵攻防!A82/基本公式!$B$50,0)</f>
        <v>525</v>
      </c>
      <c r="H82" s="76">
        <f>ROUND((E82+(基本公式!$B$180+基本公式!$B$28)/2)*AN82*兵攻防!A82/基本公式!$B$50,0)</f>
        <v>1950</v>
      </c>
      <c r="I82" s="1">
        <v>4</v>
      </c>
      <c r="J82">
        <f>ROUND(POWER($A$26*I82/100,$AM$26),0)</f>
        <v>4</v>
      </c>
      <c r="K82" s="18">
        <v>3</v>
      </c>
      <c r="L82">
        <f t="shared" ca="1" si="117"/>
        <v>13.75</v>
      </c>
      <c r="M82" s="1">
        <v>650</v>
      </c>
      <c r="N82" s="11">
        <f ca="1">OFFSET(其他表格!$G$2,M82/100,0)</f>
        <v>1.2500000000000002</v>
      </c>
      <c r="O82" s="1">
        <v>2</v>
      </c>
      <c r="P82" s="11">
        <f ca="1">OFFSET(其他表格!$B$1,O82,0)</f>
        <v>1.1000000000000001</v>
      </c>
      <c r="Q82">
        <f t="shared" si="118"/>
        <v>30.75</v>
      </c>
      <c r="R82">
        <f>ROUND(($E$26+200)*$AN$26,2)</f>
        <v>30</v>
      </c>
      <c r="S82">
        <f>ROUND(POWER((E82+200-$J$26-200+AP82),2)/AO82,2)</f>
        <v>42.5</v>
      </c>
      <c r="T82">
        <f>ROUND(POWER(($E$26+200-J82-200+AP82),2)/AO82,2)</f>
        <v>41</v>
      </c>
      <c r="U82">
        <f t="shared" ca="1" si="119"/>
        <v>50</v>
      </c>
      <c r="V82">
        <f t="shared" ca="1" si="120"/>
        <v>49</v>
      </c>
      <c r="W82" s="15">
        <f t="shared" ca="1" si="121"/>
        <v>0.1</v>
      </c>
      <c r="X82" s="15">
        <f t="shared" ca="1" si="122"/>
        <v>9.8000000000000004E-2</v>
      </c>
      <c r="Y82"/>
      <c r="Z82"/>
      <c r="AA82"/>
      <c r="AB82" s="15"/>
      <c r="AC82"/>
      <c r="AD82" s="10"/>
      <c r="AE82" s="10"/>
      <c r="AF82" s="15"/>
      <c r="AG82" s="10"/>
      <c r="AH82" s="10"/>
      <c r="AI82" s="15"/>
      <c r="AJ82" s="10"/>
      <c r="AK82" s="10"/>
      <c r="AL82" s="15"/>
      <c r="AM82" s="8">
        <v>0.5</v>
      </c>
      <c r="AN82" s="8">
        <v>0.15</v>
      </c>
      <c r="AO82" s="8">
        <v>6000</v>
      </c>
      <c r="AP82" s="8">
        <v>500</v>
      </c>
      <c r="AQ82" s="8">
        <v>20000</v>
      </c>
      <c r="AS82">
        <f t="shared" ca="1" si="123"/>
        <v>11</v>
      </c>
      <c r="AT82">
        <f t="shared" si="124"/>
        <v>58</v>
      </c>
      <c r="AU82" s="15">
        <f t="shared" ca="1" si="125"/>
        <v>2.1999999999999999E-2</v>
      </c>
      <c r="AV82" s="64">
        <f ca="1">ROUND((AW82+其他表格!K6+基本公式!$B$84)*OFFSET(其他表格!$N$1,兵攻防!O82,0)+OFFSET(其他表格!$P$1,M82/100,0),4)</f>
        <v>0.19400000000000001</v>
      </c>
      <c r="AW82" s="35">
        <v>0.1</v>
      </c>
      <c r="AX82" s="1">
        <v>86</v>
      </c>
      <c r="AY82">
        <f t="shared" si="126"/>
        <v>9</v>
      </c>
      <c r="AZ82">
        <f t="shared" si="127"/>
        <v>84</v>
      </c>
      <c r="BA82">
        <f t="shared" si="128"/>
        <v>7</v>
      </c>
      <c r="BB82" s="31">
        <f t="shared" si="129"/>
        <v>22</v>
      </c>
      <c r="BC82">
        <f t="shared" si="130"/>
        <v>2</v>
      </c>
      <c r="BD82" s="31">
        <f t="shared" si="131"/>
        <v>62</v>
      </c>
      <c r="BE82">
        <f>基本公式!$B$183</f>
        <v>30</v>
      </c>
      <c r="BF82">
        <f>基本公式!$B$182</f>
        <v>150</v>
      </c>
      <c r="BG82" s="8">
        <v>300</v>
      </c>
      <c r="BH82" s="8">
        <v>60000</v>
      </c>
      <c r="BI82" s="8">
        <v>200</v>
      </c>
      <c r="BJ82" s="8">
        <v>11500</v>
      </c>
    </row>
    <row r="83" spans="1:62">
      <c r="A83">
        <v>1000</v>
      </c>
      <c r="B83" s="19">
        <f t="shared" ca="1" si="114"/>
        <v>5</v>
      </c>
      <c r="C83" s="21">
        <f t="shared" ca="1" si="115"/>
        <v>5</v>
      </c>
      <c r="D83" s="1">
        <v>5</v>
      </c>
      <c r="E83">
        <f t="shared" si="116"/>
        <v>7</v>
      </c>
      <c r="F83" s="72">
        <f t="shared" si="132"/>
        <v>2963</v>
      </c>
      <c r="G83">
        <f>ROUND((E83+(30+30)/2)*AN83*兵攻防!A83/基本公式!$B$50,0)</f>
        <v>1110</v>
      </c>
      <c r="H83" s="76">
        <f>ROUND((E83+(基本公式!$B$180+基本公式!$B$28)/2)*AN83*兵攻防!A83/基本公式!$B$50,0)</f>
        <v>3960</v>
      </c>
      <c r="I83" s="1">
        <v>4</v>
      </c>
      <c r="J83">
        <f>ROUND(POWER($A$27*I83/100,$AM$27),0)</f>
        <v>6</v>
      </c>
      <c r="K83" s="18">
        <v>3</v>
      </c>
      <c r="L83">
        <f t="shared" ca="1" si="117"/>
        <v>13.75</v>
      </c>
      <c r="M83" s="1">
        <v>650</v>
      </c>
      <c r="N83" s="11">
        <f ca="1">OFFSET(其他表格!$G$2,M83/100,0)</f>
        <v>1.2500000000000002</v>
      </c>
      <c r="O83" s="1">
        <v>2</v>
      </c>
      <c r="P83" s="11">
        <f ca="1">OFFSET(其他表格!$B$1,O83,0)</f>
        <v>1.1000000000000001</v>
      </c>
      <c r="Q83">
        <f t="shared" si="118"/>
        <v>31.05</v>
      </c>
      <c r="R83">
        <f>ROUND(($E$27+200)*$AN$27,2)</f>
        <v>30</v>
      </c>
      <c r="S83">
        <f>ROUND(POWER((E83+200-$J$27-200+AP83),2)/AO83,2)</f>
        <v>42.84</v>
      </c>
      <c r="T83">
        <f>ROUND(POWER(($E$27+200-J83-200+AP83),2)/AO83,2)</f>
        <v>40.67</v>
      </c>
      <c r="U83">
        <f t="shared" ca="1" si="119"/>
        <v>102</v>
      </c>
      <c r="V83">
        <f t="shared" ca="1" si="120"/>
        <v>97</v>
      </c>
      <c r="W83" s="15">
        <f t="shared" ca="1" si="121"/>
        <v>0.10199999999999999</v>
      </c>
      <c r="X83" s="15">
        <f t="shared" ca="1" si="122"/>
        <v>9.7000000000000003E-2</v>
      </c>
      <c r="Y83"/>
      <c r="Z83"/>
      <c r="AA83"/>
      <c r="AB83" s="15"/>
      <c r="AC83"/>
      <c r="AD83" s="10"/>
      <c r="AE83" s="10"/>
      <c r="AF83" s="15"/>
      <c r="AG83" s="10"/>
      <c r="AH83" s="10"/>
      <c r="AI83" s="15"/>
      <c r="AJ83" s="10"/>
      <c r="AK83" s="10"/>
      <c r="AL83" s="15"/>
      <c r="AM83" s="8">
        <v>0.5</v>
      </c>
      <c r="AN83" s="8">
        <v>0.15</v>
      </c>
      <c r="AO83" s="8">
        <v>6000</v>
      </c>
      <c r="AP83" s="8">
        <v>500</v>
      </c>
      <c r="AQ83" s="8">
        <v>20000</v>
      </c>
      <c r="AS83">
        <f t="shared" ca="1" si="123"/>
        <v>24</v>
      </c>
      <c r="AT83">
        <f t="shared" si="124"/>
        <v>116</v>
      </c>
      <c r="AU83" s="15">
        <f t="shared" ca="1" si="125"/>
        <v>2.4E-2</v>
      </c>
      <c r="AV83" s="64">
        <f ca="1">ROUND((AW83+其他表格!K7+基本公式!$B$84)*OFFSET(其他表格!$N$1,兵攻防!O83,0)+OFFSET(其他表格!$P$1,M83/100,0),4)</f>
        <v>0.2051</v>
      </c>
      <c r="AW83" s="35">
        <v>0.1</v>
      </c>
      <c r="AX83" s="1">
        <v>86</v>
      </c>
      <c r="AY83">
        <f t="shared" si="126"/>
        <v>17</v>
      </c>
      <c r="AZ83">
        <f t="shared" si="127"/>
        <v>169</v>
      </c>
      <c r="BA83">
        <f t="shared" si="128"/>
        <v>13</v>
      </c>
      <c r="BB83" s="31">
        <f t="shared" si="129"/>
        <v>44</v>
      </c>
      <c r="BC83">
        <f t="shared" si="130"/>
        <v>4</v>
      </c>
      <c r="BD83" s="31">
        <f t="shared" si="131"/>
        <v>125</v>
      </c>
      <c r="BE83">
        <f>基本公式!$B$183</f>
        <v>30</v>
      </c>
      <c r="BF83">
        <f>基本公式!$B$182</f>
        <v>150</v>
      </c>
      <c r="BG83" s="8">
        <v>300</v>
      </c>
      <c r="BH83" s="8">
        <v>60000</v>
      </c>
      <c r="BI83" s="8">
        <v>200</v>
      </c>
      <c r="BJ83" s="8">
        <v>11500</v>
      </c>
    </row>
    <row r="84" spans="1:62">
      <c r="A84">
        <v>2000</v>
      </c>
      <c r="B84" s="19">
        <f t="shared" ca="1" si="114"/>
        <v>13</v>
      </c>
      <c r="C84" s="21">
        <f t="shared" ca="1" si="115"/>
        <v>13</v>
      </c>
      <c r="D84" s="1">
        <v>5</v>
      </c>
      <c r="E84">
        <f t="shared" si="116"/>
        <v>10</v>
      </c>
      <c r="F84" s="72">
        <f t="shared" si="132"/>
        <v>6105</v>
      </c>
      <c r="G84">
        <f>ROUND((E84+(30+30)/2)*AN84*兵攻防!A84/基本公式!$B$50,0)</f>
        <v>2400</v>
      </c>
      <c r="H84" s="76">
        <f>ROUND((E84+(基本公式!$B$180+基本公式!$B$28)/2)*AN84*兵攻防!A84/基本公式!$B$50,0)</f>
        <v>8100</v>
      </c>
      <c r="I84" s="1">
        <v>4</v>
      </c>
      <c r="J84">
        <f>ROUND(POWER($A$28*I84/100,$AM$28),0)</f>
        <v>9</v>
      </c>
      <c r="K84" s="18">
        <v>3</v>
      </c>
      <c r="L84">
        <f t="shared" ca="1" si="117"/>
        <v>13.75</v>
      </c>
      <c r="M84" s="1">
        <v>650</v>
      </c>
      <c r="N84" s="11">
        <f ca="1">OFFSET(其他表格!$G$2,M84/100,0)</f>
        <v>1.2500000000000002</v>
      </c>
      <c r="O84" s="1">
        <v>2</v>
      </c>
      <c r="P84" s="11">
        <f ca="1">OFFSET(其他表格!$B$1,O84,0)</f>
        <v>1.1000000000000001</v>
      </c>
      <c r="Q84">
        <f t="shared" si="118"/>
        <v>31.5</v>
      </c>
      <c r="R84">
        <f>ROUND(($E$28+200)*$AN$28,2)</f>
        <v>30</v>
      </c>
      <c r="S84">
        <f>ROUND(POWER((E84+200-$J$28-200+AP84),2)/AO84,2)</f>
        <v>43.35</v>
      </c>
      <c r="T84">
        <f>ROUND(POWER(($E$28+200-J84-200+AP84),2)/AO84,2)</f>
        <v>40.18</v>
      </c>
      <c r="U84">
        <f t="shared" ca="1" si="119"/>
        <v>206</v>
      </c>
      <c r="V84">
        <f t="shared" ca="1" si="120"/>
        <v>193</v>
      </c>
      <c r="W84" s="15">
        <f t="shared" ca="1" si="121"/>
        <v>0.10299999999999999</v>
      </c>
      <c r="X84" s="15">
        <f t="shared" ca="1" si="122"/>
        <v>9.6500000000000002E-2</v>
      </c>
      <c r="Y84"/>
      <c r="Z84"/>
      <c r="AA84"/>
      <c r="AB84" s="15"/>
      <c r="AC84"/>
      <c r="AD84" s="10"/>
      <c r="AE84" s="10"/>
      <c r="AF84" s="15"/>
      <c r="AG84" s="10"/>
      <c r="AH84" s="10"/>
      <c r="AI84" s="15"/>
      <c r="AJ84" s="10"/>
      <c r="AK84" s="10"/>
      <c r="AL84" s="15"/>
      <c r="AM84" s="8">
        <v>0.5</v>
      </c>
      <c r="AN84" s="8">
        <v>0.15</v>
      </c>
      <c r="AO84" s="8">
        <v>6000</v>
      </c>
      <c r="AP84" s="8">
        <v>500</v>
      </c>
      <c r="AQ84" s="8">
        <v>20000</v>
      </c>
      <c r="AS84">
        <f t="shared" ca="1" si="123"/>
        <v>51</v>
      </c>
      <c r="AT84">
        <f t="shared" si="124"/>
        <v>232</v>
      </c>
      <c r="AU84" s="15">
        <f t="shared" ca="1" si="125"/>
        <v>2.5499999999999998E-2</v>
      </c>
      <c r="AV84" s="64">
        <f ca="1">ROUND((AW84+其他表格!K8+基本公式!$B$84)*OFFSET(其他表格!$N$1,兵攻防!O84,0)+OFFSET(其他表格!$P$1,M84/100,0),4)</f>
        <v>0.218</v>
      </c>
      <c r="AW84" s="35">
        <v>0.1</v>
      </c>
      <c r="AX84" s="1">
        <v>86</v>
      </c>
      <c r="AY84">
        <f t="shared" si="126"/>
        <v>35</v>
      </c>
      <c r="AZ84">
        <f t="shared" si="127"/>
        <v>338</v>
      </c>
      <c r="BA84">
        <f t="shared" si="128"/>
        <v>27</v>
      </c>
      <c r="BB84" s="31">
        <f t="shared" si="129"/>
        <v>89</v>
      </c>
      <c r="BC84">
        <f t="shared" si="130"/>
        <v>8</v>
      </c>
      <c r="BD84" s="31">
        <f t="shared" si="131"/>
        <v>249</v>
      </c>
      <c r="BE84">
        <f>基本公式!$B$183</f>
        <v>30</v>
      </c>
      <c r="BF84">
        <f>基本公式!$B$182</f>
        <v>150</v>
      </c>
      <c r="BG84" s="8">
        <v>300</v>
      </c>
      <c r="BH84" s="8">
        <v>60000</v>
      </c>
      <c r="BI84" s="8">
        <v>200</v>
      </c>
      <c r="BJ84" s="8">
        <v>11500</v>
      </c>
    </row>
    <row r="85" spans="1:62">
      <c r="A85">
        <v>5000</v>
      </c>
      <c r="B85" s="19">
        <f t="shared" ca="1" si="114"/>
        <v>51</v>
      </c>
      <c r="C85" s="21">
        <f t="shared" ca="1" si="115"/>
        <v>50</v>
      </c>
      <c r="D85" s="1">
        <v>5</v>
      </c>
      <c r="E85">
        <f t="shared" si="116"/>
        <v>16</v>
      </c>
      <c r="F85" s="72">
        <f t="shared" si="132"/>
        <v>16163</v>
      </c>
      <c r="G85">
        <f>ROUND((E85+(30+30)/2)*AN85*兵攻防!A85/基本公式!$B$50,0)</f>
        <v>6900</v>
      </c>
      <c r="H85" s="76">
        <f>ROUND((E85+(基本公式!$B$180+基本公式!$B$28)/2)*AN85*兵攻防!A85/基本公式!$B$50,0)</f>
        <v>21150</v>
      </c>
      <c r="I85" s="1">
        <v>4</v>
      </c>
      <c r="J85">
        <f>ROUND(POWER($A$29*I85/100,$AM$29),0)</f>
        <v>14</v>
      </c>
      <c r="K85" s="18">
        <v>3</v>
      </c>
      <c r="L85">
        <f t="shared" ca="1" si="117"/>
        <v>13.75</v>
      </c>
      <c r="M85" s="1">
        <v>650</v>
      </c>
      <c r="N85" s="11">
        <f ca="1">OFFSET(其他表格!$G$2,M85/100,0)</f>
        <v>1.2500000000000002</v>
      </c>
      <c r="O85" s="1">
        <v>2</v>
      </c>
      <c r="P85" s="11">
        <f ca="1">OFFSET(其他表格!$B$1,O85,0)</f>
        <v>1.1000000000000001</v>
      </c>
      <c r="Q85">
        <f t="shared" si="118"/>
        <v>32.4</v>
      </c>
      <c r="R85">
        <f>ROUND(($E$29+200)*$AN$29,2)</f>
        <v>30</v>
      </c>
      <c r="S85">
        <f>ROUND(POWER((E85+200-$J$29-200+AP85),2)/AO85,2)</f>
        <v>44.38</v>
      </c>
      <c r="T85">
        <f>ROUND(POWER(($E$29+200-J85-200+AP85),2)/AO85,2)</f>
        <v>39.369999999999997</v>
      </c>
      <c r="U85">
        <f t="shared" ca="1" si="119"/>
        <v>528</v>
      </c>
      <c r="V85">
        <f t="shared" ca="1" si="120"/>
        <v>477</v>
      </c>
      <c r="W85" s="15">
        <f t="shared" ca="1" si="121"/>
        <v>0.1056</v>
      </c>
      <c r="X85" s="15">
        <f t="shared" ca="1" si="122"/>
        <v>9.5399999999999999E-2</v>
      </c>
      <c r="Y85"/>
      <c r="Z85"/>
      <c r="AA85"/>
      <c r="AB85" s="15"/>
      <c r="AC85"/>
      <c r="AD85" s="10"/>
      <c r="AE85" s="10"/>
      <c r="AF85" s="15"/>
      <c r="AG85" s="10"/>
      <c r="AH85" s="10"/>
      <c r="AI85" s="15"/>
      <c r="AJ85" s="10"/>
      <c r="AK85" s="10"/>
      <c r="AL85" s="15"/>
      <c r="AM85" s="8">
        <v>0.5</v>
      </c>
      <c r="AN85" s="8">
        <v>0.15</v>
      </c>
      <c r="AO85" s="8">
        <v>6000</v>
      </c>
      <c r="AP85" s="8">
        <v>500</v>
      </c>
      <c r="AQ85" s="8">
        <v>20000</v>
      </c>
      <c r="AS85">
        <f t="shared" ca="1" si="123"/>
        <v>135</v>
      </c>
      <c r="AT85">
        <f t="shared" si="124"/>
        <v>580</v>
      </c>
      <c r="AU85" s="15">
        <f t="shared" ca="1" si="125"/>
        <v>2.7E-2</v>
      </c>
      <c r="AV85" s="64">
        <f ca="1">ROUND((AW85+其他表格!K9+基本公式!$B$84)*OFFSET(其他表格!$N$1,兵攻防!O85,0)+OFFSET(其他表格!$P$1,M85/100,0),4)</f>
        <v>0.23280000000000001</v>
      </c>
      <c r="AW85" s="35">
        <v>0.1</v>
      </c>
      <c r="AX85" s="1">
        <v>86</v>
      </c>
      <c r="AY85">
        <f>BA85+BC85</f>
        <v>88</v>
      </c>
      <c r="AZ85">
        <f>BB85+BD85</f>
        <v>845</v>
      </c>
      <c r="BA85">
        <f t="shared" si="128"/>
        <v>67</v>
      </c>
      <c r="BB85" s="31">
        <f t="shared" si="129"/>
        <v>222</v>
      </c>
      <c r="BC85">
        <f t="shared" si="130"/>
        <v>21</v>
      </c>
      <c r="BD85" s="31">
        <f t="shared" si="131"/>
        <v>623</v>
      </c>
      <c r="BE85">
        <f>基本公式!$B$183</f>
        <v>30</v>
      </c>
      <c r="BF85">
        <f>基本公式!$B$182</f>
        <v>150</v>
      </c>
      <c r="BG85" s="8">
        <v>300</v>
      </c>
      <c r="BH85" s="8">
        <v>60000</v>
      </c>
      <c r="BI85" s="8">
        <v>200</v>
      </c>
      <c r="BJ85" s="8">
        <v>11500</v>
      </c>
    </row>
    <row r="87" spans="1:62" s="23" customFormat="1">
      <c r="A87" s="23" t="s">
        <v>213</v>
      </c>
      <c r="B87" s="26" t="s">
        <v>73</v>
      </c>
      <c r="C87" s="26" t="s">
        <v>201</v>
      </c>
      <c r="F87" s="75"/>
      <c r="H87" s="78"/>
      <c r="K87" s="63"/>
      <c r="AR87" s="30"/>
      <c r="AV87" s="21"/>
      <c r="AW87" s="37"/>
      <c r="AX87" s="27"/>
      <c r="BB87" s="33"/>
      <c r="BD87" s="33"/>
      <c r="BG87" s="8"/>
      <c r="BH87" s="8"/>
    </row>
    <row r="88" spans="1:62">
      <c r="A88">
        <v>100</v>
      </c>
      <c r="B88" s="19">
        <f t="shared" ref="B88:B93" ca="1" si="133">ROUND(((U88-$U$29)+($V$29-V88)),0)</f>
        <v>1</v>
      </c>
      <c r="C88" s="21">
        <f t="shared" ref="C88:C93" si="134">C40</f>
        <v>13</v>
      </c>
      <c r="D88" s="1">
        <v>20</v>
      </c>
      <c r="E88">
        <f t="shared" ref="E88:E93" si="135">ROUND(POWER(A88*D88/100,AM88),0)</f>
        <v>4</v>
      </c>
      <c r="F88" s="72">
        <f>ROUND(G88*0.35+H88*0.65,0)</f>
        <v>287</v>
      </c>
      <c r="G88">
        <f>ROUND((E88+(30+30)/2)*AN88*兵攻防!A88/基本公式!$B$50,0)</f>
        <v>102</v>
      </c>
      <c r="H88" s="76">
        <f>ROUND((E88+(基本公式!$B$180+基本公式!$B$28)/2)*AN88*兵攻防!A88/基本公式!$B$50,0)</f>
        <v>387</v>
      </c>
      <c r="I88" s="1">
        <v>5</v>
      </c>
      <c r="J88">
        <f>ROUND(POWER($A$24*I88/100,$AM$24),0)</f>
        <v>2</v>
      </c>
      <c r="K88" s="18">
        <v>3</v>
      </c>
      <c r="L88">
        <f t="shared" ref="L88:L93" ca="1" si="136">ROUND(30/K88*P88*N88,2)</f>
        <v>13.2</v>
      </c>
      <c r="M88" s="1">
        <v>500</v>
      </c>
      <c r="N88" s="11">
        <f ca="1">OFFSET(其他表格!$G$2,M88/100,0)</f>
        <v>1.2000000000000002</v>
      </c>
      <c r="O88" s="1">
        <v>2</v>
      </c>
      <c r="P88" s="11">
        <f ca="1">OFFSET(其他表格!$B$1,O88,0)</f>
        <v>1.1000000000000001</v>
      </c>
      <c r="Q88">
        <f t="shared" ref="Q88:Q93" si="137">ROUND((E88+200)*AN88,2)</f>
        <v>30.6</v>
      </c>
      <c r="R88">
        <f>ROUND(($E$24+200)*$AN$24,2)</f>
        <v>30</v>
      </c>
      <c r="S88">
        <f>ROUND(POWER((E88+200-$J$24-200+AP88),2)/AO88,2)</f>
        <v>42.34</v>
      </c>
      <c r="T88">
        <f>ROUND(POWER(($E$24+200-J88-200+AP88),2)/AO88,2)</f>
        <v>41.33</v>
      </c>
      <c r="U88">
        <f t="shared" ref="U88:U93" ca="1" si="138">ROUND((Q88+S88)*(A88+A88)/AQ88*L88,0)</f>
        <v>10</v>
      </c>
      <c r="V88">
        <f t="shared" ref="V88:V93" ca="1" si="139">ROUND((R88+T88)*(A88+A88)/AQ88*L88,0)</f>
        <v>9</v>
      </c>
      <c r="W88" s="15">
        <f t="shared" ref="W88:W93" ca="1" si="140">MIN(ROUND(U88/A88,4),1)</f>
        <v>0.1</v>
      </c>
      <c r="X88" s="15">
        <f t="shared" ref="X88:X93" ca="1" si="141">MIN(ROUND(V88/A88,4),1)</f>
        <v>0.09</v>
      </c>
      <c r="Y88"/>
      <c r="Z88"/>
      <c r="AA88"/>
      <c r="AB88" s="15"/>
      <c r="AC88"/>
      <c r="AD88" s="10"/>
      <c r="AE88" s="10"/>
      <c r="AF88" s="15"/>
      <c r="AG88" s="10"/>
      <c r="AH88" s="10"/>
      <c r="AI88" s="15"/>
      <c r="AJ88" s="10"/>
      <c r="AK88" s="10"/>
      <c r="AL88" s="15"/>
      <c r="AM88" s="8">
        <v>0.5</v>
      </c>
      <c r="AN88" s="8">
        <v>0.15</v>
      </c>
      <c r="AO88" s="8">
        <v>6000</v>
      </c>
      <c r="AP88" s="8">
        <v>500</v>
      </c>
      <c r="AQ88" s="8">
        <v>20000</v>
      </c>
      <c r="AS88">
        <f t="shared" ref="AS88:AS93" ca="1" si="142">ROUND(AT88*AV88,0)</f>
        <v>4</v>
      </c>
      <c r="AT88">
        <f t="shared" ref="AT88:AT93" si="143">ROUND(AY88*0.35+AZ88*0.65,0)</f>
        <v>31</v>
      </c>
      <c r="AU88" s="15">
        <f t="shared" ref="AU88:AU93" ca="1" si="144">ROUND(AS88/A88,4)</f>
        <v>0.04</v>
      </c>
      <c r="AV88" s="64">
        <f ca="1">ROUND((AW88+其他表格!K4+基本公式!$B$84)*OFFSET(其他表格!$N$1,兵攻防!O88,0)+OFFSET(其他表格!$P$1,M88/100,0),4)</f>
        <v>0.14180000000000001</v>
      </c>
      <c r="AW88" s="35">
        <v>0.1</v>
      </c>
      <c r="AX88" s="1">
        <v>140</v>
      </c>
      <c r="AY88">
        <f t="shared" ref="AY88:AY92" si="145">BA88+BC88</f>
        <v>5</v>
      </c>
      <c r="AZ88">
        <f t="shared" ref="AZ88:AZ92" si="146">BB88+BD88</f>
        <v>45</v>
      </c>
      <c r="BA88">
        <f t="shared" ref="BA88:BA93" si="147">ROUND(POWER(AX88/10*(BE88+BG88),2)/BH88*(A88+A88)/AQ88,0)</f>
        <v>4</v>
      </c>
      <c r="BB88" s="31">
        <f t="shared" ref="BB88:BB93" si="148">ROUND(POWER(AX88/10*(BF88*2+BG88),2)/BH88*(A88+A88)/AQ88,0)</f>
        <v>12</v>
      </c>
      <c r="BC88">
        <f t="shared" ref="BC88:BC93" si="149">ROUND(POWER(AX88/10*(BE88-BF88+BI88),2)/BJ88*(A88+A88)/AQ88,0)</f>
        <v>1</v>
      </c>
      <c r="BD88" s="31">
        <f t="shared" ref="BD88:BD93" si="150">ROUND(POWER(AX88/10*(BF88*2-BE88*2+BI88),2)/BJ88*(A88+A88)/AQ88,0)</f>
        <v>33</v>
      </c>
      <c r="BE88">
        <f>基本公式!$B$183</f>
        <v>30</v>
      </c>
      <c r="BF88">
        <f>基本公式!$B$182</f>
        <v>150</v>
      </c>
      <c r="BG88" s="8">
        <v>300</v>
      </c>
      <c r="BH88" s="8">
        <v>60000</v>
      </c>
      <c r="BI88" s="8">
        <v>200</v>
      </c>
      <c r="BJ88" s="8">
        <v>11500</v>
      </c>
    </row>
    <row r="89" spans="1:62">
      <c r="A89">
        <v>200</v>
      </c>
      <c r="B89" s="19">
        <f t="shared" ca="1" si="133"/>
        <v>0</v>
      </c>
      <c r="C89" s="21">
        <f t="shared" ca="1" si="134"/>
        <v>2</v>
      </c>
      <c r="D89" s="1">
        <v>20</v>
      </c>
      <c r="E89">
        <f t="shared" si="135"/>
        <v>6</v>
      </c>
      <c r="F89" s="72">
        <f t="shared" ref="F89:F93" si="151">ROUND(G89*0.35+H89*0.65,0)</f>
        <v>587</v>
      </c>
      <c r="G89">
        <f>ROUND((E89+(30+30)/2)*AN89*兵攻防!A89/基本公式!$B$50,0)</f>
        <v>216</v>
      </c>
      <c r="H89" s="76">
        <f>ROUND((E89+(基本公式!$B$180+基本公式!$B$28)/2)*AN89*兵攻防!A89/基本公式!$B$50,0)</f>
        <v>786</v>
      </c>
      <c r="I89" s="1">
        <v>5</v>
      </c>
      <c r="J89">
        <f>ROUND(POWER($A$25*I89/100,$AM$25),0)</f>
        <v>3</v>
      </c>
      <c r="K89" s="18">
        <v>3</v>
      </c>
      <c r="L89">
        <f t="shared" ca="1" si="136"/>
        <v>13.2</v>
      </c>
      <c r="M89" s="1">
        <v>500</v>
      </c>
      <c r="N89" s="11">
        <f ca="1">OFFSET(其他表格!$G$2,M89/100,0)</f>
        <v>1.2000000000000002</v>
      </c>
      <c r="O89" s="1">
        <v>2</v>
      </c>
      <c r="P89" s="11">
        <f ca="1">OFFSET(其他表格!$B$1,O89,0)</f>
        <v>1.1000000000000001</v>
      </c>
      <c r="Q89">
        <f t="shared" si="137"/>
        <v>30.9</v>
      </c>
      <c r="R89">
        <f>ROUND(($E$25+200)*$AN$25,2)</f>
        <v>30</v>
      </c>
      <c r="S89">
        <f>ROUND(POWER((E89+200-$J$25-200+AP89),2)/AO89,2)</f>
        <v>42.67</v>
      </c>
      <c r="T89">
        <f>ROUND(POWER(($E$25+200-J89-200+AP89),2)/AO89,2)</f>
        <v>41.17</v>
      </c>
      <c r="U89">
        <f t="shared" ca="1" si="138"/>
        <v>19</v>
      </c>
      <c r="V89">
        <f t="shared" ca="1" si="139"/>
        <v>19</v>
      </c>
      <c r="W89" s="15">
        <f t="shared" ca="1" si="140"/>
        <v>9.5000000000000001E-2</v>
      </c>
      <c r="X89" s="15">
        <f t="shared" ca="1" si="141"/>
        <v>9.5000000000000001E-2</v>
      </c>
      <c r="Y89"/>
      <c r="Z89"/>
      <c r="AA89"/>
      <c r="AB89" s="15"/>
      <c r="AC89"/>
      <c r="AD89" s="10"/>
      <c r="AE89" s="10"/>
      <c r="AF89" s="15"/>
      <c r="AG89" s="10"/>
      <c r="AH89" s="10"/>
      <c r="AI89" s="15"/>
      <c r="AJ89" s="10"/>
      <c r="AK89" s="10"/>
      <c r="AL89" s="15"/>
      <c r="AM89" s="8">
        <v>0.5</v>
      </c>
      <c r="AN89" s="8">
        <v>0.15</v>
      </c>
      <c r="AO89" s="8">
        <v>6000</v>
      </c>
      <c r="AP89" s="8">
        <v>500</v>
      </c>
      <c r="AQ89" s="8">
        <v>20000</v>
      </c>
      <c r="AS89">
        <f t="shared" ca="1" si="142"/>
        <v>9</v>
      </c>
      <c r="AT89">
        <f t="shared" si="143"/>
        <v>62</v>
      </c>
      <c r="AU89" s="15">
        <f t="shared" ca="1" si="144"/>
        <v>4.4999999999999998E-2</v>
      </c>
      <c r="AV89" s="64">
        <f ca="1">ROUND((AW89+其他表格!K5+基本公式!$B$84)*OFFSET(其他表格!$N$1,兵攻防!O89,0)+OFFSET(其他表格!$P$1,M89/100,0),4)</f>
        <v>0.15290000000000001</v>
      </c>
      <c r="AW89" s="35">
        <v>0.1</v>
      </c>
      <c r="AX89" s="1">
        <v>140</v>
      </c>
      <c r="AY89">
        <f t="shared" si="145"/>
        <v>9</v>
      </c>
      <c r="AZ89">
        <f t="shared" si="146"/>
        <v>90</v>
      </c>
      <c r="BA89">
        <f t="shared" si="147"/>
        <v>7</v>
      </c>
      <c r="BB89" s="31">
        <f t="shared" si="148"/>
        <v>24</v>
      </c>
      <c r="BC89">
        <f t="shared" si="149"/>
        <v>2</v>
      </c>
      <c r="BD89" s="31">
        <f t="shared" si="150"/>
        <v>66</v>
      </c>
      <c r="BE89">
        <f>基本公式!$B$183</f>
        <v>30</v>
      </c>
      <c r="BF89">
        <f>基本公式!$B$182</f>
        <v>150</v>
      </c>
      <c r="BG89" s="8">
        <v>300</v>
      </c>
      <c r="BH89" s="8">
        <v>60000</v>
      </c>
      <c r="BI89" s="8">
        <v>200</v>
      </c>
      <c r="BJ89" s="8">
        <v>11500</v>
      </c>
    </row>
    <row r="90" spans="1:62">
      <c r="A90">
        <v>500</v>
      </c>
      <c r="B90" s="19">
        <f t="shared" ca="1" si="133"/>
        <v>2</v>
      </c>
      <c r="C90" s="21">
        <f t="shared" ca="1" si="134"/>
        <v>3</v>
      </c>
      <c r="D90" s="1">
        <v>20</v>
      </c>
      <c r="E90">
        <f t="shared" si="135"/>
        <v>10</v>
      </c>
      <c r="F90" s="72">
        <f t="shared" si="151"/>
        <v>1526</v>
      </c>
      <c r="G90">
        <f>ROUND((E90+(30+30)/2)*AN90*兵攻防!A90/基本公式!$B$50,0)</f>
        <v>600</v>
      </c>
      <c r="H90" s="76">
        <f>ROUND((E90+(基本公式!$B$180+基本公式!$B$28)/2)*AN90*兵攻防!A90/基本公式!$B$50,0)</f>
        <v>2025</v>
      </c>
      <c r="I90" s="1">
        <v>5</v>
      </c>
      <c r="J90">
        <f>ROUND(POWER($A$26*I90/100,$AM$26),0)</f>
        <v>5</v>
      </c>
      <c r="K90" s="18">
        <v>3</v>
      </c>
      <c r="L90">
        <f t="shared" ca="1" si="136"/>
        <v>13.2</v>
      </c>
      <c r="M90" s="1">
        <v>500</v>
      </c>
      <c r="N90" s="11">
        <f ca="1">OFFSET(其他表格!$G$2,M90/100,0)</f>
        <v>1.2000000000000002</v>
      </c>
      <c r="O90" s="1">
        <v>2</v>
      </c>
      <c r="P90" s="11">
        <f ca="1">OFFSET(其他表格!$B$1,O90,0)</f>
        <v>1.1000000000000001</v>
      </c>
      <c r="Q90">
        <f t="shared" si="137"/>
        <v>31.5</v>
      </c>
      <c r="R90">
        <f>ROUND(($E$26+200)*$AN$26,2)</f>
        <v>30</v>
      </c>
      <c r="S90">
        <f>ROUND(POWER((E90+200-$J$26-200+AP90),2)/AO90,2)</f>
        <v>43.35</v>
      </c>
      <c r="T90">
        <f>ROUND(POWER(($E$26+200-J90-200+AP90),2)/AO90,2)</f>
        <v>40.840000000000003</v>
      </c>
      <c r="U90">
        <f t="shared" ca="1" si="138"/>
        <v>49</v>
      </c>
      <c r="V90">
        <f t="shared" ca="1" si="139"/>
        <v>47</v>
      </c>
      <c r="W90" s="15">
        <f t="shared" ca="1" si="140"/>
        <v>9.8000000000000004E-2</v>
      </c>
      <c r="X90" s="15">
        <f t="shared" ca="1" si="141"/>
        <v>9.4E-2</v>
      </c>
      <c r="Y90"/>
      <c r="Z90"/>
      <c r="AA90"/>
      <c r="AB90" s="15"/>
      <c r="AC90"/>
      <c r="AD90" s="10"/>
      <c r="AE90" s="10"/>
      <c r="AF90" s="15"/>
      <c r="AG90" s="10"/>
      <c r="AH90" s="10"/>
      <c r="AI90" s="15"/>
      <c r="AJ90" s="10"/>
      <c r="AK90" s="10"/>
      <c r="AL90" s="15"/>
      <c r="AM90" s="8">
        <v>0.5</v>
      </c>
      <c r="AN90" s="8">
        <v>0.15</v>
      </c>
      <c r="AO90" s="8">
        <v>6000</v>
      </c>
      <c r="AP90" s="8">
        <v>500</v>
      </c>
      <c r="AQ90" s="8">
        <v>20000</v>
      </c>
      <c r="AS90">
        <f t="shared" ca="1" si="142"/>
        <v>25</v>
      </c>
      <c r="AT90">
        <f t="shared" si="143"/>
        <v>154</v>
      </c>
      <c r="AU90" s="15">
        <f t="shared" ca="1" si="144"/>
        <v>0.05</v>
      </c>
      <c r="AV90" s="64">
        <f ca="1">ROUND((AW90+其他表格!K6+基本公式!$B$84)*OFFSET(其他表格!$N$1,兵攻防!O90,0)+OFFSET(其他表格!$P$1,M90/100,0),4)</f>
        <v>0.16400000000000001</v>
      </c>
      <c r="AW90" s="35">
        <v>0.1</v>
      </c>
      <c r="AX90" s="1">
        <v>140</v>
      </c>
      <c r="AY90">
        <f t="shared" si="145"/>
        <v>23</v>
      </c>
      <c r="AZ90">
        <f t="shared" si="146"/>
        <v>224</v>
      </c>
      <c r="BA90">
        <f t="shared" si="147"/>
        <v>18</v>
      </c>
      <c r="BB90" s="31">
        <f t="shared" si="148"/>
        <v>59</v>
      </c>
      <c r="BC90">
        <f t="shared" si="149"/>
        <v>5</v>
      </c>
      <c r="BD90" s="31">
        <f t="shared" si="150"/>
        <v>165</v>
      </c>
      <c r="BE90">
        <f>基本公式!$B$183</f>
        <v>30</v>
      </c>
      <c r="BF90">
        <f>基本公式!$B$182</f>
        <v>150</v>
      </c>
      <c r="BG90" s="8">
        <v>300</v>
      </c>
      <c r="BH90" s="8">
        <v>60000</v>
      </c>
      <c r="BI90" s="8">
        <v>200</v>
      </c>
      <c r="BJ90" s="8">
        <v>11500</v>
      </c>
    </row>
    <row r="91" spans="1:62">
      <c r="A91">
        <v>1000</v>
      </c>
      <c r="B91" s="19">
        <f t="shared" ca="1" si="133"/>
        <v>7</v>
      </c>
      <c r="C91" s="21">
        <f t="shared" ca="1" si="134"/>
        <v>9</v>
      </c>
      <c r="D91" s="1">
        <v>20</v>
      </c>
      <c r="E91">
        <f t="shared" si="135"/>
        <v>14</v>
      </c>
      <c r="F91" s="72">
        <f t="shared" si="151"/>
        <v>3173</v>
      </c>
      <c r="G91">
        <f>ROUND((E91+(30+30)/2)*AN91*兵攻防!A91/基本公式!$B$50,0)</f>
        <v>1320</v>
      </c>
      <c r="H91" s="76">
        <f>ROUND((E91+(基本公式!$B$180+基本公式!$B$28)/2)*AN91*兵攻防!A91/基本公式!$B$50,0)</f>
        <v>4170</v>
      </c>
      <c r="I91" s="1">
        <v>5</v>
      </c>
      <c r="J91">
        <f>ROUND(POWER($A$27*I91/100,$AM$27),0)</f>
        <v>7</v>
      </c>
      <c r="K91" s="18">
        <v>3</v>
      </c>
      <c r="L91">
        <f t="shared" ca="1" si="136"/>
        <v>13.2</v>
      </c>
      <c r="M91" s="1">
        <v>500</v>
      </c>
      <c r="N91" s="11">
        <f ca="1">OFFSET(其他表格!$G$2,M91/100,0)</f>
        <v>1.2000000000000002</v>
      </c>
      <c r="O91" s="1">
        <v>2</v>
      </c>
      <c r="P91" s="11">
        <f ca="1">OFFSET(其他表格!$B$1,O91,0)</f>
        <v>1.1000000000000001</v>
      </c>
      <c r="Q91">
        <f t="shared" si="137"/>
        <v>32.1</v>
      </c>
      <c r="R91">
        <f>ROUND(($E$27+200)*$AN$27,2)</f>
        <v>30</v>
      </c>
      <c r="S91">
        <f>ROUND(POWER((E91+200-$J$27-200+AP91),2)/AO91,2)</f>
        <v>44.03</v>
      </c>
      <c r="T91">
        <f>ROUND(POWER(($E$27+200-J91-200+AP91),2)/AO91,2)</f>
        <v>40.51</v>
      </c>
      <c r="U91">
        <f t="shared" ca="1" si="138"/>
        <v>100</v>
      </c>
      <c r="V91">
        <f t="shared" ca="1" si="139"/>
        <v>93</v>
      </c>
      <c r="W91" s="15">
        <f t="shared" ca="1" si="140"/>
        <v>0.1</v>
      </c>
      <c r="X91" s="15">
        <f t="shared" ca="1" si="141"/>
        <v>9.2999999999999999E-2</v>
      </c>
      <c r="Y91"/>
      <c r="Z91"/>
      <c r="AA91"/>
      <c r="AB91" s="15"/>
      <c r="AC91"/>
      <c r="AD91" s="10"/>
      <c r="AE91" s="10"/>
      <c r="AF91" s="15"/>
      <c r="AG91" s="10"/>
      <c r="AH91" s="10"/>
      <c r="AI91" s="15"/>
      <c r="AJ91" s="10"/>
      <c r="AK91" s="10"/>
      <c r="AL91" s="15"/>
      <c r="AM91" s="8">
        <v>0.5</v>
      </c>
      <c r="AN91" s="8">
        <v>0.15</v>
      </c>
      <c r="AO91" s="8">
        <v>6000</v>
      </c>
      <c r="AP91" s="8">
        <v>500</v>
      </c>
      <c r="AQ91" s="8">
        <v>20000</v>
      </c>
      <c r="AS91">
        <f t="shared" ca="1" si="142"/>
        <v>54</v>
      </c>
      <c r="AT91">
        <f t="shared" si="143"/>
        <v>308</v>
      </c>
      <c r="AU91" s="15">
        <f t="shared" ca="1" si="144"/>
        <v>5.3999999999999999E-2</v>
      </c>
      <c r="AV91" s="64">
        <f ca="1">ROUND((AW91+其他表格!K7+基本公式!$B$84)*OFFSET(其他表格!$N$1,兵攻防!O91,0)+OFFSET(其他表格!$P$1,M91/100,0),4)</f>
        <v>0.17510000000000001</v>
      </c>
      <c r="AW91" s="35">
        <v>0.1</v>
      </c>
      <c r="AX91" s="1">
        <v>140</v>
      </c>
      <c r="AY91">
        <f t="shared" si="145"/>
        <v>47</v>
      </c>
      <c r="AZ91">
        <f t="shared" si="146"/>
        <v>448</v>
      </c>
      <c r="BA91">
        <f t="shared" si="147"/>
        <v>36</v>
      </c>
      <c r="BB91" s="31">
        <f t="shared" si="148"/>
        <v>118</v>
      </c>
      <c r="BC91">
        <f t="shared" si="149"/>
        <v>11</v>
      </c>
      <c r="BD91" s="31">
        <f t="shared" si="150"/>
        <v>330</v>
      </c>
      <c r="BE91">
        <f>基本公式!$B$183</f>
        <v>30</v>
      </c>
      <c r="BF91">
        <f>基本公式!$B$182</f>
        <v>150</v>
      </c>
      <c r="BG91" s="8">
        <v>300</v>
      </c>
      <c r="BH91" s="8">
        <v>60000</v>
      </c>
      <c r="BI91" s="8">
        <v>200</v>
      </c>
      <c r="BJ91" s="8">
        <v>11500</v>
      </c>
    </row>
    <row r="92" spans="1:62">
      <c r="A92">
        <v>2000</v>
      </c>
      <c r="B92" s="19">
        <f t="shared" ca="1" si="133"/>
        <v>21</v>
      </c>
      <c r="C92" s="21">
        <f t="shared" ca="1" si="134"/>
        <v>22</v>
      </c>
      <c r="D92" s="1">
        <v>20</v>
      </c>
      <c r="E92">
        <f t="shared" si="135"/>
        <v>20</v>
      </c>
      <c r="F92" s="72">
        <f t="shared" si="151"/>
        <v>6705</v>
      </c>
      <c r="G92">
        <f>ROUND((E92+(30+30)/2)*AN92*兵攻防!A92/基本公式!$B$50,0)</f>
        <v>3000</v>
      </c>
      <c r="H92" s="76">
        <f>ROUND((E92+(基本公式!$B$180+基本公式!$B$28)/2)*AN92*兵攻防!A92/基本公式!$B$50,0)</f>
        <v>8700</v>
      </c>
      <c r="I92" s="1">
        <v>5</v>
      </c>
      <c r="J92">
        <f>ROUND(POWER($A$28*I92/100,$AM$28),0)</f>
        <v>10</v>
      </c>
      <c r="K92" s="18">
        <v>3</v>
      </c>
      <c r="L92">
        <f t="shared" ca="1" si="136"/>
        <v>13.2</v>
      </c>
      <c r="M92" s="1">
        <v>500</v>
      </c>
      <c r="N92" s="11">
        <f ca="1">OFFSET(其他表格!$G$2,M92/100,0)</f>
        <v>1.2000000000000002</v>
      </c>
      <c r="O92" s="1">
        <v>2</v>
      </c>
      <c r="P92" s="11">
        <f ca="1">OFFSET(其他表格!$B$1,O92,0)</f>
        <v>1.1000000000000001</v>
      </c>
      <c r="Q92">
        <f t="shared" si="137"/>
        <v>33</v>
      </c>
      <c r="R92">
        <f>ROUND(($E$28+200)*$AN$28,2)</f>
        <v>30</v>
      </c>
      <c r="S92">
        <f>ROUND(POWER((E92+200-$J$28-200+AP92),2)/AO92,2)</f>
        <v>45.07</v>
      </c>
      <c r="T92">
        <f>ROUND(POWER(($E$28+200-J92-200+AP92),2)/AO92,2)</f>
        <v>40.020000000000003</v>
      </c>
      <c r="U92">
        <f t="shared" ca="1" si="138"/>
        <v>206</v>
      </c>
      <c r="V92">
        <f t="shared" ca="1" si="139"/>
        <v>185</v>
      </c>
      <c r="W92" s="15">
        <f t="shared" ca="1" si="140"/>
        <v>0.10299999999999999</v>
      </c>
      <c r="X92" s="15">
        <f t="shared" ca="1" si="141"/>
        <v>9.2499999999999999E-2</v>
      </c>
      <c r="Y92"/>
      <c r="Z92"/>
      <c r="AA92"/>
      <c r="AB92" s="15"/>
      <c r="AC92"/>
      <c r="AD92" s="10"/>
      <c r="AE92" s="10"/>
      <c r="AF92" s="15"/>
      <c r="AG92" s="10"/>
      <c r="AH92" s="10"/>
      <c r="AI92" s="15"/>
      <c r="AJ92" s="10"/>
      <c r="AK92" s="10"/>
      <c r="AL92" s="15"/>
      <c r="AM92" s="8">
        <v>0.5</v>
      </c>
      <c r="AN92" s="8">
        <v>0.15</v>
      </c>
      <c r="AO92" s="8">
        <v>6000</v>
      </c>
      <c r="AP92" s="8">
        <v>500</v>
      </c>
      <c r="AQ92" s="8">
        <v>20000</v>
      </c>
      <c r="AS92">
        <f t="shared" ca="1" si="142"/>
        <v>115</v>
      </c>
      <c r="AT92">
        <f t="shared" si="143"/>
        <v>614</v>
      </c>
      <c r="AU92" s="15">
        <f t="shared" ca="1" si="144"/>
        <v>5.7500000000000002E-2</v>
      </c>
      <c r="AV92" s="64">
        <f ca="1">ROUND((AW92+其他表格!K8+基本公式!$B$84)*OFFSET(其他表格!$N$1,兵攻防!O92,0)+OFFSET(其他表格!$P$1,M92/100,0),4)</f>
        <v>0.188</v>
      </c>
      <c r="AW92" s="35">
        <v>0.1</v>
      </c>
      <c r="AX92" s="1">
        <v>140</v>
      </c>
      <c r="AY92">
        <f t="shared" si="145"/>
        <v>93</v>
      </c>
      <c r="AZ92">
        <f t="shared" si="146"/>
        <v>895</v>
      </c>
      <c r="BA92">
        <f t="shared" si="147"/>
        <v>71</v>
      </c>
      <c r="BB92" s="31">
        <f t="shared" si="148"/>
        <v>235</v>
      </c>
      <c r="BC92">
        <f t="shared" si="149"/>
        <v>22</v>
      </c>
      <c r="BD92" s="31">
        <f t="shared" si="150"/>
        <v>660</v>
      </c>
      <c r="BE92">
        <f>基本公式!$B$183</f>
        <v>30</v>
      </c>
      <c r="BF92">
        <f>基本公式!$B$182</f>
        <v>150</v>
      </c>
      <c r="BG92" s="8">
        <v>300</v>
      </c>
      <c r="BH92" s="8">
        <v>60000</v>
      </c>
      <c r="BI92" s="8">
        <v>200</v>
      </c>
      <c r="BJ92" s="8">
        <v>11500</v>
      </c>
    </row>
    <row r="93" spans="1:62">
      <c r="A93">
        <v>5000</v>
      </c>
      <c r="B93" s="19">
        <f t="shared" ca="1" si="133"/>
        <v>85</v>
      </c>
      <c r="C93" s="21">
        <f t="shared" ca="1" si="134"/>
        <v>85</v>
      </c>
      <c r="D93" s="1">
        <v>20</v>
      </c>
      <c r="E93">
        <f t="shared" si="135"/>
        <v>32</v>
      </c>
      <c r="F93" s="72">
        <f t="shared" si="151"/>
        <v>18563</v>
      </c>
      <c r="G93">
        <f>ROUND((E93+(30+30)/2)*AN93*兵攻防!A93/基本公式!$B$50,0)</f>
        <v>9300</v>
      </c>
      <c r="H93" s="76">
        <f>ROUND((E93+(基本公式!$B$180+基本公式!$B$28)/2)*AN93*兵攻防!A93/基本公式!$B$50,0)</f>
        <v>23550</v>
      </c>
      <c r="I93" s="1">
        <v>5</v>
      </c>
      <c r="J93">
        <f>ROUND(POWER($A$29*I93/100,$AM$29),0)</f>
        <v>16</v>
      </c>
      <c r="K93" s="18">
        <v>3</v>
      </c>
      <c r="L93">
        <f t="shared" ca="1" si="136"/>
        <v>13.2</v>
      </c>
      <c r="M93" s="1">
        <v>500</v>
      </c>
      <c r="N93" s="11">
        <f ca="1">OFFSET(其他表格!$G$2,M93/100,0)</f>
        <v>1.2000000000000002</v>
      </c>
      <c r="O93" s="1">
        <v>2</v>
      </c>
      <c r="P93" s="11">
        <f ca="1">OFFSET(其他表格!$B$1,O93,0)</f>
        <v>1.1000000000000001</v>
      </c>
      <c r="Q93">
        <f t="shared" si="137"/>
        <v>34.799999999999997</v>
      </c>
      <c r="R93">
        <f>ROUND(($E$29+200)*$AN$29,2)</f>
        <v>30</v>
      </c>
      <c r="S93">
        <f>ROUND(POWER((E93+200-$J$29-200+AP93),2)/AO93,2)</f>
        <v>47.17</v>
      </c>
      <c r="T93">
        <f>ROUND(POWER(($E$29+200-J93-200+AP93),2)/AO93,2)</f>
        <v>39.04</v>
      </c>
      <c r="U93">
        <f t="shared" ca="1" si="138"/>
        <v>541</v>
      </c>
      <c r="V93">
        <f t="shared" ca="1" si="139"/>
        <v>456</v>
      </c>
      <c r="W93" s="15">
        <f t="shared" ca="1" si="140"/>
        <v>0.1082</v>
      </c>
      <c r="X93" s="15">
        <f t="shared" ca="1" si="141"/>
        <v>9.1200000000000003E-2</v>
      </c>
      <c r="Y93"/>
      <c r="Z93"/>
      <c r="AA93"/>
      <c r="AB93" s="15"/>
      <c r="AC93"/>
      <c r="AD93" s="10"/>
      <c r="AE93" s="10"/>
      <c r="AF93" s="15"/>
      <c r="AG93" s="10"/>
      <c r="AH93" s="10"/>
      <c r="AI93" s="15"/>
      <c r="AJ93" s="10"/>
      <c r="AK93" s="10"/>
      <c r="AL93" s="15"/>
      <c r="AM93" s="8">
        <v>0.5</v>
      </c>
      <c r="AN93" s="8">
        <v>0.15</v>
      </c>
      <c r="AO93" s="8">
        <v>6000</v>
      </c>
      <c r="AP93" s="8">
        <v>500</v>
      </c>
      <c r="AQ93" s="8">
        <v>20000</v>
      </c>
      <c r="AS93">
        <f t="shared" ca="1" si="142"/>
        <v>312</v>
      </c>
      <c r="AT93">
        <f t="shared" si="143"/>
        <v>1536</v>
      </c>
      <c r="AU93" s="15">
        <f t="shared" ca="1" si="144"/>
        <v>6.2399999999999997E-2</v>
      </c>
      <c r="AV93" s="64">
        <f ca="1">ROUND((AW93+其他表格!K9+基本公式!$B$84)*OFFSET(其他表格!$N$1,兵攻防!O93,0)+OFFSET(其他表格!$P$1,M93/100,0),4)</f>
        <v>0.20280000000000001</v>
      </c>
      <c r="AW93" s="35">
        <v>0.1</v>
      </c>
      <c r="AX93" s="1">
        <v>140</v>
      </c>
      <c r="AY93">
        <f>BA93+BC93</f>
        <v>233</v>
      </c>
      <c r="AZ93">
        <f>BB93+BD93</f>
        <v>2238</v>
      </c>
      <c r="BA93">
        <f t="shared" si="147"/>
        <v>178</v>
      </c>
      <c r="BB93" s="31">
        <f t="shared" si="148"/>
        <v>588</v>
      </c>
      <c r="BC93">
        <f t="shared" si="149"/>
        <v>55</v>
      </c>
      <c r="BD93" s="31">
        <f t="shared" si="150"/>
        <v>1650</v>
      </c>
      <c r="BE93">
        <f>基本公式!$B$183</f>
        <v>30</v>
      </c>
      <c r="BF93">
        <f>基本公式!$B$182</f>
        <v>150</v>
      </c>
      <c r="BG93" s="8">
        <v>300</v>
      </c>
      <c r="BH93" s="8">
        <v>60000</v>
      </c>
      <c r="BI93" s="8">
        <v>200</v>
      </c>
      <c r="BJ93" s="8">
        <v>11500</v>
      </c>
    </row>
    <row r="95" spans="1:62" s="23" customFormat="1">
      <c r="A95" s="23" t="s">
        <v>79</v>
      </c>
      <c r="B95" s="26" t="s">
        <v>73</v>
      </c>
      <c r="C95" s="26" t="s">
        <v>196</v>
      </c>
      <c r="F95" s="75"/>
      <c r="H95" s="78"/>
      <c r="K95" s="63"/>
      <c r="AR95" s="30"/>
      <c r="AV95" s="21"/>
      <c r="AW95" s="37"/>
      <c r="AX95" s="27"/>
      <c r="BB95" s="33"/>
      <c r="BD95" s="33"/>
      <c r="BG95" s="8"/>
      <c r="BH95" s="8"/>
    </row>
    <row r="96" spans="1:62">
      <c r="A96">
        <v>100</v>
      </c>
      <c r="B96" s="19">
        <f t="shared" ref="B96:B101" ca="1" si="152">ROUND(((U96-$U$29)+($V$29-V96)),0)</f>
        <v>1</v>
      </c>
      <c r="C96" s="21">
        <f t="shared" ref="C96:C101" si="153">C48</f>
        <v>22</v>
      </c>
      <c r="D96" s="1">
        <v>54</v>
      </c>
      <c r="E96">
        <f t="shared" ref="E96:E101" si="154">ROUND(POWER(A96*D96/100,AM96),0)</f>
        <v>7</v>
      </c>
      <c r="F96" s="72">
        <f>ROUND(G96*0.35+H96*0.65,0)</f>
        <v>296</v>
      </c>
      <c r="G96">
        <f>ROUND((E96+(30+30)/2)*AN96*兵攻防!A96/基本公式!$B$50,0)</f>
        <v>111</v>
      </c>
      <c r="H96" s="76">
        <f>ROUND((E96+(基本公式!$B$180+基本公式!$B$28)/2)*AN96*兵攻防!A96/基本公式!$B$50,0)</f>
        <v>396</v>
      </c>
      <c r="I96" s="1">
        <v>20</v>
      </c>
      <c r="J96">
        <f>ROUND(POWER($A$24*I96/100,$AM$24),0)</f>
        <v>4</v>
      </c>
      <c r="K96" s="18">
        <v>3</v>
      </c>
      <c r="L96">
        <f t="shared" ref="L96:L101" ca="1" si="155">ROUND(30/K96*P96*N96,2)</f>
        <v>13.2</v>
      </c>
      <c r="M96" s="1">
        <v>550</v>
      </c>
      <c r="N96" s="11">
        <f ca="1">OFFSET(其他表格!$G$2,M96/100,0)</f>
        <v>1.2000000000000002</v>
      </c>
      <c r="O96" s="1">
        <v>2</v>
      </c>
      <c r="P96" s="11">
        <f ca="1">OFFSET(其他表格!$B$1,O96,0)</f>
        <v>1.1000000000000001</v>
      </c>
      <c r="Q96">
        <f t="shared" ref="Q96:Q101" si="156">ROUND((E96+200)*AN96,2)</f>
        <v>31.05</v>
      </c>
      <c r="R96">
        <f>ROUND(($E$24+200)*$AN$24,2)</f>
        <v>30</v>
      </c>
      <c r="S96">
        <f>ROUND(POWER((E96+200-$J$24-200+AP96),2)/AO96,2)</f>
        <v>42.84</v>
      </c>
      <c r="T96">
        <f>ROUND(POWER(($E$24+200-J96-200+AP96),2)/AO96,2)</f>
        <v>41</v>
      </c>
      <c r="U96">
        <f t="shared" ref="U96:U101" ca="1" si="157">ROUND((Q96+S96)*(A96+A96)/AQ96*L96,0)</f>
        <v>10</v>
      </c>
      <c r="V96">
        <f t="shared" ref="V96:V101" ca="1" si="158">ROUND((R96+T96)*(A96+A96)/AQ96*L96,0)</f>
        <v>9</v>
      </c>
      <c r="W96" s="15">
        <f t="shared" ref="W96:W101" ca="1" si="159">MIN(ROUND(U96/A96,4),1)</f>
        <v>0.1</v>
      </c>
      <c r="X96" s="15">
        <f t="shared" ref="X96:X101" ca="1" si="160">MIN(ROUND(V96/A96,4),1)</f>
        <v>0.09</v>
      </c>
      <c r="Y96"/>
      <c r="Z96"/>
      <c r="AA96"/>
      <c r="AB96" s="15"/>
      <c r="AC96"/>
      <c r="AD96" s="10"/>
      <c r="AE96" s="10"/>
      <c r="AF96" s="15"/>
      <c r="AG96" s="10"/>
      <c r="AH96" s="10"/>
      <c r="AI96" s="15"/>
      <c r="AJ96" s="10"/>
      <c r="AK96" s="10"/>
      <c r="AL96" s="15"/>
      <c r="AM96" s="8">
        <v>0.5</v>
      </c>
      <c r="AN96" s="8">
        <v>0.15</v>
      </c>
      <c r="AO96" s="8">
        <v>6000</v>
      </c>
      <c r="AP96" s="8">
        <v>500</v>
      </c>
      <c r="AQ96" s="8">
        <v>20000</v>
      </c>
      <c r="AS96">
        <f t="shared" ref="AS96:AS101" ca="1" si="161">ROUND(AT96*AV96,0)</f>
        <v>9</v>
      </c>
      <c r="AT96">
        <f t="shared" ref="AT96:AT101" si="162">ROUND(AY96*0.35+AZ96*0.65,0)</f>
        <v>60</v>
      </c>
      <c r="AU96" s="15">
        <f t="shared" ref="AU96:AU101" ca="1" si="163">ROUND(AS96/A96,4)</f>
        <v>0.09</v>
      </c>
      <c r="AV96" s="64">
        <f ca="1">ROUND((AW96+其他表格!K4+基本公式!$B$84)*OFFSET(其他表格!$N$1,兵攻防!O96,0)+OFFSET(其他表格!$P$1,M96/100,0),4)</f>
        <v>0.14180000000000001</v>
      </c>
      <c r="AW96" s="35">
        <v>0.1</v>
      </c>
      <c r="AX96" s="1">
        <v>195</v>
      </c>
      <c r="AY96">
        <f t="shared" ref="AY96:AY100" si="164">BA96+BC96</f>
        <v>9</v>
      </c>
      <c r="AZ96">
        <f t="shared" ref="AZ96:AZ100" si="165">BB96+BD96</f>
        <v>87</v>
      </c>
      <c r="BA96">
        <f t="shared" ref="BA96:BA101" si="166">ROUND(POWER(AX96/10*(BE96+BG96),2)/BH96*(A96+A96)/AQ96,0)</f>
        <v>7</v>
      </c>
      <c r="BB96" s="31">
        <f t="shared" ref="BB96:BB101" si="167">ROUND(POWER(AX96/10*(BF96*2+BG96),2)/BH96*(A96+A96)/AQ96,0)</f>
        <v>23</v>
      </c>
      <c r="BC96">
        <f t="shared" ref="BC96:BC101" si="168">ROUND(POWER(AX96/10*(BE96-BF96+BI96),2)/BJ96*(A96+A96)/AQ96,0)</f>
        <v>2</v>
      </c>
      <c r="BD96" s="31">
        <f t="shared" ref="BD96:BD101" si="169">ROUND(POWER(AX96/10*(BF96*2-BE96*2+BI96),2)/BJ96*(A96+A96)/AQ96,0)</f>
        <v>64</v>
      </c>
      <c r="BE96">
        <f>基本公式!$B$183</f>
        <v>30</v>
      </c>
      <c r="BF96">
        <f>基本公式!$B$182</f>
        <v>150</v>
      </c>
      <c r="BG96" s="8">
        <v>300</v>
      </c>
      <c r="BH96" s="8">
        <v>60000</v>
      </c>
      <c r="BI96" s="8">
        <v>200</v>
      </c>
      <c r="BJ96" s="8">
        <v>11500</v>
      </c>
    </row>
    <row r="97" spans="1:62">
      <c r="A97">
        <v>200</v>
      </c>
      <c r="B97" s="19">
        <f t="shared" ca="1" si="152"/>
        <v>1</v>
      </c>
      <c r="C97" s="21">
        <f t="shared" ca="1" si="153"/>
        <v>3</v>
      </c>
      <c r="D97" s="1">
        <v>54</v>
      </c>
      <c r="E97">
        <f t="shared" si="154"/>
        <v>10</v>
      </c>
      <c r="F97" s="72">
        <f t="shared" ref="F97:F101" si="170">ROUND(G97*0.35+H97*0.65,0)</f>
        <v>611</v>
      </c>
      <c r="G97">
        <f>ROUND((E97+(30+30)/2)*AN97*兵攻防!A97/基本公式!$B$50,0)</f>
        <v>240</v>
      </c>
      <c r="H97" s="76">
        <f>ROUND((E97+(基本公式!$B$180+基本公式!$B$28)/2)*AN97*兵攻防!A97/基本公式!$B$50,0)</f>
        <v>810</v>
      </c>
      <c r="I97" s="1">
        <v>20</v>
      </c>
      <c r="J97">
        <f>ROUND(POWER($A$25*I97/100,$AM$25),0)</f>
        <v>6</v>
      </c>
      <c r="K97" s="18">
        <v>3</v>
      </c>
      <c r="L97">
        <f t="shared" ca="1" si="155"/>
        <v>13.2</v>
      </c>
      <c r="M97" s="1">
        <v>550</v>
      </c>
      <c r="N97" s="11">
        <f ca="1">OFFSET(其他表格!$G$2,M97/100,0)</f>
        <v>1.2000000000000002</v>
      </c>
      <c r="O97" s="1">
        <v>2</v>
      </c>
      <c r="P97" s="11">
        <f ca="1">OFFSET(其他表格!$B$1,O97,0)</f>
        <v>1.1000000000000001</v>
      </c>
      <c r="Q97">
        <f t="shared" si="156"/>
        <v>31.5</v>
      </c>
      <c r="R97">
        <f>ROUND(($E$25+200)*$AN$25,2)</f>
        <v>30</v>
      </c>
      <c r="S97">
        <f>ROUND(POWER((E97+200-$J$25-200+AP97),2)/AO97,2)</f>
        <v>43.35</v>
      </c>
      <c r="T97">
        <f>ROUND(POWER(($E$25+200-J97-200+AP97),2)/AO97,2)</f>
        <v>40.67</v>
      </c>
      <c r="U97">
        <f t="shared" ca="1" si="157"/>
        <v>20</v>
      </c>
      <c r="V97">
        <f t="shared" ca="1" si="158"/>
        <v>19</v>
      </c>
      <c r="W97" s="15">
        <f t="shared" ca="1" si="159"/>
        <v>0.1</v>
      </c>
      <c r="X97" s="15">
        <f t="shared" ca="1" si="160"/>
        <v>9.5000000000000001E-2</v>
      </c>
      <c r="Y97"/>
      <c r="Z97"/>
      <c r="AA97"/>
      <c r="AB97" s="15"/>
      <c r="AC97"/>
      <c r="AD97" s="10"/>
      <c r="AE97" s="10"/>
      <c r="AF97" s="15"/>
      <c r="AG97" s="10"/>
      <c r="AH97" s="10"/>
      <c r="AI97" s="15"/>
      <c r="AJ97" s="10"/>
      <c r="AK97" s="10"/>
      <c r="AL97" s="15"/>
      <c r="AM97" s="8">
        <v>0.5</v>
      </c>
      <c r="AN97" s="8">
        <v>0.15</v>
      </c>
      <c r="AO97" s="8">
        <v>6000</v>
      </c>
      <c r="AP97" s="8">
        <v>500</v>
      </c>
      <c r="AQ97" s="8">
        <v>20000</v>
      </c>
      <c r="AS97">
        <f t="shared" ca="1" si="161"/>
        <v>18</v>
      </c>
      <c r="AT97">
        <f t="shared" si="162"/>
        <v>119</v>
      </c>
      <c r="AU97" s="15">
        <f t="shared" ca="1" si="163"/>
        <v>0.09</v>
      </c>
      <c r="AV97" s="64">
        <f ca="1">ROUND((AW97+其他表格!K5+基本公式!$B$84)*OFFSET(其他表格!$N$1,兵攻防!O97,0)+OFFSET(其他表格!$P$1,M97/100,0),4)</f>
        <v>0.15290000000000001</v>
      </c>
      <c r="AW97" s="35">
        <v>0.1</v>
      </c>
      <c r="AX97" s="1">
        <v>195</v>
      </c>
      <c r="AY97">
        <f t="shared" si="164"/>
        <v>18</v>
      </c>
      <c r="AZ97">
        <f t="shared" si="165"/>
        <v>174</v>
      </c>
      <c r="BA97">
        <f t="shared" si="166"/>
        <v>14</v>
      </c>
      <c r="BB97" s="31">
        <f t="shared" si="167"/>
        <v>46</v>
      </c>
      <c r="BC97">
        <f t="shared" si="168"/>
        <v>4</v>
      </c>
      <c r="BD97" s="31">
        <f t="shared" si="169"/>
        <v>128</v>
      </c>
      <c r="BE97">
        <f>基本公式!$B$183</f>
        <v>30</v>
      </c>
      <c r="BF97">
        <f>基本公式!$B$182</f>
        <v>150</v>
      </c>
      <c r="BG97" s="8">
        <v>300</v>
      </c>
      <c r="BH97" s="8">
        <v>60000</v>
      </c>
      <c r="BI97" s="8">
        <v>200</v>
      </c>
      <c r="BJ97" s="8">
        <v>11500</v>
      </c>
    </row>
    <row r="98" spans="1:62">
      <c r="A98">
        <v>500</v>
      </c>
      <c r="B98" s="19">
        <f t="shared" ca="1" si="152"/>
        <v>5</v>
      </c>
      <c r="C98" s="21">
        <f t="shared" ca="1" si="153"/>
        <v>5</v>
      </c>
      <c r="D98" s="1">
        <v>54</v>
      </c>
      <c r="E98">
        <f t="shared" si="154"/>
        <v>16</v>
      </c>
      <c r="F98" s="72">
        <f t="shared" si="170"/>
        <v>1616</v>
      </c>
      <c r="G98">
        <f>ROUND((E98+(30+30)/2)*AN98*兵攻防!A98/基本公式!$B$50,0)</f>
        <v>690</v>
      </c>
      <c r="H98" s="76">
        <f>ROUND((E98+(基本公式!$B$180+基本公式!$B$28)/2)*AN98*兵攻防!A98/基本公式!$B$50,0)</f>
        <v>2115</v>
      </c>
      <c r="I98" s="1">
        <v>20</v>
      </c>
      <c r="J98">
        <f>ROUND(POWER($A$26*I98/100,$AM$26),0)</f>
        <v>10</v>
      </c>
      <c r="K98" s="18">
        <v>3</v>
      </c>
      <c r="L98">
        <f t="shared" ca="1" si="155"/>
        <v>13.2</v>
      </c>
      <c r="M98" s="1">
        <v>550</v>
      </c>
      <c r="N98" s="11">
        <f ca="1">OFFSET(其他表格!$G$2,M98/100,0)</f>
        <v>1.2000000000000002</v>
      </c>
      <c r="O98" s="1">
        <v>2</v>
      </c>
      <c r="P98" s="11">
        <f ca="1">OFFSET(其他表格!$B$1,O98,0)</f>
        <v>1.1000000000000001</v>
      </c>
      <c r="Q98">
        <f t="shared" si="156"/>
        <v>32.4</v>
      </c>
      <c r="R98">
        <f>ROUND(($E$26+200)*$AN$26,2)</f>
        <v>30</v>
      </c>
      <c r="S98">
        <f>ROUND(POWER((E98+200-$J$26-200+AP98),2)/AO98,2)</f>
        <v>44.38</v>
      </c>
      <c r="T98">
        <f>ROUND(POWER(($E$26+200-J98-200+AP98),2)/AO98,2)</f>
        <v>40.020000000000003</v>
      </c>
      <c r="U98">
        <f t="shared" ca="1" si="157"/>
        <v>51</v>
      </c>
      <c r="V98">
        <f t="shared" ca="1" si="158"/>
        <v>46</v>
      </c>
      <c r="W98" s="15">
        <f t="shared" ca="1" si="159"/>
        <v>0.10199999999999999</v>
      </c>
      <c r="X98" s="15">
        <f t="shared" ca="1" si="160"/>
        <v>9.1999999999999998E-2</v>
      </c>
      <c r="Y98"/>
      <c r="Z98"/>
      <c r="AA98"/>
      <c r="AB98" s="15"/>
      <c r="AC98"/>
      <c r="AD98" s="10"/>
      <c r="AE98" s="10"/>
      <c r="AF98" s="15"/>
      <c r="AG98" s="10"/>
      <c r="AH98" s="10"/>
      <c r="AI98" s="15"/>
      <c r="AJ98" s="10"/>
      <c r="AK98" s="10"/>
      <c r="AL98" s="15"/>
      <c r="AM98" s="8">
        <v>0.5</v>
      </c>
      <c r="AN98" s="8">
        <v>0.15</v>
      </c>
      <c r="AO98" s="8">
        <v>6000</v>
      </c>
      <c r="AP98" s="8">
        <v>500</v>
      </c>
      <c r="AQ98" s="8">
        <v>20000</v>
      </c>
      <c r="AS98">
        <f t="shared" ca="1" si="161"/>
        <v>49</v>
      </c>
      <c r="AT98">
        <f t="shared" si="162"/>
        <v>298</v>
      </c>
      <c r="AU98" s="15">
        <f t="shared" ca="1" si="163"/>
        <v>9.8000000000000004E-2</v>
      </c>
      <c r="AV98" s="64">
        <f ca="1">ROUND((AW98+其他表格!K6+基本公式!$B$84)*OFFSET(其他表格!$N$1,兵攻防!O98,0)+OFFSET(其他表格!$P$1,M98/100,0),4)</f>
        <v>0.16400000000000001</v>
      </c>
      <c r="AW98" s="35">
        <v>0.1</v>
      </c>
      <c r="AX98" s="1">
        <v>195</v>
      </c>
      <c r="AY98">
        <f t="shared" si="164"/>
        <v>46</v>
      </c>
      <c r="AZ98">
        <f t="shared" si="165"/>
        <v>434</v>
      </c>
      <c r="BA98">
        <f t="shared" si="166"/>
        <v>35</v>
      </c>
      <c r="BB98" s="31">
        <f t="shared" si="167"/>
        <v>114</v>
      </c>
      <c r="BC98">
        <f t="shared" si="168"/>
        <v>11</v>
      </c>
      <c r="BD98" s="31">
        <f t="shared" si="169"/>
        <v>320</v>
      </c>
      <c r="BE98">
        <f>基本公式!$B$183</f>
        <v>30</v>
      </c>
      <c r="BF98">
        <f>基本公式!$B$182</f>
        <v>150</v>
      </c>
      <c r="BG98" s="8">
        <v>300</v>
      </c>
      <c r="BH98" s="8">
        <v>60000</v>
      </c>
      <c r="BI98" s="8">
        <v>200</v>
      </c>
      <c r="BJ98" s="8">
        <v>11500</v>
      </c>
    </row>
    <row r="99" spans="1:62">
      <c r="A99">
        <v>1000</v>
      </c>
      <c r="B99" s="19">
        <f t="shared" ca="1" si="152"/>
        <v>12</v>
      </c>
      <c r="C99" s="21">
        <f t="shared" ca="1" si="153"/>
        <v>15</v>
      </c>
      <c r="D99" s="1">
        <v>54</v>
      </c>
      <c r="E99">
        <f t="shared" si="154"/>
        <v>23</v>
      </c>
      <c r="F99" s="72">
        <f t="shared" si="170"/>
        <v>3443</v>
      </c>
      <c r="G99">
        <f>ROUND((E99+(30+30)/2)*AN99*兵攻防!A99/基本公式!$B$50,0)</f>
        <v>1590</v>
      </c>
      <c r="H99" s="76">
        <f>ROUND((E99+(基本公式!$B$180+基本公式!$B$28)/2)*AN99*兵攻防!A99/基本公式!$B$50,0)</f>
        <v>4440</v>
      </c>
      <c r="I99" s="1">
        <v>20</v>
      </c>
      <c r="J99">
        <f>ROUND(POWER($A$27*I99/100,$AM$27),0)</f>
        <v>14</v>
      </c>
      <c r="K99" s="18">
        <v>3</v>
      </c>
      <c r="L99">
        <f t="shared" ca="1" si="155"/>
        <v>13.2</v>
      </c>
      <c r="M99" s="1">
        <v>550</v>
      </c>
      <c r="N99" s="11">
        <f ca="1">OFFSET(其他表格!$G$2,M99/100,0)</f>
        <v>1.2000000000000002</v>
      </c>
      <c r="O99" s="1">
        <v>2</v>
      </c>
      <c r="P99" s="11">
        <f ca="1">OFFSET(其他表格!$B$1,O99,0)</f>
        <v>1.1000000000000001</v>
      </c>
      <c r="Q99">
        <f t="shared" si="156"/>
        <v>33.450000000000003</v>
      </c>
      <c r="R99">
        <f>ROUND(($E$27+200)*$AN$27,2)</f>
        <v>30</v>
      </c>
      <c r="S99">
        <f>ROUND(POWER((E99+200-$J$27-200+AP99),2)/AO99,2)</f>
        <v>45.59</v>
      </c>
      <c r="T99">
        <f>ROUND(POWER(($E$27+200-J99-200+AP99),2)/AO99,2)</f>
        <v>39.369999999999997</v>
      </c>
      <c r="U99">
        <f t="shared" ca="1" si="157"/>
        <v>104</v>
      </c>
      <c r="V99">
        <f t="shared" ca="1" si="158"/>
        <v>92</v>
      </c>
      <c r="W99" s="15">
        <f t="shared" ca="1" si="159"/>
        <v>0.104</v>
      </c>
      <c r="X99" s="15">
        <f t="shared" ca="1" si="160"/>
        <v>9.1999999999999998E-2</v>
      </c>
      <c r="Y99"/>
      <c r="Z99"/>
      <c r="AA99"/>
      <c r="AB99" s="15"/>
      <c r="AC99"/>
      <c r="AD99" s="10"/>
      <c r="AE99" s="10"/>
      <c r="AF99" s="15"/>
      <c r="AG99" s="10"/>
      <c r="AH99" s="10"/>
      <c r="AI99" s="15"/>
      <c r="AJ99" s="10"/>
      <c r="AK99" s="10"/>
      <c r="AL99" s="15"/>
      <c r="AM99" s="8">
        <v>0.5</v>
      </c>
      <c r="AN99" s="8">
        <v>0.15</v>
      </c>
      <c r="AO99" s="8">
        <v>6000</v>
      </c>
      <c r="AP99" s="8">
        <v>500</v>
      </c>
      <c r="AQ99" s="8">
        <v>20000</v>
      </c>
      <c r="AS99">
        <f t="shared" ca="1" si="161"/>
        <v>104</v>
      </c>
      <c r="AT99">
        <f t="shared" si="162"/>
        <v>596</v>
      </c>
      <c r="AU99" s="15">
        <f t="shared" ca="1" si="163"/>
        <v>0.104</v>
      </c>
      <c r="AV99" s="64">
        <f ca="1">ROUND((AW99+其他表格!K7+基本公式!$B$84)*OFFSET(其他表格!$N$1,兵攻防!O99,0)+OFFSET(其他表格!$P$1,M99/100,0),4)</f>
        <v>0.17510000000000001</v>
      </c>
      <c r="AW99" s="35">
        <v>0.1</v>
      </c>
      <c r="AX99" s="1">
        <v>195</v>
      </c>
      <c r="AY99">
        <f t="shared" si="164"/>
        <v>90</v>
      </c>
      <c r="AZ99">
        <f t="shared" si="165"/>
        <v>868</v>
      </c>
      <c r="BA99">
        <f t="shared" si="166"/>
        <v>69</v>
      </c>
      <c r="BB99" s="31">
        <f t="shared" si="167"/>
        <v>228</v>
      </c>
      <c r="BC99">
        <f t="shared" si="168"/>
        <v>21</v>
      </c>
      <c r="BD99" s="31">
        <f t="shared" si="169"/>
        <v>640</v>
      </c>
      <c r="BE99">
        <f>基本公式!$B$183</f>
        <v>30</v>
      </c>
      <c r="BF99">
        <f>基本公式!$B$182</f>
        <v>150</v>
      </c>
      <c r="BG99" s="8">
        <v>300</v>
      </c>
      <c r="BH99" s="8">
        <v>60000</v>
      </c>
      <c r="BI99" s="8">
        <v>200</v>
      </c>
      <c r="BJ99" s="8">
        <v>11500</v>
      </c>
    </row>
    <row r="100" spans="1:62">
      <c r="A100">
        <v>2000</v>
      </c>
      <c r="B100" s="19">
        <f t="shared" ca="1" si="152"/>
        <v>36</v>
      </c>
      <c r="C100" s="21">
        <f t="shared" ca="1" si="153"/>
        <v>37</v>
      </c>
      <c r="D100" s="1">
        <v>54</v>
      </c>
      <c r="E100">
        <f t="shared" si="154"/>
        <v>33</v>
      </c>
      <c r="F100" s="72">
        <f t="shared" si="170"/>
        <v>7485</v>
      </c>
      <c r="G100">
        <f>ROUND((E100+(30+30)/2)*AN100*兵攻防!A100/基本公式!$B$50,0)</f>
        <v>3780</v>
      </c>
      <c r="H100" s="76">
        <f>ROUND((E100+(基本公式!$B$180+基本公式!$B$28)/2)*AN100*兵攻防!A100/基本公式!$B$50,0)</f>
        <v>9480</v>
      </c>
      <c r="I100" s="1">
        <v>20</v>
      </c>
      <c r="J100">
        <f>ROUND(POWER($A$28*I100/100,$AM$28),0)</f>
        <v>20</v>
      </c>
      <c r="K100" s="18">
        <v>3</v>
      </c>
      <c r="L100">
        <f t="shared" ca="1" si="155"/>
        <v>13.2</v>
      </c>
      <c r="M100" s="1">
        <v>550</v>
      </c>
      <c r="N100" s="11">
        <f ca="1">OFFSET(其他表格!$G$2,M100/100,0)</f>
        <v>1.2000000000000002</v>
      </c>
      <c r="O100" s="1">
        <v>2</v>
      </c>
      <c r="P100" s="11">
        <f ca="1">OFFSET(其他表格!$B$1,O100,0)</f>
        <v>1.1000000000000001</v>
      </c>
      <c r="Q100">
        <f t="shared" si="156"/>
        <v>34.950000000000003</v>
      </c>
      <c r="R100">
        <f>ROUND(($E$28+200)*$AN$28,2)</f>
        <v>30</v>
      </c>
      <c r="S100">
        <f>ROUND(POWER((E100+200-$J$28-200+AP100),2)/AO100,2)</f>
        <v>47.35</v>
      </c>
      <c r="T100">
        <f>ROUND(POWER(($E$28+200-J100-200+AP100),2)/AO100,2)</f>
        <v>38.4</v>
      </c>
      <c r="U100">
        <f t="shared" ca="1" si="157"/>
        <v>217</v>
      </c>
      <c r="V100">
        <f t="shared" ca="1" si="158"/>
        <v>181</v>
      </c>
      <c r="W100" s="15">
        <f t="shared" ca="1" si="159"/>
        <v>0.1085</v>
      </c>
      <c r="X100" s="15">
        <f t="shared" ca="1" si="160"/>
        <v>9.0499999999999997E-2</v>
      </c>
      <c r="Y100"/>
      <c r="Z100"/>
      <c r="AA100"/>
      <c r="AB100" s="15"/>
      <c r="AC100"/>
      <c r="AD100" s="10"/>
      <c r="AE100" s="10"/>
      <c r="AF100" s="15"/>
      <c r="AG100" s="10"/>
      <c r="AH100" s="10"/>
      <c r="AI100" s="15"/>
      <c r="AJ100" s="10"/>
      <c r="AK100" s="10"/>
      <c r="AL100" s="15"/>
      <c r="AM100" s="8">
        <v>0.5</v>
      </c>
      <c r="AN100" s="8">
        <v>0.15</v>
      </c>
      <c r="AO100" s="8">
        <v>6000</v>
      </c>
      <c r="AP100" s="8">
        <v>500</v>
      </c>
      <c r="AQ100" s="8">
        <v>20000</v>
      </c>
      <c r="AS100">
        <f t="shared" ca="1" si="161"/>
        <v>224</v>
      </c>
      <c r="AT100">
        <f t="shared" si="162"/>
        <v>1191</v>
      </c>
      <c r="AU100" s="15">
        <f t="shared" ca="1" si="163"/>
        <v>0.112</v>
      </c>
      <c r="AV100" s="64">
        <f ca="1">ROUND((AW100+其他表格!K8+基本公式!$B$84)*OFFSET(其他表格!$N$1,兵攻防!O100,0)+OFFSET(其他表格!$P$1,M100/100,0),4)</f>
        <v>0.188</v>
      </c>
      <c r="AW100" s="35">
        <v>0.1</v>
      </c>
      <c r="AX100" s="1">
        <v>195</v>
      </c>
      <c r="AY100">
        <f t="shared" si="164"/>
        <v>180</v>
      </c>
      <c r="AZ100">
        <f t="shared" si="165"/>
        <v>1736</v>
      </c>
      <c r="BA100">
        <f t="shared" si="166"/>
        <v>138</v>
      </c>
      <c r="BB100" s="31">
        <f t="shared" si="167"/>
        <v>456</v>
      </c>
      <c r="BC100">
        <f t="shared" si="168"/>
        <v>42</v>
      </c>
      <c r="BD100" s="31">
        <f t="shared" si="169"/>
        <v>1280</v>
      </c>
      <c r="BE100">
        <f>基本公式!$B$183</f>
        <v>30</v>
      </c>
      <c r="BF100">
        <f>基本公式!$B$182</f>
        <v>150</v>
      </c>
      <c r="BG100" s="8">
        <v>300</v>
      </c>
      <c r="BH100" s="8">
        <v>60000</v>
      </c>
      <c r="BI100" s="8">
        <v>200</v>
      </c>
      <c r="BJ100" s="8">
        <v>11500</v>
      </c>
    </row>
    <row r="101" spans="1:62">
      <c r="A101">
        <v>5000</v>
      </c>
      <c r="B101" s="19">
        <f t="shared" ca="1" si="152"/>
        <v>146</v>
      </c>
      <c r="C101" s="21">
        <f t="shared" ca="1" si="153"/>
        <v>145</v>
      </c>
      <c r="D101" s="1">
        <v>54</v>
      </c>
      <c r="E101">
        <f t="shared" si="154"/>
        <v>52</v>
      </c>
      <c r="F101" s="72">
        <f t="shared" si="170"/>
        <v>21563</v>
      </c>
      <c r="G101">
        <f>ROUND((E101+(30+30)/2)*AN101*兵攻防!A101/基本公式!$B$50,0)</f>
        <v>12300</v>
      </c>
      <c r="H101" s="76">
        <f>ROUND((E101+(基本公式!$B$180+基本公式!$B$28)/2)*AN101*兵攻防!A101/基本公式!$B$50,0)</f>
        <v>26550</v>
      </c>
      <c r="I101" s="1">
        <v>20</v>
      </c>
      <c r="J101">
        <f>ROUND(POWER($A$29*I101/100,$AM$29),0)</f>
        <v>32</v>
      </c>
      <c r="K101" s="18">
        <v>3</v>
      </c>
      <c r="L101">
        <f t="shared" ca="1" si="155"/>
        <v>13.2</v>
      </c>
      <c r="M101" s="1">
        <v>550</v>
      </c>
      <c r="N101" s="11">
        <f ca="1">OFFSET(其他表格!$G$2,M101/100,0)</f>
        <v>1.2000000000000002</v>
      </c>
      <c r="O101" s="1">
        <v>2</v>
      </c>
      <c r="P101" s="11">
        <f ca="1">OFFSET(其他表格!$B$1,O101,0)</f>
        <v>1.1000000000000001</v>
      </c>
      <c r="Q101">
        <f t="shared" si="156"/>
        <v>37.799999999999997</v>
      </c>
      <c r="R101">
        <f>ROUND(($E$29+200)*$AN$29,2)</f>
        <v>30</v>
      </c>
      <c r="S101">
        <f>ROUND(POWER((E101+200-$J$29-200+AP101),2)/AO101,2)</f>
        <v>50.78</v>
      </c>
      <c r="T101">
        <f>ROUND(POWER(($E$29+200-J101-200+AP101),2)/AO101,2)</f>
        <v>36.5</v>
      </c>
      <c r="U101">
        <f t="shared" ca="1" si="157"/>
        <v>585</v>
      </c>
      <c r="V101">
        <f t="shared" ca="1" si="158"/>
        <v>439</v>
      </c>
      <c r="W101" s="15">
        <f t="shared" ca="1" si="159"/>
        <v>0.11700000000000001</v>
      </c>
      <c r="X101" s="15">
        <f t="shared" ca="1" si="160"/>
        <v>8.7800000000000003E-2</v>
      </c>
      <c r="Y101"/>
      <c r="Z101"/>
      <c r="AA101"/>
      <c r="AB101" s="15"/>
      <c r="AC101"/>
      <c r="AD101" s="10"/>
      <c r="AE101" s="10"/>
      <c r="AF101" s="15"/>
      <c r="AG101" s="10"/>
      <c r="AH101" s="10"/>
      <c r="AI101" s="15"/>
      <c r="AJ101" s="10"/>
      <c r="AK101" s="10"/>
      <c r="AL101" s="15"/>
      <c r="AM101" s="8">
        <v>0.5</v>
      </c>
      <c r="AN101" s="8">
        <v>0.15</v>
      </c>
      <c r="AO101" s="8">
        <v>6000</v>
      </c>
      <c r="AP101" s="8">
        <v>500</v>
      </c>
      <c r="AQ101" s="8">
        <v>20000</v>
      </c>
      <c r="AS101">
        <f t="shared" ca="1" si="161"/>
        <v>604</v>
      </c>
      <c r="AT101">
        <f t="shared" si="162"/>
        <v>2980</v>
      </c>
      <c r="AU101" s="15">
        <f t="shared" ca="1" si="163"/>
        <v>0.1208</v>
      </c>
      <c r="AV101" s="64">
        <f ca="1">ROUND((AW101+其他表格!K9+基本公式!$B$84)*OFFSET(其他表格!$N$1,兵攻防!O101,0)+OFFSET(其他表格!$P$1,M101/100,0),4)</f>
        <v>0.20280000000000001</v>
      </c>
      <c r="AW101" s="35">
        <v>0.1</v>
      </c>
      <c r="AX101" s="1">
        <v>195</v>
      </c>
      <c r="AY101">
        <f>BA101+BC101</f>
        <v>451</v>
      </c>
      <c r="AZ101">
        <f>BB101+BD101</f>
        <v>4342</v>
      </c>
      <c r="BA101">
        <f t="shared" si="166"/>
        <v>345</v>
      </c>
      <c r="BB101" s="31">
        <f t="shared" si="167"/>
        <v>1141</v>
      </c>
      <c r="BC101">
        <f t="shared" si="168"/>
        <v>106</v>
      </c>
      <c r="BD101" s="31">
        <f t="shared" si="169"/>
        <v>3201</v>
      </c>
      <c r="BE101">
        <f>基本公式!$B$183</f>
        <v>30</v>
      </c>
      <c r="BF101">
        <f>基本公式!$B$182</f>
        <v>150</v>
      </c>
      <c r="BG101" s="8">
        <v>300</v>
      </c>
      <c r="BH101" s="8">
        <v>60000</v>
      </c>
      <c r="BI101" s="8">
        <v>200</v>
      </c>
      <c r="BJ101" s="8">
        <v>11500</v>
      </c>
    </row>
    <row r="102" spans="1:62">
      <c r="D102" s="1"/>
      <c r="I102" s="1"/>
      <c r="M102" s="1"/>
      <c r="O102" s="1"/>
      <c r="P102" s="11"/>
      <c r="W102" s="15"/>
      <c r="X102" s="15"/>
      <c r="Y102"/>
      <c r="Z102"/>
      <c r="AA102"/>
      <c r="AB102" s="15"/>
      <c r="AC102"/>
      <c r="AD102" s="10"/>
      <c r="AE102" s="10"/>
      <c r="AF102" s="15"/>
      <c r="AG102" s="10"/>
      <c r="AH102" s="10"/>
      <c r="AI102" s="15"/>
      <c r="AJ102" s="10"/>
      <c r="AK102" s="10"/>
      <c r="AL102" s="15"/>
      <c r="AU102" s="15"/>
      <c r="AV102" s="64"/>
      <c r="BI102" s="8"/>
      <c r="BJ102" s="8"/>
    </row>
    <row r="103" spans="1:62" s="23" customFormat="1">
      <c r="A103" s="23" t="s">
        <v>202</v>
      </c>
      <c r="B103" s="26"/>
      <c r="C103" s="26"/>
      <c r="F103" s="75"/>
      <c r="H103" s="78"/>
      <c r="K103" s="63"/>
      <c r="AR103" s="30"/>
      <c r="AV103" s="21"/>
      <c r="AW103" s="37"/>
      <c r="AX103" s="27"/>
      <c r="BB103" s="33"/>
      <c r="BD103" s="33"/>
      <c r="BG103" s="8"/>
      <c r="BH103" s="8"/>
    </row>
    <row r="104" spans="1:62">
      <c r="A104">
        <v>100</v>
      </c>
      <c r="B104" s="19">
        <f t="shared" ref="B104:B109" ca="1" si="171">ROUND(((U104-$U$29)+($V$29-V104)),0)</f>
        <v>1</v>
      </c>
      <c r="C104" s="21">
        <f t="shared" ref="C104:C109" ca="1" si="172">B32</f>
        <v>0</v>
      </c>
      <c r="D104" s="1">
        <v>12</v>
      </c>
      <c r="E104">
        <f t="shared" ref="E104:E109" si="173">ROUND(POWER(A104*D104/100,AM104),0)</f>
        <v>3</v>
      </c>
      <c r="I104" s="1">
        <v>8</v>
      </c>
      <c r="J104">
        <f>ROUND(POWER($A$24*I104/100,$AM$24),0)</f>
        <v>3</v>
      </c>
      <c r="K104" s="18">
        <v>3</v>
      </c>
      <c r="L104">
        <f t="shared" ref="L104:L109" ca="1" si="174">ROUND(30/K104*P104*N104,2)</f>
        <v>9.1</v>
      </c>
      <c r="M104" s="1">
        <v>0</v>
      </c>
      <c r="N104" s="11">
        <f ca="1">OFFSET(其他表格!$G$2,M104/100,0)</f>
        <v>0.7</v>
      </c>
      <c r="O104" s="1">
        <v>4</v>
      </c>
      <c r="P104" s="11">
        <f ca="1">OFFSET(其他表格!$B$1,O104,0)</f>
        <v>1.3</v>
      </c>
      <c r="Q104">
        <f t="shared" ref="Q104:Q109" si="175">ROUND((E104+200)*AN104,2)</f>
        <v>30.45</v>
      </c>
      <c r="R104">
        <f>ROUND(($E$24+200)*$AN$24,2)</f>
        <v>30</v>
      </c>
      <c r="S104">
        <f>ROUND(POWER((E104+200-$J$24-200+AP104),2)/AO104,2)</f>
        <v>42.17</v>
      </c>
      <c r="T104">
        <f>ROUND(POWER(($E$24+200-J104-200+AP104),2)/AO104,2)</f>
        <v>41.17</v>
      </c>
      <c r="U104">
        <f t="shared" ref="U104:U109" ca="1" si="176">ROUND((Q104+S104)*(A104+A104)/AQ104*L104,0)</f>
        <v>7</v>
      </c>
      <c r="V104">
        <f t="shared" ref="V104:V109" ca="1" si="177">ROUND((R104+T104)*(A104+A104)/AQ104*L104,0)</f>
        <v>6</v>
      </c>
      <c r="W104" s="15">
        <f t="shared" ref="W104:W109" ca="1" si="178">MIN(ROUND(U104/A104,4),1)</f>
        <v>7.0000000000000007E-2</v>
      </c>
      <c r="X104" s="15">
        <f t="shared" ref="X104:X109" ca="1" si="179">MIN(ROUND(V104/A104,4),1)</f>
        <v>0.06</v>
      </c>
      <c r="Y104"/>
      <c r="Z104"/>
      <c r="AA104"/>
      <c r="AB104" s="15"/>
      <c r="AC104"/>
      <c r="AD104" s="10"/>
      <c r="AE104" s="10"/>
      <c r="AF104" s="15"/>
      <c r="AG104" s="10"/>
      <c r="AH104" s="10"/>
      <c r="AI104" s="15"/>
      <c r="AJ104" s="10"/>
      <c r="AK104" s="10"/>
      <c r="AL104" s="15"/>
      <c r="AM104" s="8">
        <v>0.5</v>
      </c>
      <c r="AN104" s="8">
        <v>0.15</v>
      </c>
      <c r="AO104" s="8">
        <v>6000</v>
      </c>
      <c r="AP104" s="8">
        <v>500</v>
      </c>
      <c r="AQ104" s="8">
        <v>20000</v>
      </c>
      <c r="AU104" s="15"/>
      <c r="AV104" s="64"/>
      <c r="BI104" s="8"/>
      <c r="BJ104" s="8"/>
    </row>
    <row r="105" spans="1:62">
      <c r="A105">
        <v>200</v>
      </c>
      <c r="B105" s="19">
        <f t="shared" ca="1" si="171"/>
        <v>0</v>
      </c>
      <c r="C105" s="21">
        <f t="shared" ca="1" si="172"/>
        <v>1</v>
      </c>
      <c r="D105" s="1">
        <v>12</v>
      </c>
      <c r="E105">
        <f t="shared" si="173"/>
        <v>5</v>
      </c>
      <c r="I105" s="1">
        <v>8</v>
      </c>
      <c r="J105">
        <f>ROUND(POWER($A$25*I105/100,$AM$25),0)</f>
        <v>4</v>
      </c>
      <c r="K105" s="18">
        <v>3</v>
      </c>
      <c r="L105">
        <f t="shared" ca="1" si="174"/>
        <v>9.1</v>
      </c>
      <c r="M105" s="1">
        <v>0</v>
      </c>
      <c r="N105" s="11">
        <f ca="1">OFFSET(其他表格!$G$2,M105/100,0)</f>
        <v>0.7</v>
      </c>
      <c r="O105" s="1">
        <v>4</v>
      </c>
      <c r="P105" s="11">
        <f ca="1">OFFSET(其他表格!$B$1,O105,0)</f>
        <v>1.3</v>
      </c>
      <c r="Q105">
        <f t="shared" si="175"/>
        <v>30.75</v>
      </c>
      <c r="R105">
        <f>ROUND(($E$25+200)*$AN$25,2)</f>
        <v>30</v>
      </c>
      <c r="S105">
        <f>ROUND(POWER((E105+200-$J$25-200+AP105),2)/AO105,2)</f>
        <v>42.5</v>
      </c>
      <c r="T105">
        <f>ROUND(POWER(($E$25+200-J105-200+AP105),2)/AO105,2)</f>
        <v>41</v>
      </c>
      <c r="U105">
        <f t="shared" ca="1" si="176"/>
        <v>13</v>
      </c>
      <c r="V105">
        <f t="shared" ca="1" si="177"/>
        <v>13</v>
      </c>
      <c r="W105" s="15">
        <f t="shared" ca="1" si="178"/>
        <v>6.5000000000000002E-2</v>
      </c>
      <c r="X105" s="15">
        <f t="shared" ca="1" si="179"/>
        <v>6.5000000000000002E-2</v>
      </c>
      <c r="Y105"/>
      <c r="Z105"/>
      <c r="AA105"/>
      <c r="AB105" s="15"/>
      <c r="AC105"/>
      <c r="AD105" s="10"/>
      <c r="AE105" s="10"/>
      <c r="AF105" s="15"/>
      <c r="AG105" s="10"/>
      <c r="AH105" s="10"/>
      <c r="AI105" s="15"/>
      <c r="AJ105" s="10"/>
      <c r="AK105" s="10"/>
      <c r="AL105" s="15"/>
      <c r="AM105" s="8">
        <v>0.5</v>
      </c>
      <c r="AN105" s="8">
        <v>0.15</v>
      </c>
      <c r="AO105" s="8">
        <v>6000</v>
      </c>
      <c r="AP105" s="8">
        <v>500</v>
      </c>
      <c r="AQ105" s="8">
        <v>20000</v>
      </c>
      <c r="AU105" s="15"/>
      <c r="AV105" s="64"/>
      <c r="BI105" s="8"/>
      <c r="BJ105" s="8"/>
    </row>
    <row r="106" spans="1:62">
      <c r="A106">
        <v>500</v>
      </c>
      <c r="B106" s="19">
        <f t="shared" ca="1" si="171"/>
        <v>2</v>
      </c>
      <c r="C106" s="21">
        <f t="shared" ca="1" si="172"/>
        <v>2</v>
      </c>
      <c r="D106" s="1">
        <v>12</v>
      </c>
      <c r="E106">
        <f t="shared" si="173"/>
        <v>8</v>
      </c>
      <c r="I106" s="1">
        <v>8</v>
      </c>
      <c r="J106">
        <f>ROUND(POWER($A$26*I106/100,$AM$26),0)</f>
        <v>6</v>
      </c>
      <c r="K106" s="18">
        <v>3</v>
      </c>
      <c r="L106">
        <f t="shared" ca="1" si="174"/>
        <v>9.1</v>
      </c>
      <c r="M106" s="1">
        <v>0</v>
      </c>
      <c r="N106" s="11">
        <f ca="1">OFFSET(其他表格!$G$2,M106/100,0)</f>
        <v>0.7</v>
      </c>
      <c r="O106" s="1">
        <v>4</v>
      </c>
      <c r="P106" s="11">
        <f ca="1">OFFSET(其他表格!$B$1,O106,0)</f>
        <v>1.3</v>
      </c>
      <c r="Q106">
        <f t="shared" si="175"/>
        <v>31.2</v>
      </c>
      <c r="R106">
        <f>ROUND(($E$26+200)*$AN$26,2)</f>
        <v>30</v>
      </c>
      <c r="S106">
        <f>ROUND(POWER((E106+200-$J$26-200+AP106),2)/AO106,2)</f>
        <v>43.01</v>
      </c>
      <c r="T106">
        <f>ROUND(POWER(($E$26+200-J106-200+AP106),2)/AO106,2)</f>
        <v>40.67</v>
      </c>
      <c r="U106">
        <f t="shared" ca="1" si="176"/>
        <v>34</v>
      </c>
      <c r="V106">
        <f t="shared" ca="1" si="177"/>
        <v>32</v>
      </c>
      <c r="W106" s="15">
        <f t="shared" ca="1" si="178"/>
        <v>6.8000000000000005E-2</v>
      </c>
      <c r="X106" s="15">
        <f t="shared" ca="1" si="179"/>
        <v>6.4000000000000001E-2</v>
      </c>
      <c r="Y106"/>
      <c r="Z106"/>
      <c r="AA106"/>
      <c r="AB106" s="15"/>
      <c r="AC106"/>
      <c r="AD106" s="10"/>
      <c r="AE106" s="10"/>
      <c r="AF106" s="15"/>
      <c r="AG106" s="10"/>
      <c r="AH106" s="10"/>
      <c r="AI106" s="15"/>
      <c r="AJ106" s="10"/>
      <c r="AK106" s="10"/>
      <c r="AL106" s="15"/>
      <c r="AM106" s="8">
        <v>0.5</v>
      </c>
      <c r="AN106" s="8">
        <v>0.15</v>
      </c>
      <c r="AO106" s="8">
        <v>6000</v>
      </c>
      <c r="AP106" s="8">
        <v>500</v>
      </c>
      <c r="AQ106" s="8">
        <v>20000</v>
      </c>
      <c r="AU106" s="15"/>
      <c r="AV106" s="64"/>
      <c r="BI106" s="8"/>
      <c r="BJ106" s="8"/>
    </row>
    <row r="107" spans="1:62">
      <c r="A107">
        <v>1000</v>
      </c>
      <c r="B107" s="19">
        <f t="shared" ca="1" si="171"/>
        <v>4</v>
      </c>
      <c r="C107" s="21">
        <f t="shared" ca="1" si="172"/>
        <v>5</v>
      </c>
      <c r="D107" s="1">
        <v>12</v>
      </c>
      <c r="E107">
        <f t="shared" si="173"/>
        <v>11</v>
      </c>
      <c r="I107" s="1">
        <v>8</v>
      </c>
      <c r="J107">
        <f>ROUND(POWER($A$27*I107/100,$AM$27),0)</f>
        <v>9</v>
      </c>
      <c r="K107" s="18">
        <v>3</v>
      </c>
      <c r="L107">
        <f t="shared" ca="1" si="174"/>
        <v>9.1</v>
      </c>
      <c r="M107" s="1">
        <v>0</v>
      </c>
      <c r="N107" s="11">
        <f ca="1">OFFSET(其他表格!$G$2,M107/100,0)</f>
        <v>0.7</v>
      </c>
      <c r="O107" s="1">
        <v>4</v>
      </c>
      <c r="P107" s="11">
        <f ca="1">OFFSET(其他表格!$B$1,O107,0)</f>
        <v>1.3</v>
      </c>
      <c r="Q107">
        <f t="shared" si="175"/>
        <v>31.65</v>
      </c>
      <c r="R107">
        <f>ROUND(($E$27+200)*$AN$27,2)</f>
        <v>30</v>
      </c>
      <c r="S107">
        <f>ROUND(POWER((E107+200-$J$27-200+AP107),2)/AO107,2)</f>
        <v>43.52</v>
      </c>
      <c r="T107">
        <f>ROUND(POWER(($E$27+200-J107-200+AP107),2)/AO107,2)</f>
        <v>40.18</v>
      </c>
      <c r="U107">
        <f t="shared" ca="1" si="176"/>
        <v>68</v>
      </c>
      <c r="V107">
        <f t="shared" ca="1" si="177"/>
        <v>64</v>
      </c>
      <c r="W107" s="15">
        <f t="shared" ca="1" si="178"/>
        <v>6.8000000000000005E-2</v>
      </c>
      <c r="X107" s="15">
        <f t="shared" ca="1" si="179"/>
        <v>6.4000000000000001E-2</v>
      </c>
      <c r="Y107"/>
      <c r="Z107"/>
      <c r="AA107"/>
      <c r="AB107" s="15"/>
      <c r="AC107"/>
      <c r="AD107" s="10"/>
      <c r="AE107" s="10"/>
      <c r="AF107" s="15"/>
      <c r="AG107" s="10"/>
      <c r="AH107" s="10"/>
      <c r="AI107" s="15"/>
      <c r="AJ107" s="10"/>
      <c r="AK107" s="10"/>
      <c r="AL107" s="15"/>
      <c r="AM107" s="8">
        <v>0.5</v>
      </c>
      <c r="AN107" s="8">
        <v>0.15</v>
      </c>
      <c r="AO107" s="8">
        <v>6000</v>
      </c>
      <c r="AP107" s="8">
        <v>500</v>
      </c>
      <c r="AQ107" s="8">
        <v>20000</v>
      </c>
      <c r="AU107" s="15"/>
      <c r="AV107" s="64"/>
      <c r="BI107" s="8"/>
      <c r="BJ107" s="8"/>
    </row>
    <row r="108" spans="1:62">
      <c r="A108">
        <v>2000</v>
      </c>
      <c r="B108" s="19">
        <f t="shared" ca="1" si="171"/>
        <v>12</v>
      </c>
      <c r="C108" s="21">
        <f t="shared" ca="1" si="172"/>
        <v>13</v>
      </c>
      <c r="D108" s="1">
        <v>12</v>
      </c>
      <c r="E108">
        <f t="shared" si="173"/>
        <v>15</v>
      </c>
      <c r="I108" s="1">
        <v>8</v>
      </c>
      <c r="J108">
        <f>ROUND(POWER($A$28*I108/100,$AM$28),0)</f>
        <v>13</v>
      </c>
      <c r="K108" s="18">
        <v>3</v>
      </c>
      <c r="L108">
        <f t="shared" ca="1" si="174"/>
        <v>9.1</v>
      </c>
      <c r="M108" s="1">
        <v>0</v>
      </c>
      <c r="N108" s="11">
        <f ca="1">OFFSET(其他表格!$G$2,M108/100,0)</f>
        <v>0.7</v>
      </c>
      <c r="O108" s="1">
        <v>4</v>
      </c>
      <c r="P108" s="11">
        <f ca="1">OFFSET(其他表格!$B$1,O108,0)</f>
        <v>1.3</v>
      </c>
      <c r="Q108">
        <f t="shared" si="175"/>
        <v>32.25</v>
      </c>
      <c r="R108">
        <f>ROUND(($E$28+200)*$AN$28,2)</f>
        <v>30</v>
      </c>
      <c r="S108">
        <f>ROUND(POWER((E108+200-$J$28-200+AP108),2)/AO108,2)</f>
        <v>44.2</v>
      </c>
      <c r="T108">
        <f>ROUND(POWER(($E$28+200-J108-200+AP108),2)/AO108,2)</f>
        <v>39.53</v>
      </c>
      <c r="U108">
        <f t="shared" ca="1" si="176"/>
        <v>139</v>
      </c>
      <c r="V108">
        <f t="shared" ca="1" si="177"/>
        <v>127</v>
      </c>
      <c r="W108" s="15">
        <f t="shared" ca="1" si="178"/>
        <v>6.9500000000000006E-2</v>
      </c>
      <c r="X108" s="15">
        <f t="shared" ca="1" si="179"/>
        <v>6.3500000000000001E-2</v>
      </c>
      <c r="Y108"/>
      <c r="Z108"/>
      <c r="AA108"/>
      <c r="AB108" s="15"/>
      <c r="AC108"/>
      <c r="AD108" s="10"/>
      <c r="AE108" s="10"/>
      <c r="AF108" s="15"/>
      <c r="AG108" s="10"/>
      <c r="AH108" s="10"/>
      <c r="AI108" s="15"/>
      <c r="AJ108" s="10"/>
      <c r="AK108" s="10"/>
      <c r="AL108" s="15"/>
      <c r="AM108" s="8">
        <v>0.5</v>
      </c>
      <c r="AN108" s="8">
        <v>0.15</v>
      </c>
      <c r="AO108" s="8">
        <v>6000</v>
      </c>
      <c r="AP108" s="8">
        <v>500</v>
      </c>
      <c r="AQ108" s="8">
        <v>20000</v>
      </c>
      <c r="AU108" s="15"/>
      <c r="AV108" s="64"/>
      <c r="BI108" s="8"/>
      <c r="BJ108" s="8"/>
    </row>
    <row r="109" spans="1:62">
      <c r="A109">
        <v>5000</v>
      </c>
      <c r="B109" s="19">
        <f t="shared" ca="1" si="171"/>
        <v>50</v>
      </c>
      <c r="C109" s="21">
        <f t="shared" ca="1" si="172"/>
        <v>50</v>
      </c>
      <c r="D109" s="1">
        <v>12</v>
      </c>
      <c r="E109">
        <f t="shared" si="173"/>
        <v>24</v>
      </c>
      <c r="I109" s="1">
        <v>8</v>
      </c>
      <c r="J109">
        <f>ROUND(POWER($A$29*I109/100,$AM$29),0)</f>
        <v>20</v>
      </c>
      <c r="K109" s="18">
        <v>3</v>
      </c>
      <c r="L109">
        <f t="shared" ca="1" si="174"/>
        <v>9.1</v>
      </c>
      <c r="M109" s="1">
        <v>0</v>
      </c>
      <c r="N109" s="11">
        <f ca="1">OFFSET(其他表格!$G$2,M109/100,0)</f>
        <v>0.7</v>
      </c>
      <c r="O109" s="1">
        <v>4</v>
      </c>
      <c r="P109" s="11">
        <f ca="1">OFFSET(其他表格!$B$1,O109,0)</f>
        <v>1.3</v>
      </c>
      <c r="Q109">
        <f t="shared" si="175"/>
        <v>33.6</v>
      </c>
      <c r="R109">
        <f>ROUND(($E$29+200)*$AN$29,2)</f>
        <v>30</v>
      </c>
      <c r="S109">
        <f>ROUND(POWER((E109+200-$J$29-200+AP109),2)/AO109,2)</f>
        <v>45.76</v>
      </c>
      <c r="T109">
        <f>ROUND(POWER(($E$29+200-J109-200+AP109),2)/AO109,2)</f>
        <v>38.4</v>
      </c>
      <c r="U109">
        <f t="shared" ca="1" si="176"/>
        <v>361</v>
      </c>
      <c r="V109">
        <f t="shared" ca="1" si="177"/>
        <v>311</v>
      </c>
      <c r="W109" s="15">
        <f t="shared" ca="1" si="178"/>
        <v>7.22E-2</v>
      </c>
      <c r="X109" s="15">
        <f t="shared" ca="1" si="179"/>
        <v>6.2199999999999998E-2</v>
      </c>
      <c r="Y109"/>
      <c r="Z109"/>
      <c r="AA109"/>
      <c r="AB109" s="15"/>
      <c r="AC109"/>
      <c r="AD109" s="10"/>
      <c r="AE109" s="10"/>
      <c r="AF109" s="15"/>
      <c r="AG109" s="10"/>
      <c r="AH109" s="10"/>
      <c r="AI109" s="15"/>
      <c r="AJ109" s="10"/>
      <c r="AK109" s="10"/>
      <c r="AL109" s="15"/>
      <c r="AM109" s="8">
        <v>0.5</v>
      </c>
      <c r="AN109" s="8">
        <v>0.15</v>
      </c>
      <c r="AO109" s="8">
        <v>6000</v>
      </c>
      <c r="AP109" s="8">
        <v>500</v>
      </c>
      <c r="AQ109" s="8">
        <v>20000</v>
      </c>
      <c r="AU109" s="15"/>
      <c r="AV109" s="64"/>
      <c r="BI109" s="8"/>
      <c r="BJ109" s="8"/>
    </row>
    <row r="110" spans="1:62">
      <c r="D110" s="1"/>
      <c r="I110" s="1"/>
      <c r="M110" s="1"/>
      <c r="O110" s="1"/>
      <c r="P110" s="11"/>
      <c r="W110" s="15"/>
      <c r="X110" s="15"/>
      <c r="Y110"/>
      <c r="Z110"/>
      <c r="AA110"/>
      <c r="AB110" s="15"/>
      <c r="AC110"/>
      <c r="AD110" s="10"/>
      <c r="AE110" s="10"/>
      <c r="AF110" s="15"/>
      <c r="AG110" s="10"/>
      <c r="AH110" s="10"/>
      <c r="AI110" s="15"/>
      <c r="AJ110" s="10"/>
      <c r="AK110" s="10"/>
      <c r="AL110" s="15"/>
      <c r="AU110" s="15"/>
      <c r="AV110" s="64"/>
      <c r="BI110" s="8"/>
      <c r="BJ110" s="8"/>
    </row>
    <row r="111" spans="1:62" s="23" customFormat="1">
      <c r="A111" s="23" t="s">
        <v>203</v>
      </c>
      <c r="B111" s="26"/>
      <c r="C111" s="26"/>
      <c r="F111" s="75"/>
      <c r="H111" s="78"/>
      <c r="K111" s="63"/>
      <c r="AR111" s="30"/>
      <c r="AV111" s="21"/>
      <c r="AW111" s="37"/>
      <c r="AX111" s="27"/>
      <c r="BB111" s="33"/>
      <c r="BD111" s="33"/>
      <c r="BG111" s="8"/>
      <c r="BH111" s="8"/>
    </row>
    <row r="112" spans="1:62">
      <c r="A112">
        <v>100</v>
      </c>
      <c r="B112" s="19">
        <f t="shared" ref="B112:B117" ca="1" si="180">ROUND(((U112-$U$29)+($V$29-V112)),0)</f>
        <v>0</v>
      </c>
      <c r="C112" s="21">
        <f t="shared" ref="C112:C117" si="181">C40</f>
        <v>13</v>
      </c>
      <c r="D112" s="1">
        <v>32</v>
      </c>
      <c r="E112">
        <f t="shared" ref="E112:E117" si="182">ROUND(POWER(A112*D112/100,AM112),0)</f>
        <v>6</v>
      </c>
      <c r="I112" s="1">
        <v>12</v>
      </c>
      <c r="J112">
        <f>ROUND(POWER($A$24*I112/100,$AM$24),0)</f>
        <v>3</v>
      </c>
      <c r="K112" s="18">
        <v>3</v>
      </c>
      <c r="L112">
        <f t="shared" ref="L112:L117" ca="1" si="183">ROUND(30/K112*P112*N112,2)</f>
        <v>10.15</v>
      </c>
      <c r="M112" s="1">
        <v>0</v>
      </c>
      <c r="N112" s="11">
        <f ca="1">OFFSET(其他表格!$G$2,M112/100,0)</f>
        <v>0.7</v>
      </c>
      <c r="O112" s="1">
        <v>7</v>
      </c>
      <c r="P112" s="11">
        <f ca="1">OFFSET(其他表格!$B$1,O112,0)</f>
        <v>1.45</v>
      </c>
      <c r="Q112">
        <f t="shared" ref="Q112:Q117" si="184">ROUND((E112+200)*AN112,2)</f>
        <v>30.9</v>
      </c>
      <c r="R112">
        <f>ROUND(($E$24+200)*$AN$24,2)</f>
        <v>30</v>
      </c>
      <c r="S112">
        <f>ROUND(POWER((E112+200-$J$24-200+AP112),2)/AO112,2)</f>
        <v>42.67</v>
      </c>
      <c r="T112">
        <f>ROUND(POWER(($E$24+200-J112-200+AP112),2)/AO112,2)</f>
        <v>41.17</v>
      </c>
      <c r="U112">
        <f t="shared" ref="U112:U117" ca="1" si="185">ROUND((Q112+S112)*(A112+A112)/AQ112*L112,0)</f>
        <v>7</v>
      </c>
      <c r="V112">
        <f t="shared" ref="V112:V117" ca="1" si="186">ROUND((R112+T112)*(A112+A112)/AQ112*L112,0)</f>
        <v>7</v>
      </c>
      <c r="W112" s="15">
        <f t="shared" ref="W112:W117" ca="1" si="187">MIN(ROUND(U112/A112,4),1)</f>
        <v>7.0000000000000007E-2</v>
      </c>
      <c r="X112" s="15">
        <f t="shared" ref="X112:X117" ca="1" si="188">MIN(ROUND(V112/A112,4),1)</f>
        <v>7.0000000000000007E-2</v>
      </c>
      <c r="Y112"/>
      <c r="Z112"/>
      <c r="AA112"/>
      <c r="AB112" s="15"/>
      <c r="AC112"/>
      <c r="AD112" s="10"/>
      <c r="AE112" s="10"/>
      <c r="AF112" s="15"/>
      <c r="AG112" s="10"/>
      <c r="AH112" s="10"/>
      <c r="AI112" s="15"/>
      <c r="AJ112" s="10"/>
      <c r="AK112" s="10"/>
      <c r="AL112" s="15"/>
      <c r="AM112" s="8">
        <v>0.5</v>
      </c>
      <c r="AN112" s="8">
        <v>0.15</v>
      </c>
      <c r="AO112" s="8">
        <v>6000</v>
      </c>
      <c r="AP112" s="8">
        <v>500</v>
      </c>
      <c r="AQ112" s="8">
        <v>20000</v>
      </c>
      <c r="AU112" s="15"/>
      <c r="AV112" s="64"/>
      <c r="BI112" s="8"/>
      <c r="BJ112" s="8"/>
    </row>
    <row r="113" spans="1:62">
      <c r="A113">
        <v>200</v>
      </c>
      <c r="B113" s="19">
        <f t="shared" ca="1" si="180"/>
        <v>1</v>
      </c>
      <c r="C113" s="21">
        <f t="shared" ca="1" si="181"/>
        <v>2</v>
      </c>
      <c r="D113" s="1">
        <v>32</v>
      </c>
      <c r="E113">
        <f t="shared" si="182"/>
        <v>8</v>
      </c>
      <c r="I113" s="1">
        <v>12</v>
      </c>
      <c r="J113">
        <f>ROUND(POWER($A$25*I113/100,$AM$25),0)</f>
        <v>5</v>
      </c>
      <c r="K113" s="18">
        <v>3</v>
      </c>
      <c r="L113">
        <f t="shared" ca="1" si="183"/>
        <v>10.15</v>
      </c>
      <c r="M113" s="1">
        <v>0</v>
      </c>
      <c r="N113" s="11">
        <f ca="1">OFFSET(其他表格!$G$2,M113/100,0)</f>
        <v>0.7</v>
      </c>
      <c r="O113" s="1">
        <v>7</v>
      </c>
      <c r="P113" s="11">
        <f ca="1">OFFSET(其他表格!$B$1,O113,0)</f>
        <v>1.45</v>
      </c>
      <c r="Q113">
        <f t="shared" si="184"/>
        <v>31.2</v>
      </c>
      <c r="R113">
        <f>ROUND(($E$25+200)*$AN$25,2)</f>
        <v>30</v>
      </c>
      <c r="S113">
        <f>ROUND(POWER((E113+200-$J$25-200+AP113),2)/AO113,2)</f>
        <v>43.01</v>
      </c>
      <c r="T113">
        <f>ROUND(POWER(($E$25+200-J113-200+AP113),2)/AO113,2)</f>
        <v>40.840000000000003</v>
      </c>
      <c r="U113">
        <f t="shared" ca="1" si="185"/>
        <v>15</v>
      </c>
      <c r="V113">
        <f t="shared" ca="1" si="186"/>
        <v>14</v>
      </c>
      <c r="W113" s="15">
        <f t="shared" ca="1" si="187"/>
        <v>7.4999999999999997E-2</v>
      </c>
      <c r="X113" s="15">
        <f t="shared" ca="1" si="188"/>
        <v>7.0000000000000007E-2</v>
      </c>
      <c r="Y113"/>
      <c r="Z113"/>
      <c r="AA113"/>
      <c r="AB113" s="15"/>
      <c r="AC113"/>
      <c r="AD113" s="10"/>
      <c r="AE113" s="10"/>
      <c r="AF113" s="15"/>
      <c r="AG113" s="10"/>
      <c r="AH113" s="10"/>
      <c r="AI113" s="15"/>
      <c r="AJ113" s="10"/>
      <c r="AK113" s="10"/>
      <c r="AL113" s="15"/>
      <c r="AM113" s="8">
        <v>0.5</v>
      </c>
      <c r="AN113" s="8">
        <v>0.15</v>
      </c>
      <c r="AO113" s="8">
        <v>6000</v>
      </c>
      <c r="AP113" s="8">
        <v>500</v>
      </c>
      <c r="AQ113" s="8">
        <v>20000</v>
      </c>
      <c r="AU113" s="15"/>
      <c r="AV113" s="64"/>
      <c r="BI113" s="8"/>
      <c r="BJ113" s="8"/>
    </row>
    <row r="114" spans="1:62">
      <c r="A114">
        <v>500</v>
      </c>
      <c r="B114" s="19">
        <f t="shared" ca="1" si="180"/>
        <v>2</v>
      </c>
      <c r="C114" s="21">
        <f t="shared" ca="1" si="181"/>
        <v>3</v>
      </c>
      <c r="D114" s="1">
        <v>32</v>
      </c>
      <c r="E114">
        <f t="shared" si="182"/>
        <v>13</v>
      </c>
      <c r="I114" s="1">
        <v>12</v>
      </c>
      <c r="J114">
        <f>ROUND(POWER($A$26*I114/100,$AM$26),0)</f>
        <v>8</v>
      </c>
      <c r="K114" s="18">
        <v>3</v>
      </c>
      <c r="L114">
        <f t="shared" ca="1" si="183"/>
        <v>10.15</v>
      </c>
      <c r="M114" s="1">
        <v>0</v>
      </c>
      <c r="N114" s="11">
        <f ca="1">OFFSET(其他表格!$G$2,M114/100,0)</f>
        <v>0.7</v>
      </c>
      <c r="O114" s="1">
        <v>7</v>
      </c>
      <c r="P114" s="11">
        <f ca="1">OFFSET(其他表格!$B$1,O114,0)</f>
        <v>1.45</v>
      </c>
      <c r="Q114">
        <f t="shared" si="184"/>
        <v>31.95</v>
      </c>
      <c r="R114">
        <f>ROUND(($E$26+200)*$AN$26,2)</f>
        <v>30</v>
      </c>
      <c r="S114">
        <f>ROUND(POWER((E114+200-$J$26-200+AP114),2)/AO114,2)</f>
        <v>43.86</v>
      </c>
      <c r="T114">
        <f>ROUND(POWER(($E$26+200-J114-200+AP114),2)/AO114,2)</f>
        <v>40.340000000000003</v>
      </c>
      <c r="U114">
        <f t="shared" ca="1" si="185"/>
        <v>38</v>
      </c>
      <c r="V114">
        <f t="shared" ca="1" si="186"/>
        <v>36</v>
      </c>
      <c r="W114" s="15">
        <f t="shared" ca="1" si="187"/>
        <v>7.5999999999999998E-2</v>
      </c>
      <c r="X114" s="15">
        <f t="shared" ca="1" si="188"/>
        <v>7.1999999999999995E-2</v>
      </c>
      <c r="Y114"/>
      <c r="Z114"/>
      <c r="AA114"/>
      <c r="AB114" s="15"/>
      <c r="AC114"/>
      <c r="AD114" s="10"/>
      <c r="AE114" s="10"/>
      <c r="AF114" s="15"/>
      <c r="AG114" s="10"/>
      <c r="AH114" s="10"/>
      <c r="AI114" s="15"/>
      <c r="AJ114" s="10"/>
      <c r="AK114" s="10"/>
      <c r="AL114" s="15"/>
      <c r="AM114" s="8">
        <v>0.5</v>
      </c>
      <c r="AN114" s="8">
        <v>0.15</v>
      </c>
      <c r="AO114" s="8">
        <v>6000</v>
      </c>
      <c r="AP114" s="8">
        <v>500</v>
      </c>
      <c r="AQ114" s="8">
        <v>20000</v>
      </c>
      <c r="AU114" s="15"/>
      <c r="AV114" s="64"/>
      <c r="BI114" s="8"/>
      <c r="BJ114" s="8"/>
    </row>
    <row r="115" spans="1:62">
      <c r="A115">
        <v>1000</v>
      </c>
      <c r="B115" s="19">
        <f t="shared" ca="1" si="180"/>
        <v>8</v>
      </c>
      <c r="C115" s="21">
        <f t="shared" ca="1" si="181"/>
        <v>9</v>
      </c>
      <c r="D115" s="1">
        <v>32</v>
      </c>
      <c r="E115">
        <f t="shared" si="182"/>
        <v>18</v>
      </c>
      <c r="I115" s="1">
        <v>12</v>
      </c>
      <c r="J115">
        <f>ROUND(POWER($A$27*I115/100,$AM$27),0)</f>
        <v>11</v>
      </c>
      <c r="K115" s="18">
        <v>3</v>
      </c>
      <c r="L115">
        <f t="shared" ca="1" si="183"/>
        <v>10.15</v>
      </c>
      <c r="M115" s="1">
        <v>0</v>
      </c>
      <c r="N115" s="11">
        <f ca="1">OFFSET(其他表格!$G$2,M115/100,0)</f>
        <v>0.7</v>
      </c>
      <c r="O115" s="1">
        <v>7</v>
      </c>
      <c r="P115" s="11">
        <f ca="1">OFFSET(其他表格!$B$1,O115,0)</f>
        <v>1.45</v>
      </c>
      <c r="Q115">
        <f t="shared" si="184"/>
        <v>32.700000000000003</v>
      </c>
      <c r="R115">
        <f>ROUND(($E$27+200)*$AN$27,2)</f>
        <v>30</v>
      </c>
      <c r="S115">
        <f>ROUND(POWER((E115+200-$J$27-200+AP115),2)/AO115,2)</f>
        <v>44.72</v>
      </c>
      <c r="T115">
        <f>ROUND(POWER(($E$27+200-J115-200+AP115),2)/AO115,2)</f>
        <v>39.85</v>
      </c>
      <c r="U115">
        <f t="shared" ca="1" si="185"/>
        <v>79</v>
      </c>
      <c r="V115">
        <f t="shared" ca="1" si="186"/>
        <v>71</v>
      </c>
      <c r="W115" s="15">
        <f t="shared" ca="1" si="187"/>
        <v>7.9000000000000001E-2</v>
      </c>
      <c r="X115" s="15">
        <f t="shared" ca="1" si="188"/>
        <v>7.0999999999999994E-2</v>
      </c>
      <c r="Y115"/>
      <c r="Z115"/>
      <c r="AA115"/>
      <c r="AB115" s="15"/>
      <c r="AC115"/>
      <c r="AD115" s="10"/>
      <c r="AE115" s="10"/>
      <c r="AF115" s="15"/>
      <c r="AG115" s="10"/>
      <c r="AH115" s="10"/>
      <c r="AI115" s="15"/>
      <c r="AJ115" s="10"/>
      <c r="AK115" s="10"/>
      <c r="AL115" s="15"/>
      <c r="AM115" s="8">
        <v>0.5</v>
      </c>
      <c r="AN115" s="8">
        <v>0.15</v>
      </c>
      <c r="AO115" s="8">
        <v>6000</v>
      </c>
      <c r="AP115" s="8">
        <v>500</v>
      </c>
      <c r="AQ115" s="8">
        <v>20000</v>
      </c>
      <c r="AU115" s="15"/>
      <c r="AV115" s="64"/>
      <c r="BI115" s="8"/>
      <c r="BJ115" s="8"/>
    </row>
    <row r="116" spans="1:62">
      <c r="A116">
        <v>2000</v>
      </c>
      <c r="B116" s="19">
        <f t="shared" ca="1" si="180"/>
        <v>22</v>
      </c>
      <c r="C116" s="21">
        <f t="shared" ca="1" si="181"/>
        <v>22</v>
      </c>
      <c r="D116" s="1">
        <v>32</v>
      </c>
      <c r="E116">
        <f t="shared" si="182"/>
        <v>25</v>
      </c>
      <c r="I116" s="1">
        <v>12</v>
      </c>
      <c r="J116">
        <f>ROUND(POWER($A$28*I116/100,$AM$28),0)</f>
        <v>15</v>
      </c>
      <c r="K116" s="18">
        <v>3</v>
      </c>
      <c r="L116">
        <f t="shared" ca="1" si="183"/>
        <v>10.15</v>
      </c>
      <c r="M116" s="1">
        <v>0</v>
      </c>
      <c r="N116" s="11">
        <f ca="1">OFFSET(其他表格!$G$2,M116/100,0)</f>
        <v>0.7</v>
      </c>
      <c r="O116" s="1">
        <v>7</v>
      </c>
      <c r="P116" s="11">
        <f ca="1">OFFSET(其他表格!$B$1,O116,0)</f>
        <v>1.45</v>
      </c>
      <c r="Q116">
        <f t="shared" si="184"/>
        <v>33.75</v>
      </c>
      <c r="R116">
        <f>ROUND(($E$28+200)*$AN$28,2)</f>
        <v>30</v>
      </c>
      <c r="S116">
        <f>ROUND(POWER((E116+200-$J$28-200+AP116),2)/AO116,2)</f>
        <v>45.94</v>
      </c>
      <c r="T116">
        <f>ROUND(POWER(($E$28+200-J116-200+AP116),2)/AO116,2)</f>
        <v>39.200000000000003</v>
      </c>
      <c r="U116">
        <f t="shared" ca="1" si="185"/>
        <v>162</v>
      </c>
      <c r="V116">
        <f t="shared" ca="1" si="186"/>
        <v>140</v>
      </c>
      <c r="W116" s="15">
        <f t="shared" ca="1" si="187"/>
        <v>8.1000000000000003E-2</v>
      </c>
      <c r="X116" s="15">
        <f t="shared" ca="1" si="188"/>
        <v>7.0000000000000007E-2</v>
      </c>
      <c r="Y116"/>
      <c r="Z116"/>
      <c r="AA116"/>
      <c r="AB116" s="15"/>
      <c r="AC116"/>
      <c r="AD116" s="10"/>
      <c r="AE116" s="10"/>
      <c r="AF116" s="15"/>
      <c r="AG116" s="10"/>
      <c r="AH116" s="10"/>
      <c r="AI116" s="15"/>
      <c r="AJ116" s="10"/>
      <c r="AK116" s="10"/>
      <c r="AL116" s="15"/>
      <c r="AM116" s="8">
        <v>0.5</v>
      </c>
      <c r="AN116" s="8">
        <v>0.15</v>
      </c>
      <c r="AO116" s="8">
        <v>6000</v>
      </c>
      <c r="AP116" s="8">
        <v>500</v>
      </c>
      <c r="AQ116" s="8">
        <v>20000</v>
      </c>
      <c r="AU116" s="15"/>
      <c r="AV116" s="64"/>
      <c r="BI116" s="8"/>
      <c r="BJ116" s="8"/>
    </row>
    <row r="117" spans="1:62">
      <c r="A117">
        <v>5000</v>
      </c>
      <c r="B117" s="19">
        <f t="shared" ca="1" si="180"/>
        <v>85</v>
      </c>
      <c r="C117" s="21">
        <f t="shared" ca="1" si="181"/>
        <v>85</v>
      </c>
      <c r="D117" s="1">
        <v>32</v>
      </c>
      <c r="E117">
        <f t="shared" si="182"/>
        <v>40</v>
      </c>
      <c r="I117" s="1">
        <v>12</v>
      </c>
      <c r="J117">
        <f>ROUND(POWER($A$29*I117/100,$AM$29),0)</f>
        <v>24</v>
      </c>
      <c r="K117" s="18">
        <v>3</v>
      </c>
      <c r="L117">
        <f t="shared" ca="1" si="183"/>
        <v>10.15</v>
      </c>
      <c r="M117" s="1">
        <v>0</v>
      </c>
      <c r="N117" s="11">
        <f ca="1">OFFSET(其他表格!$G$2,M117/100,0)</f>
        <v>0.7</v>
      </c>
      <c r="O117" s="1">
        <v>7</v>
      </c>
      <c r="P117" s="11">
        <f ca="1">OFFSET(其他表格!$B$1,O117,0)</f>
        <v>1.45</v>
      </c>
      <c r="Q117">
        <f t="shared" si="184"/>
        <v>36</v>
      </c>
      <c r="R117">
        <f>ROUND(($E$29+200)*$AN$29,2)</f>
        <v>30</v>
      </c>
      <c r="S117">
        <f>ROUND(POWER((E117+200-$J$29-200+AP117),2)/AO117,2)</f>
        <v>48.6</v>
      </c>
      <c r="T117">
        <f>ROUND(POWER(($E$29+200-J117-200+AP117),2)/AO117,2)</f>
        <v>37.76</v>
      </c>
      <c r="U117">
        <f t="shared" ca="1" si="185"/>
        <v>429</v>
      </c>
      <c r="V117">
        <f t="shared" ca="1" si="186"/>
        <v>344</v>
      </c>
      <c r="W117" s="15">
        <f t="shared" ca="1" si="187"/>
        <v>8.5800000000000001E-2</v>
      </c>
      <c r="X117" s="15">
        <f t="shared" ca="1" si="188"/>
        <v>6.88E-2</v>
      </c>
      <c r="Y117"/>
      <c r="Z117"/>
      <c r="AA117"/>
      <c r="AB117" s="15"/>
      <c r="AC117"/>
      <c r="AD117" s="10"/>
      <c r="AE117" s="10"/>
      <c r="AF117" s="15"/>
      <c r="AG117" s="10"/>
      <c r="AH117" s="10"/>
      <c r="AI117" s="15"/>
      <c r="AJ117" s="10"/>
      <c r="AK117" s="10"/>
      <c r="AL117" s="15"/>
      <c r="AM117" s="8">
        <v>0.5</v>
      </c>
      <c r="AN117" s="8">
        <v>0.15</v>
      </c>
      <c r="AO117" s="8">
        <v>6000</v>
      </c>
      <c r="AP117" s="8">
        <v>500</v>
      </c>
      <c r="AQ117" s="8">
        <v>20000</v>
      </c>
      <c r="AU117" s="15"/>
      <c r="AV117" s="64"/>
      <c r="BI117" s="8"/>
      <c r="BJ117" s="8"/>
    </row>
    <row r="118" spans="1:62">
      <c r="D118" s="1"/>
      <c r="I118" s="1"/>
      <c r="M118" s="1"/>
      <c r="O118" s="1"/>
      <c r="P118" s="11"/>
      <c r="W118" s="15"/>
      <c r="X118" s="15"/>
      <c r="Y118"/>
      <c r="Z118"/>
      <c r="AA118"/>
      <c r="AB118" s="15"/>
      <c r="AC118"/>
      <c r="AD118" s="10"/>
      <c r="AE118" s="10"/>
      <c r="AF118" s="15"/>
      <c r="AG118" s="10"/>
      <c r="AH118" s="10"/>
      <c r="AI118" s="15"/>
      <c r="AJ118" s="10"/>
      <c r="AK118" s="10"/>
      <c r="AL118" s="15"/>
      <c r="AU118" s="15"/>
      <c r="AV118" s="64"/>
      <c r="BI118" s="8"/>
      <c r="BJ118" s="8"/>
    </row>
    <row r="119" spans="1:62" s="23" customFormat="1">
      <c r="A119" s="23" t="s">
        <v>204</v>
      </c>
      <c r="B119" s="26"/>
      <c r="C119" s="26"/>
      <c r="F119" s="75"/>
      <c r="H119" s="78"/>
      <c r="K119" s="63"/>
      <c r="AR119" s="30"/>
      <c r="AV119" s="21"/>
      <c r="AW119" s="37"/>
      <c r="AX119" s="27"/>
      <c r="BB119" s="33"/>
      <c r="BD119" s="33"/>
      <c r="BG119" s="8"/>
      <c r="BH119" s="8"/>
    </row>
    <row r="120" spans="1:62">
      <c r="A120">
        <v>100</v>
      </c>
      <c r="B120" s="19">
        <f t="shared" ref="B120:B125" ca="1" si="189">ROUND(((U120-$U$29)+($V$29-V120)),0)</f>
        <v>0</v>
      </c>
      <c r="C120" s="21">
        <f t="shared" ref="C120:C125" si="190">C48</f>
        <v>22</v>
      </c>
      <c r="D120" s="1">
        <v>77</v>
      </c>
      <c r="E120">
        <f t="shared" ref="E120:E125" si="191">ROUND(POWER(A120*D120/100,AM120),0)</f>
        <v>9</v>
      </c>
      <c r="I120" s="1">
        <v>25</v>
      </c>
      <c r="J120">
        <f>ROUND(POWER($A$24*I120/100,$AM$24),0)</f>
        <v>5</v>
      </c>
      <c r="K120" s="18">
        <v>3</v>
      </c>
      <c r="L120">
        <f t="shared" ref="L120:L125" ca="1" si="192">ROUND(30/K120*P120*N120,2)</f>
        <v>11.2</v>
      </c>
      <c r="M120" s="1">
        <v>0</v>
      </c>
      <c r="N120" s="11">
        <f ca="1">OFFSET(其他表格!$G$2,M120/100,0)</f>
        <v>0.7</v>
      </c>
      <c r="O120" s="1">
        <v>10</v>
      </c>
      <c r="P120" s="11">
        <f ca="1">OFFSET(其他表格!$B$1,O120,0)</f>
        <v>1.6</v>
      </c>
      <c r="Q120">
        <f t="shared" ref="Q120:Q125" si="193">ROUND((E120+200)*AN120,2)</f>
        <v>31.35</v>
      </c>
      <c r="R120">
        <f>ROUND(($E$24+200)*$AN$24,2)</f>
        <v>30</v>
      </c>
      <c r="S120">
        <f>ROUND(POWER((E120+200-$J$24-200+AP120),2)/AO120,2)</f>
        <v>43.18</v>
      </c>
      <c r="T120">
        <f>ROUND(POWER(($E$24+200-J120-200+AP120),2)/AO120,2)</f>
        <v>40.840000000000003</v>
      </c>
      <c r="U120">
        <f t="shared" ref="U120:U125" ca="1" si="194">ROUND((Q120+S120)*(A120+A120)/AQ120*L120,0)</f>
        <v>8</v>
      </c>
      <c r="V120">
        <f t="shared" ref="V120:V125" ca="1" si="195">ROUND((R120+T120)*(A120+A120)/AQ120*L120,0)</f>
        <v>8</v>
      </c>
      <c r="W120" s="15">
        <f t="shared" ref="W120:W125" ca="1" si="196">MIN(ROUND(U120/A120,4),1)</f>
        <v>0.08</v>
      </c>
      <c r="X120" s="15">
        <f t="shared" ref="X120:X125" ca="1" si="197">MIN(ROUND(V120/A120,4),1)</f>
        <v>0.08</v>
      </c>
      <c r="Y120"/>
      <c r="Z120"/>
      <c r="AA120"/>
      <c r="AB120" s="15"/>
      <c r="AC120"/>
      <c r="AD120" s="10"/>
      <c r="AE120" s="10"/>
      <c r="AF120" s="15"/>
      <c r="AG120" s="10"/>
      <c r="AH120" s="10"/>
      <c r="AI120" s="15"/>
      <c r="AJ120" s="10"/>
      <c r="AK120" s="10"/>
      <c r="AL120" s="15"/>
      <c r="AM120" s="8">
        <v>0.5</v>
      </c>
      <c r="AN120" s="8">
        <v>0.15</v>
      </c>
      <c r="AO120" s="8">
        <v>6000</v>
      </c>
      <c r="AP120" s="8">
        <v>500</v>
      </c>
      <c r="AQ120" s="8">
        <v>20000</v>
      </c>
      <c r="AU120" s="15"/>
      <c r="AV120" s="64"/>
      <c r="BI120" s="8"/>
      <c r="BJ120" s="8"/>
    </row>
    <row r="121" spans="1:62">
      <c r="A121">
        <v>200</v>
      </c>
      <c r="B121" s="19">
        <f t="shared" ca="1" si="189"/>
        <v>1</v>
      </c>
      <c r="C121" s="21">
        <f t="shared" ca="1" si="190"/>
        <v>3</v>
      </c>
      <c r="D121" s="1">
        <v>77</v>
      </c>
      <c r="E121">
        <f t="shared" si="191"/>
        <v>12</v>
      </c>
      <c r="I121" s="1">
        <v>25</v>
      </c>
      <c r="J121">
        <f>ROUND(POWER($A$25*I121/100,$AM$25),0)</f>
        <v>7</v>
      </c>
      <c r="K121" s="18">
        <v>3</v>
      </c>
      <c r="L121">
        <f t="shared" ca="1" si="192"/>
        <v>11.2</v>
      </c>
      <c r="M121" s="1">
        <v>0</v>
      </c>
      <c r="N121" s="11">
        <f ca="1">OFFSET(其他表格!$G$2,M121/100,0)</f>
        <v>0.7</v>
      </c>
      <c r="O121" s="1">
        <v>10</v>
      </c>
      <c r="P121" s="11">
        <f ca="1">OFFSET(其他表格!$B$1,O121,0)</f>
        <v>1.6</v>
      </c>
      <c r="Q121">
        <f t="shared" si="193"/>
        <v>31.8</v>
      </c>
      <c r="R121">
        <f>ROUND(($E$25+200)*$AN$25,2)</f>
        <v>30</v>
      </c>
      <c r="S121">
        <f>ROUND(POWER((E121+200-$J$25-200+AP121),2)/AO121,2)</f>
        <v>43.69</v>
      </c>
      <c r="T121">
        <f>ROUND(POWER(($E$25+200-J121-200+AP121),2)/AO121,2)</f>
        <v>40.51</v>
      </c>
      <c r="U121">
        <f t="shared" ca="1" si="194"/>
        <v>17</v>
      </c>
      <c r="V121">
        <f t="shared" ca="1" si="195"/>
        <v>16</v>
      </c>
      <c r="W121" s="15">
        <f t="shared" ca="1" si="196"/>
        <v>8.5000000000000006E-2</v>
      </c>
      <c r="X121" s="15">
        <f t="shared" ca="1" si="197"/>
        <v>0.08</v>
      </c>
      <c r="Y121"/>
      <c r="Z121"/>
      <c r="AA121"/>
      <c r="AB121" s="15"/>
      <c r="AC121"/>
      <c r="AD121" s="10"/>
      <c r="AE121" s="10"/>
      <c r="AF121" s="15"/>
      <c r="AG121" s="10"/>
      <c r="AH121" s="10"/>
      <c r="AI121" s="15"/>
      <c r="AJ121" s="10"/>
      <c r="AK121" s="10"/>
      <c r="AL121" s="15"/>
      <c r="AM121" s="8">
        <v>0.5</v>
      </c>
      <c r="AN121" s="8">
        <v>0.15</v>
      </c>
      <c r="AO121" s="8">
        <v>6000</v>
      </c>
      <c r="AP121" s="8">
        <v>500</v>
      </c>
      <c r="AQ121" s="8">
        <v>20000</v>
      </c>
      <c r="AU121" s="15"/>
      <c r="AV121" s="64"/>
      <c r="BI121" s="8"/>
      <c r="BJ121" s="8"/>
    </row>
    <row r="122" spans="1:62">
      <c r="A122">
        <v>500</v>
      </c>
      <c r="B122" s="19">
        <f t="shared" ca="1" si="189"/>
        <v>5</v>
      </c>
      <c r="C122" s="21">
        <f t="shared" ca="1" si="190"/>
        <v>5</v>
      </c>
      <c r="D122" s="1">
        <v>77</v>
      </c>
      <c r="E122">
        <f t="shared" si="191"/>
        <v>20</v>
      </c>
      <c r="I122" s="1">
        <v>25</v>
      </c>
      <c r="J122">
        <f>ROUND(POWER($A$26*I122/100,$AM$26),0)</f>
        <v>11</v>
      </c>
      <c r="K122" s="18">
        <v>3</v>
      </c>
      <c r="L122">
        <f t="shared" ca="1" si="192"/>
        <v>11.2</v>
      </c>
      <c r="M122" s="1">
        <v>0</v>
      </c>
      <c r="N122" s="11">
        <f ca="1">OFFSET(其他表格!$G$2,M122/100,0)</f>
        <v>0.7</v>
      </c>
      <c r="O122" s="1">
        <v>10</v>
      </c>
      <c r="P122" s="11">
        <f ca="1">OFFSET(其他表格!$B$1,O122,0)</f>
        <v>1.6</v>
      </c>
      <c r="Q122">
        <f t="shared" si="193"/>
        <v>33</v>
      </c>
      <c r="R122">
        <f>ROUND(($E$26+200)*$AN$26,2)</f>
        <v>30</v>
      </c>
      <c r="S122">
        <f>ROUND(POWER((E122+200-$J$26-200+AP122),2)/AO122,2)</f>
        <v>45.07</v>
      </c>
      <c r="T122">
        <f>ROUND(POWER(($E$26+200-J122-200+AP122),2)/AO122,2)</f>
        <v>39.85</v>
      </c>
      <c r="U122">
        <f t="shared" ca="1" si="194"/>
        <v>44</v>
      </c>
      <c r="V122">
        <f t="shared" ca="1" si="195"/>
        <v>39</v>
      </c>
      <c r="W122" s="15">
        <f t="shared" ca="1" si="196"/>
        <v>8.7999999999999995E-2</v>
      </c>
      <c r="X122" s="15">
        <f t="shared" ca="1" si="197"/>
        <v>7.8E-2</v>
      </c>
      <c r="Y122"/>
      <c r="Z122"/>
      <c r="AA122"/>
      <c r="AB122" s="15"/>
      <c r="AC122"/>
      <c r="AD122" s="10"/>
      <c r="AE122" s="10"/>
      <c r="AF122" s="15"/>
      <c r="AG122" s="10"/>
      <c r="AH122" s="10"/>
      <c r="AI122" s="15"/>
      <c r="AJ122" s="10"/>
      <c r="AK122" s="10"/>
      <c r="AL122" s="15"/>
      <c r="AM122" s="8">
        <v>0.5</v>
      </c>
      <c r="AN122" s="8">
        <v>0.15</v>
      </c>
      <c r="AO122" s="8">
        <v>6000</v>
      </c>
      <c r="AP122" s="8">
        <v>500</v>
      </c>
      <c r="AQ122" s="8">
        <v>20000</v>
      </c>
      <c r="AU122" s="15"/>
      <c r="AV122" s="64"/>
      <c r="BI122" s="8"/>
      <c r="BJ122" s="8"/>
    </row>
    <row r="123" spans="1:62">
      <c r="A123">
        <v>1000</v>
      </c>
      <c r="B123" s="19">
        <f t="shared" ca="1" si="189"/>
        <v>13</v>
      </c>
      <c r="C123" s="21">
        <f t="shared" ca="1" si="190"/>
        <v>15</v>
      </c>
      <c r="D123" s="1">
        <v>77</v>
      </c>
      <c r="E123">
        <f t="shared" si="191"/>
        <v>28</v>
      </c>
      <c r="I123" s="1">
        <v>25</v>
      </c>
      <c r="J123">
        <f>ROUND(POWER($A$27*I123/100,$AM$27),0)</f>
        <v>16</v>
      </c>
      <c r="K123" s="18">
        <v>3</v>
      </c>
      <c r="L123">
        <f t="shared" ca="1" si="192"/>
        <v>11.2</v>
      </c>
      <c r="M123" s="1">
        <v>0</v>
      </c>
      <c r="N123" s="11">
        <f ca="1">OFFSET(其他表格!$G$2,M123/100,0)</f>
        <v>0.7</v>
      </c>
      <c r="O123" s="1">
        <v>10</v>
      </c>
      <c r="P123" s="11">
        <f ca="1">OFFSET(其他表格!$B$1,O123,0)</f>
        <v>1.6</v>
      </c>
      <c r="Q123">
        <f t="shared" si="193"/>
        <v>34.200000000000003</v>
      </c>
      <c r="R123">
        <f>ROUND(($E$27+200)*$AN$27,2)</f>
        <v>30</v>
      </c>
      <c r="S123">
        <f>ROUND(POWER((E123+200-$J$27-200+AP123),2)/AO123,2)</f>
        <v>46.46</v>
      </c>
      <c r="T123">
        <f>ROUND(POWER(($E$27+200-J123-200+AP123),2)/AO123,2)</f>
        <v>39.04</v>
      </c>
      <c r="U123">
        <f t="shared" ca="1" si="194"/>
        <v>90</v>
      </c>
      <c r="V123">
        <f t="shared" ca="1" si="195"/>
        <v>77</v>
      </c>
      <c r="W123" s="15">
        <f t="shared" ca="1" si="196"/>
        <v>0.09</v>
      </c>
      <c r="X123" s="15">
        <f t="shared" ca="1" si="197"/>
        <v>7.6999999999999999E-2</v>
      </c>
      <c r="Y123"/>
      <c r="Z123"/>
      <c r="AA123"/>
      <c r="AB123" s="15"/>
      <c r="AC123"/>
      <c r="AD123" s="10"/>
      <c r="AE123" s="10"/>
      <c r="AF123" s="15"/>
      <c r="AG123" s="10"/>
      <c r="AH123" s="10"/>
      <c r="AI123" s="15"/>
      <c r="AJ123" s="10"/>
      <c r="AK123" s="10"/>
      <c r="AL123" s="15"/>
      <c r="AM123" s="8">
        <v>0.5</v>
      </c>
      <c r="AN123" s="8">
        <v>0.15</v>
      </c>
      <c r="AO123" s="8">
        <v>6000</v>
      </c>
      <c r="AP123" s="8">
        <v>500</v>
      </c>
      <c r="AQ123" s="8">
        <v>20000</v>
      </c>
      <c r="AU123" s="15"/>
      <c r="AV123" s="64"/>
      <c r="BI123" s="8"/>
      <c r="BJ123" s="8"/>
    </row>
    <row r="124" spans="1:62">
      <c r="A124">
        <v>2000</v>
      </c>
      <c r="B124" s="19">
        <f t="shared" ca="1" si="189"/>
        <v>37</v>
      </c>
      <c r="C124" s="21">
        <f t="shared" ca="1" si="190"/>
        <v>37</v>
      </c>
      <c r="D124" s="1">
        <v>77</v>
      </c>
      <c r="E124">
        <f t="shared" si="191"/>
        <v>39</v>
      </c>
      <c r="I124" s="1">
        <v>25</v>
      </c>
      <c r="J124">
        <f>ROUND(POWER($A$28*I124/100,$AM$28),0)</f>
        <v>22</v>
      </c>
      <c r="K124" s="18">
        <v>3</v>
      </c>
      <c r="L124">
        <f t="shared" ca="1" si="192"/>
        <v>11.2</v>
      </c>
      <c r="M124" s="1">
        <v>0</v>
      </c>
      <c r="N124" s="11">
        <f ca="1">OFFSET(其他表格!$G$2,M124/100,0)</f>
        <v>0.7</v>
      </c>
      <c r="O124" s="1">
        <v>10</v>
      </c>
      <c r="P124" s="11">
        <f ca="1">OFFSET(其他表格!$B$1,O124,0)</f>
        <v>1.6</v>
      </c>
      <c r="Q124">
        <f t="shared" si="193"/>
        <v>35.85</v>
      </c>
      <c r="R124">
        <f>ROUND(($E$28+200)*$AN$28,2)</f>
        <v>30</v>
      </c>
      <c r="S124">
        <f>ROUND(POWER((E124+200-$J$28-200+AP124),2)/AO124,2)</f>
        <v>48.42</v>
      </c>
      <c r="T124">
        <f>ROUND(POWER(($E$28+200-J124-200+AP124),2)/AO124,2)</f>
        <v>38.08</v>
      </c>
      <c r="U124">
        <f t="shared" ca="1" si="194"/>
        <v>189</v>
      </c>
      <c r="V124">
        <f t="shared" ca="1" si="195"/>
        <v>152</v>
      </c>
      <c r="W124" s="15">
        <f t="shared" ca="1" si="196"/>
        <v>9.4500000000000001E-2</v>
      </c>
      <c r="X124" s="15">
        <f t="shared" ca="1" si="197"/>
        <v>7.5999999999999998E-2</v>
      </c>
      <c r="Y124"/>
      <c r="Z124"/>
      <c r="AA124"/>
      <c r="AB124" s="15"/>
      <c r="AC124"/>
      <c r="AD124" s="10"/>
      <c r="AE124" s="10"/>
      <c r="AF124" s="15"/>
      <c r="AG124" s="10"/>
      <c r="AH124" s="10"/>
      <c r="AI124" s="15"/>
      <c r="AJ124" s="10"/>
      <c r="AK124" s="10"/>
      <c r="AL124" s="15"/>
      <c r="AM124" s="8">
        <v>0.5</v>
      </c>
      <c r="AN124" s="8">
        <v>0.15</v>
      </c>
      <c r="AO124" s="8">
        <v>6000</v>
      </c>
      <c r="AP124" s="8">
        <v>500</v>
      </c>
      <c r="AQ124" s="8">
        <v>20000</v>
      </c>
      <c r="AU124" s="15"/>
      <c r="AV124" s="64"/>
      <c r="BI124" s="8"/>
      <c r="BJ124" s="8"/>
    </row>
    <row r="125" spans="1:62">
      <c r="A125">
        <v>5000</v>
      </c>
      <c r="B125" s="19">
        <f t="shared" ca="1" si="189"/>
        <v>145</v>
      </c>
      <c r="C125" s="21">
        <f t="shared" ca="1" si="190"/>
        <v>145</v>
      </c>
      <c r="D125" s="1">
        <v>77</v>
      </c>
      <c r="E125">
        <f t="shared" si="191"/>
        <v>62</v>
      </c>
      <c r="I125" s="1">
        <v>25</v>
      </c>
      <c r="J125">
        <f>ROUND(POWER($A$29*I125/100,$AM$29),0)</f>
        <v>35</v>
      </c>
      <c r="K125" s="18">
        <v>3</v>
      </c>
      <c r="L125">
        <f t="shared" ca="1" si="192"/>
        <v>11.2</v>
      </c>
      <c r="M125" s="1">
        <v>0</v>
      </c>
      <c r="N125" s="11">
        <f ca="1">OFFSET(其他表格!$G$2,M125/100,0)</f>
        <v>0.7</v>
      </c>
      <c r="O125" s="1">
        <v>10</v>
      </c>
      <c r="P125" s="11">
        <f ca="1">OFFSET(其他表格!$B$1,O125,0)</f>
        <v>1.6</v>
      </c>
      <c r="Q125">
        <f t="shared" si="193"/>
        <v>39.299999999999997</v>
      </c>
      <c r="R125">
        <f>ROUND(($E$29+200)*$AN$29,2)</f>
        <v>30</v>
      </c>
      <c r="S125">
        <f>ROUND(POWER((E125+200-$J$29-200+AP125),2)/AO125,2)</f>
        <v>52.64</v>
      </c>
      <c r="T125">
        <f>ROUND(POWER(($E$29+200-J125-200+AP125),2)/AO125,2)</f>
        <v>36.04</v>
      </c>
      <c r="U125">
        <f t="shared" ca="1" si="194"/>
        <v>515</v>
      </c>
      <c r="V125">
        <f t="shared" ca="1" si="195"/>
        <v>370</v>
      </c>
      <c r="W125" s="15">
        <f t="shared" ca="1" si="196"/>
        <v>0.10299999999999999</v>
      </c>
      <c r="X125" s="15">
        <f t="shared" ca="1" si="197"/>
        <v>7.3999999999999996E-2</v>
      </c>
      <c r="Y125"/>
      <c r="Z125"/>
      <c r="AA125"/>
      <c r="AB125" s="15"/>
      <c r="AC125"/>
      <c r="AD125" s="10"/>
      <c r="AE125" s="10"/>
      <c r="AF125" s="15"/>
      <c r="AG125" s="10"/>
      <c r="AH125" s="10"/>
      <c r="AI125" s="15"/>
      <c r="AJ125" s="10"/>
      <c r="AK125" s="10"/>
      <c r="AL125" s="15"/>
      <c r="AM125" s="8">
        <v>0.5</v>
      </c>
      <c r="AN125" s="8">
        <v>0.15</v>
      </c>
      <c r="AO125" s="8">
        <v>6000</v>
      </c>
      <c r="AP125" s="8">
        <v>500</v>
      </c>
      <c r="AQ125" s="8">
        <v>20000</v>
      </c>
      <c r="AU125" s="15"/>
      <c r="AV125" s="64"/>
      <c r="BI125" s="8"/>
      <c r="BJ125" s="8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1" sqref="D21"/>
    </sheetView>
  </sheetViews>
  <sheetFormatPr defaultRowHeight="13.5"/>
  <cols>
    <col min="1" max="1" width="8.25" customWidth="1"/>
    <col min="2" max="2" width="9" style="11"/>
    <col min="3" max="3" width="7.5" style="11" customWidth="1"/>
    <col min="4" max="4" width="10.375" style="41" customWidth="1"/>
    <col min="5" max="5" width="13" style="41" customWidth="1"/>
    <col min="6" max="6" width="12.5" style="41" customWidth="1"/>
    <col min="7" max="7" width="10.375" style="41" customWidth="1"/>
    <col min="8" max="8" width="13.25" style="41" customWidth="1"/>
    <col min="9" max="9" width="9.875" style="53" customWidth="1"/>
    <col min="10" max="10" width="7.5" style="41" customWidth="1"/>
    <col min="11" max="13" width="9" style="11"/>
    <col min="14" max="14" width="15" style="11" customWidth="1"/>
    <col min="15" max="15" width="15.125" style="41" customWidth="1"/>
    <col min="16" max="16" width="12.75" style="45" customWidth="1"/>
    <col min="17" max="17" width="7.5" style="34" hidden="1" customWidth="1"/>
    <col min="18" max="18" width="12.75" style="45" bestFit="1" customWidth="1"/>
    <col min="19" max="19" width="9" style="11" hidden="1" customWidth="1"/>
    <col min="20" max="20" width="12.75" style="45" bestFit="1" customWidth="1"/>
    <col min="21" max="21" width="9" style="11" hidden="1" customWidth="1"/>
    <col min="22" max="22" width="12.75" style="45" bestFit="1" customWidth="1"/>
    <col min="23" max="23" width="9" style="11" hidden="1" customWidth="1"/>
    <col min="24" max="24" width="14.125" style="41" customWidth="1"/>
    <col min="25" max="25" width="9" style="11" hidden="1" customWidth="1"/>
    <col min="26" max="26" width="13.25" style="41" customWidth="1"/>
    <col min="27" max="27" width="0" style="11" hidden="1" customWidth="1"/>
    <col min="28" max="28" width="14.375" style="11" customWidth="1"/>
    <col min="29" max="29" width="0" style="11" hidden="1" customWidth="1"/>
    <col min="30" max="30" width="13" style="11" customWidth="1"/>
    <col min="31" max="31" width="8.25" style="11" hidden="1" customWidth="1"/>
    <col min="32" max="32" width="11.625" style="11" customWidth="1"/>
    <col min="33" max="33" width="0" style="11" hidden="1" customWidth="1"/>
    <col min="34" max="34" width="13.125" style="11" customWidth="1"/>
    <col min="35" max="35" width="0" style="11" hidden="1" customWidth="1"/>
    <col min="36" max="16384" width="9" style="11"/>
  </cols>
  <sheetData>
    <row r="1" spans="1:35">
      <c r="A1" t="s">
        <v>124</v>
      </c>
      <c r="P1" s="45" t="s">
        <v>128</v>
      </c>
    </row>
    <row r="2" spans="1:35" s="12" customFormat="1" ht="27">
      <c r="B2" s="12" t="s">
        <v>125</v>
      </c>
      <c r="C2" s="12" t="s">
        <v>127</v>
      </c>
      <c r="D2" s="43" t="s">
        <v>126</v>
      </c>
      <c r="E2" s="43" t="s">
        <v>129</v>
      </c>
      <c r="F2" s="43" t="s">
        <v>132</v>
      </c>
      <c r="G2" s="43" t="s">
        <v>131</v>
      </c>
      <c r="H2" s="43" t="s">
        <v>130</v>
      </c>
      <c r="I2" s="54" t="s">
        <v>173</v>
      </c>
      <c r="K2" s="12" t="s">
        <v>244</v>
      </c>
      <c r="L2" s="12" t="s">
        <v>146</v>
      </c>
      <c r="M2" s="12" t="s">
        <v>145</v>
      </c>
      <c r="O2" s="41" t="s">
        <v>147</v>
      </c>
      <c r="P2" s="46" t="str">
        <f>基本公式!A88</f>
        <v>建造</v>
      </c>
      <c r="Q2" s="44" t="s">
        <v>148</v>
      </c>
      <c r="R2" s="46" t="str">
        <f>基本公式!A89</f>
        <v>部队运输</v>
      </c>
      <c r="S2" s="12" t="s">
        <v>150</v>
      </c>
      <c r="T2" s="46" t="str">
        <f>基本公式!A90</f>
        <v>训练</v>
      </c>
      <c r="U2" s="12" t="s">
        <v>152</v>
      </c>
      <c r="V2" s="46" t="str">
        <f>基本公式!A91</f>
        <v>人口的基本消费</v>
      </c>
      <c r="W2" s="12" t="s">
        <v>153</v>
      </c>
      <c r="X2" s="43" t="str">
        <f>基本公式!A97</f>
        <v>科研</v>
      </c>
      <c r="Y2" s="12" t="s">
        <v>154</v>
      </c>
      <c r="Z2" s="43" t="str">
        <f>基本公式!A98</f>
        <v>城防</v>
      </c>
      <c r="AA2" s="12" t="s">
        <v>155</v>
      </c>
      <c r="AB2" s="12" t="str">
        <f>基本公式!A109</f>
        <v>武将俸禄</v>
      </c>
      <c r="AC2" s="12" t="s">
        <v>176</v>
      </c>
      <c r="AD2" s="12" t="str">
        <f>基本公式!A110</f>
        <v>武将招募</v>
      </c>
      <c r="AE2" s="12" t="s">
        <v>177</v>
      </c>
      <c r="AF2" s="12" t="str">
        <f>基本公式!A111</f>
        <v>武将赏赐</v>
      </c>
      <c r="AG2" s="12" t="s">
        <v>178</v>
      </c>
      <c r="AH2" s="12" t="str">
        <f>基本公式!A112</f>
        <v>武将技能</v>
      </c>
      <c r="AI2" s="12" t="s">
        <v>179</v>
      </c>
    </row>
    <row r="3" spans="1:35" s="48" customFormat="1">
      <c r="A3" s="47" t="s">
        <v>156</v>
      </c>
      <c r="D3" s="49"/>
      <c r="E3" s="49"/>
      <c r="F3" s="49"/>
      <c r="G3" s="49"/>
      <c r="H3" s="49"/>
      <c r="I3" s="55"/>
      <c r="J3" s="49"/>
      <c r="O3" s="50"/>
      <c r="P3" s="51"/>
      <c r="Q3" s="52"/>
      <c r="R3" s="51"/>
      <c r="T3" s="51"/>
      <c r="V3" s="51"/>
      <c r="X3" s="49"/>
      <c r="Z3" s="49"/>
    </row>
    <row r="4" spans="1:35">
      <c r="B4" s="11">
        <v>1</v>
      </c>
      <c r="C4" s="1">
        <v>0.1</v>
      </c>
      <c r="D4" s="41">
        <f t="shared" ref="D4:D23" si="0">ROUND(C4*3600*(1+I4),0)</f>
        <v>396</v>
      </c>
      <c r="E4" s="41">
        <f>24*D4</f>
        <v>9504</v>
      </c>
      <c r="F4" s="41">
        <f t="shared" ref="F4:F13" si="1">E4*G4</f>
        <v>9504</v>
      </c>
      <c r="G4" s="41">
        <v>1</v>
      </c>
      <c r="H4" s="41">
        <f>3*F4</f>
        <v>28512</v>
      </c>
      <c r="I4" s="53">
        <f t="shared" ref="I4:I21" si="2">I5-0.1</f>
        <v>9.9999999999999367E-2</v>
      </c>
      <c r="K4" s="11">
        <f>C4+C26+C48</f>
        <v>0.30000000000000004</v>
      </c>
      <c r="L4" s="11">
        <f t="shared" ref="L4:L10" si="3">M4-M3</f>
        <v>0.01</v>
      </c>
      <c r="M4" s="11">
        <v>0.01</v>
      </c>
      <c r="O4" s="41">
        <f t="shared" ref="O4:O11" si="4">M4*F4</f>
        <v>95.04</v>
      </c>
      <c r="P4" s="45">
        <f t="shared" ref="P4:P6" si="5">ROUND(O4*Q4,0)</f>
        <v>29</v>
      </c>
      <c r="Q4" s="34">
        <v>0.3</v>
      </c>
      <c r="R4" s="45">
        <f t="shared" ref="R4:R6" si="6">ROUND(O4*S4,0)</f>
        <v>33</v>
      </c>
      <c r="S4" s="34">
        <v>0.35</v>
      </c>
      <c r="T4" s="45">
        <f>ROUND(O4*U4+其他表格!S2,0)</f>
        <v>4014</v>
      </c>
      <c r="U4" s="34">
        <v>0.15</v>
      </c>
      <c r="V4" s="45">
        <f t="shared" ref="V4:V6" si="7">ROUND(O4*W4,0)</f>
        <v>19</v>
      </c>
      <c r="W4" s="34">
        <v>0.2</v>
      </c>
    </row>
    <row r="5" spans="1:35">
      <c r="B5" s="11">
        <v>2</v>
      </c>
      <c r="C5" s="1">
        <f>C4+C4</f>
        <v>0.2</v>
      </c>
      <c r="D5" s="41">
        <f t="shared" si="0"/>
        <v>864</v>
      </c>
      <c r="E5" s="41">
        <f t="shared" ref="E5:E23" si="8">24*D5</f>
        <v>20736</v>
      </c>
      <c r="F5" s="41">
        <f t="shared" si="1"/>
        <v>20736</v>
      </c>
      <c r="G5" s="41">
        <v>1</v>
      </c>
      <c r="H5" s="41">
        <f t="shared" ref="H5:H13" si="9">3*F5</f>
        <v>62208</v>
      </c>
      <c r="I5" s="53">
        <f t="shared" si="2"/>
        <v>0.19999999999999937</v>
      </c>
      <c r="K5" s="11">
        <f t="shared" ref="K5:K22" si="10">C5+C27+C49</f>
        <v>0.60000000000000009</v>
      </c>
      <c r="L5" s="11">
        <f t="shared" si="3"/>
        <v>0.04</v>
      </c>
      <c r="M5" s="11">
        <v>0.05</v>
      </c>
      <c r="O5" s="41">
        <f t="shared" si="4"/>
        <v>1036.8</v>
      </c>
      <c r="P5" s="45">
        <f t="shared" si="5"/>
        <v>311</v>
      </c>
      <c r="Q5" s="34">
        <v>0.3</v>
      </c>
      <c r="R5" s="45">
        <f t="shared" si="6"/>
        <v>363</v>
      </c>
      <c r="S5" s="34">
        <v>0.35</v>
      </c>
      <c r="T5" s="45">
        <f>ROUND(O5*U5+其他表格!S3,0)</f>
        <v>7156</v>
      </c>
      <c r="U5" s="34">
        <v>0.15</v>
      </c>
      <c r="V5" s="45">
        <f t="shared" si="7"/>
        <v>207</v>
      </c>
      <c r="W5" s="34">
        <v>0.2</v>
      </c>
    </row>
    <row r="6" spans="1:35">
      <c r="B6" s="11">
        <v>3</v>
      </c>
      <c r="C6" s="1">
        <f t="shared" ref="C6:C11" si="11">C5+C4</f>
        <v>0.30000000000000004</v>
      </c>
      <c r="D6" s="41">
        <f t="shared" si="0"/>
        <v>1404</v>
      </c>
      <c r="E6" s="41">
        <f t="shared" si="8"/>
        <v>33696</v>
      </c>
      <c r="F6" s="41">
        <f t="shared" si="1"/>
        <v>33696</v>
      </c>
      <c r="G6" s="41">
        <v>1</v>
      </c>
      <c r="H6" s="41">
        <f t="shared" si="9"/>
        <v>101088</v>
      </c>
      <c r="I6" s="53">
        <f t="shared" si="2"/>
        <v>0.29999999999999938</v>
      </c>
      <c r="K6" s="11">
        <f t="shared" si="10"/>
        <v>0.90000000000000013</v>
      </c>
      <c r="L6" s="11">
        <f t="shared" si="3"/>
        <v>0.15000000000000002</v>
      </c>
      <c r="M6" s="11">
        <v>0.2</v>
      </c>
      <c r="O6" s="41">
        <f t="shared" si="4"/>
        <v>6739.2000000000007</v>
      </c>
      <c r="P6" s="45">
        <f t="shared" si="5"/>
        <v>2022</v>
      </c>
      <c r="Q6" s="34">
        <v>0.3</v>
      </c>
      <c r="R6" s="45">
        <f t="shared" si="6"/>
        <v>2359</v>
      </c>
      <c r="S6" s="34">
        <v>0.35</v>
      </c>
      <c r="T6" s="45">
        <f>ROUND(O6*U6+其他表格!S4,0)</f>
        <v>11011</v>
      </c>
      <c r="U6" s="34">
        <v>0.15</v>
      </c>
      <c r="V6" s="45">
        <f t="shared" si="7"/>
        <v>1348</v>
      </c>
      <c r="W6" s="34">
        <v>0.2</v>
      </c>
    </row>
    <row r="7" spans="1:35">
      <c r="B7" s="11">
        <v>4</v>
      </c>
      <c r="C7" s="1">
        <f t="shared" si="11"/>
        <v>0.5</v>
      </c>
      <c r="D7" s="41">
        <f t="shared" si="0"/>
        <v>2520</v>
      </c>
      <c r="E7" s="41">
        <f t="shared" si="8"/>
        <v>60480</v>
      </c>
      <c r="F7" s="41">
        <f t="shared" si="1"/>
        <v>60480</v>
      </c>
      <c r="G7" s="41">
        <v>1</v>
      </c>
      <c r="H7" s="41">
        <f t="shared" si="9"/>
        <v>181440</v>
      </c>
      <c r="I7" s="53">
        <f t="shared" si="2"/>
        <v>0.39999999999999936</v>
      </c>
      <c r="K7" s="11">
        <f t="shared" si="10"/>
        <v>1.5</v>
      </c>
      <c r="L7" s="11">
        <f t="shared" si="3"/>
        <v>0.25</v>
      </c>
      <c r="M7" s="11">
        <v>0.45</v>
      </c>
      <c r="O7" s="41">
        <f t="shared" si="4"/>
        <v>27216</v>
      </c>
      <c r="P7" s="45">
        <f>ROUND(O7*Q7,0)</f>
        <v>8165</v>
      </c>
      <c r="Q7" s="34">
        <v>0.3</v>
      </c>
      <c r="R7" s="45">
        <f>ROUND(O7*S7,0)</f>
        <v>9526</v>
      </c>
      <c r="S7" s="34">
        <v>0.35</v>
      </c>
      <c r="T7" s="45">
        <f>ROUND(O7*U7+其他表格!S5,0)</f>
        <v>16082</v>
      </c>
      <c r="U7" s="34">
        <v>0.15</v>
      </c>
      <c r="V7" s="45">
        <f>ROUND(O7*W7,0)</f>
        <v>5443</v>
      </c>
      <c r="W7" s="34">
        <v>0.2</v>
      </c>
    </row>
    <row r="8" spans="1:35">
      <c r="B8" s="11">
        <v>5</v>
      </c>
      <c r="C8" s="1">
        <f t="shared" si="11"/>
        <v>0.8</v>
      </c>
      <c r="D8" s="41">
        <f t="shared" si="0"/>
        <v>4320</v>
      </c>
      <c r="E8" s="41">
        <f t="shared" si="8"/>
        <v>103680</v>
      </c>
      <c r="F8" s="41">
        <f t="shared" si="1"/>
        <v>103680</v>
      </c>
      <c r="G8" s="41">
        <v>1</v>
      </c>
      <c r="H8" s="41">
        <f t="shared" si="9"/>
        <v>311040</v>
      </c>
      <c r="I8" s="53">
        <f t="shared" si="2"/>
        <v>0.49999999999999933</v>
      </c>
      <c r="K8" s="11">
        <f t="shared" si="10"/>
        <v>2.4000000000000004</v>
      </c>
      <c r="L8" s="11">
        <f t="shared" si="3"/>
        <v>0.39999999999999997</v>
      </c>
      <c r="M8" s="11">
        <v>0.85</v>
      </c>
      <c r="O8" s="41">
        <f t="shared" si="4"/>
        <v>88128</v>
      </c>
      <c r="P8" s="45">
        <f>ROUND(O8*Q8,0)</f>
        <v>26438</v>
      </c>
      <c r="Q8" s="34">
        <v>0.3</v>
      </c>
      <c r="R8" s="45">
        <f>ROUND(O8*S8,0)</f>
        <v>30845</v>
      </c>
      <c r="S8" s="34">
        <v>0.35</v>
      </c>
      <c r="T8" s="45">
        <f>ROUND(O8*U8+其他表格!S6,0)</f>
        <v>25219</v>
      </c>
      <c r="U8" s="34">
        <v>0.15</v>
      </c>
      <c r="V8" s="45">
        <f>ROUND(O8*W8,0)</f>
        <v>17626</v>
      </c>
      <c r="W8" s="34">
        <v>0.2</v>
      </c>
    </row>
    <row r="9" spans="1:35">
      <c r="B9" s="11">
        <v>6</v>
      </c>
      <c r="C9" s="1">
        <f t="shared" si="11"/>
        <v>1.3</v>
      </c>
      <c r="D9" s="41">
        <f t="shared" si="0"/>
        <v>7488</v>
      </c>
      <c r="E9" s="41">
        <f t="shared" si="8"/>
        <v>179712</v>
      </c>
      <c r="F9" s="41">
        <f t="shared" si="1"/>
        <v>179712</v>
      </c>
      <c r="G9" s="41">
        <v>1</v>
      </c>
      <c r="H9" s="41">
        <f t="shared" si="9"/>
        <v>539136</v>
      </c>
      <c r="I9" s="53">
        <f t="shared" si="2"/>
        <v>0.59999999999999931</v>
      </c>
      <c r="K9" s="11">
        <f t="shared" si="10"/>
        <v>3.9000000000000004</v>
      </c>
      <c r="L9" s="11">
        <f t="shared" si="3"/>
        <v>0.54999999999999993</v>
      </c>
      <c r="M9" s="11">
        <v>1.4</v>
      </c>
      <c r="O9" s="41">
        <f t="shared" si="4"/>
        <v>251596.79999999999</v>
      </c>
      <c r="P9" s="45">
        <f t="shared" ref="P9:P23" si="12">ROUND(O9*Q9,0)</f>
        <v>75479</v>
      </c>
      <c r="Q9" s="34">
        <v>0.3</v>
      </c>
      <c r="R9" s="45">
        <f t="shared" ref="R9:R23" si="13">ROUND(O9*S9,0)</f>
        <v>88059</v>
      </c>
      <c r="S9" s="34">
        <v>0.35</v>
      </c>
      <c r="T9" s="45">
        <f>ROUND(O9*U9+其他表格!S7,0)</f>
        <v>62740</v>
      </c>
      <c r="U9" s="34">
        <v>0.15</v>
      </c>
      <c r="V9" s="45">
        <f t="shared" ref="V9:V23" si="14">ROUND(O9*W9,0)</f>
        <v>50319</v>
      </c>
      <c r="W9" s="34">
        <v>0.2</v>
      </c>
    </row>
    <row r="10" spans="1:35">
      <c r="B10" s="11">
        <v>7</v>
      </c>
      <c r="C10" s="1">
        <f t="shared" si="11"/>
        <v>2.1</v>
      </c>
      <c r="D10" s="41">
        <f t="shared" si="0"/>
        <v>12852</v>
      </c>
      <c r="E10" s="41">
        <f t="shared" si="8"/>
        <v>308448</v>
      </c>
      <c r="F10" s="41">
        <f t="shared" si="1"/>
        <v>308448</v>
      </c>
      <c r="G10" s="41">
        <v>1</v>
      </c>
      <c r="H10" s="41">
        <f t="shared" si="9"/>
        <v>925344</v>
      </c>
      <c r="I10" s="53">
        <f t="shared" si="2"/>
        <v>0.69999999999999929</v>
      </c>
      <c r="K10" s="11">
        <f t="shared" si="10"/>
        <v>6.3000000000000007</v>
      </c>
      <c r="L10" s="11">
        <f t="shared" si="3"/>
        <v>0.89999999999999991</v>
      </c>
      <c r="M10" s="11">
        <v>2.2999999999999998</v>
      </c>
      <c r="O10" s="41">
        <f t="shared" si="4"/>
        <v>709430.39999999991</v>
      </c>
      <c r="P10" s="45">
        <f t="shared" si="12"/>
        <v>212829</v>
      </c>
      <c r="Q10" s="34">
        <v>0.3</v>
      </c>
      <c r="R10" s="45">
        <f t="shared" si="13"/>
        <v>248301</v>
      </c>
      <c r="S10" s="34">
        <v>0.35</v>
      </c>
      <c r="T10" s="45">
        <f>ROUND(O10*U10+其他表格!S8,0)</f>
        <v>131415</v>
      </c>
      <c r="U10" s="34">
        <v>0.15</v>
      </c>
      <c r="V10" s="45">
        <f t="shared" si="14"/>
        <v>141886</v>
      </c>
      <c r="W10" s="34">
        <v>0.2</v>
      </c>
    </row>
    <row r="11" spans="1:35">
      <c r="A11" s="11"/>
      <c r="B11" s="11">
        <v>8</v>
      </c>
      <c r="C11" s="1">
        <f t="shared" si="11"/>
        <v>3.4000000000000004</v>
      </c>
      <c r="D11" s="41">
        <f t="shared" si="0"/>
        <v>22032</v>
      </c>
      <c r="E11" s="41">
        <f t="shared" si="8"/>
        <v>528768</v>
      </c>
      <c r="F11" s="41">
        <f t="shared" si="1"/>
        <v>528768</v>
      </c>
      <c r="G11" s="41">
        <v>1</v>
      </c>
      <c r="H11" s="41">
        <f t="shared" si="9"/>
        <v>1586304</v>
      </c>
      <c r="I11" s="53">
        <f t="shared" si="2"/>
        <v>0.79999999999999927</v>
      </c>
      <c r="K11" s="11">
        <f t="shared" si="10"/>
        <v>10.200000000000001</v>
      </c>
      <c r="L11" s="11">
        <f t="shared" ref="L11:L23" si="15">M11-M10</f>
        <v>2</v>
      </c>
      <c r="M11" s="11">
        <v>4.3</v>
      </c>
      <c r="O11" s="41">
        <f t="shared" si="4"/>
        <v>2273702.4</v>
      </c>
      <c r="P11" s="45">
        <f t="shared" si="12"/>
        <v>682111</v>
      </c>
      <c r="Q11" s="34">
        <v>0.3</v>
      </c>
      <c r="R11" s="45">
        <f t="shared" si="13"/>
        <v>795796</v>
      </c>
      <c r="S11" s="34">
        <v>0.35</v>
      </c>
      <c r="T11" s="45">
        <f>ROUND(O11*U11+其他表格!S9,0)</f>
        <v>366055</v>
      </c>
      <c r="U11" s="34">
        <v>0.15</v>
      </c>
      <c r="V11" s="45">
        <f t="shared" si="14"/>
        <v>454740</v>
      </c>
      <c r="W11" s="34">
        <v>0.2</v>
      </c>
    </row>
    <row r="12" spans="1:35">
      <c r="B12" s="11">
        <v>9</v>
      </c>
      <c r="C12" s="1">
        <f>C11+C9</f>
        <v>4.7</v>
      </c>
      <c r="D12" s="41">
        <f t="shared" si="0"/>
        <v>32148</v>
      </c>
      <c r="E12" s="41">
        <f t="shared" si="8"/>
        <v>771552</v>
      </c>
      <c r="F12" s="41">
        <f t="shared" si="1"/>
        <v>771552</v>
      </c>
      <c r="G12" s="41">
        <v>1</v>
      </c>
      <c r="H12" s="41">
        <f t="shared" si="9"/>
        <v>2314656</v>
      </c>
      <c r="I12" s="53">
        <f t="shared" si="2"/>
        <v>0.89999999999999925</v>
      </c>
      <c r="K12" s="11">
        <f t="shared" si="10"/>
        <v>14.100000000000001</v>
      </c>
      <c r="L12" s="11">
        <f t="shared" si="15"/>
        <v>2.7</v>
      </c>
      <c r="M12" s="11">
        <v>7</v>
      </c>
      <c r="O12" s="41">
        <f t="shared" ref="O12:O23" si="16">M12*F12</f>
        <v>5400864</v>
      </c>
      <c r="P12" s="45">
        <f t="shared" si="12"/>
        <v>1620259</v>
      </c>
      <c r="Q12" s="34">
        <v>0.3</v>
      </c>
      <c r="R12" s="45">
        <f t="shared" si="13"/>
        <v>1890302</v>
      </c>
      <c r="S12" s="34">
        <v>0.35</v>
      </c>
      <c r="T12" s="45">
        <f>ROUND(O12*U12+其他表格!S10,0)</f>
        <v>835130</v>
      </c>
      <c r="U12" s="34">
        <v>0.15</v>
      </c>
      <c r="V12" s="45">
        <f t="shared" si="14"/>
        <v>1080173</v>
      </c>
      <c r="W12" s="34">
        <v>0.2</v>
      </c>
    </row>
    <row r="13" spans="1:35">
      <c r="A13" s="38" t="s">
        <v>133</v>
      </c>
      <c r="B13" s="11">
        <v>10</v>
      </c>
      <c r="C13" s="1">
        <f>C12+C10</f>
        <v>6.8000000000000007</v>
      </c>
      <c r="D13" s="41">
        <f t="shared" si="0"/>
        <v>48960</v>
      </c>
      <c r="E13" s="41">
        <f t="shared" si="8"/>
        <v>1175040</v>
      </c>
      <c r="F13" s="41">
        <f t="shared" si="1"/>
        <v>1175040</v>
      </c>
      <c r="G13" s="41">
        <v>1</v>
      </c>
      <c r="H13" s="41">
        <f t="shared" si="9"/>
        <v>3525120</v>
      </c>
      <c r="I13" s="53">
        <f t="shared" si="2"/>
        <v>0.99999999999999922</v>
      </c>
      <c r="K13" s="11">
        <f t="shared" si="10"/>
        <v>20.400000000000002</v>
      </c>
      <c r="L13" s="11">
        <f t="shared" si="15"/>
        <v>4</v>
      </c>
      <c r="M13" s="11">
        <v>11</v>
      </c>
      <c r="O13" s="41">
        <f t="shared" si="16"/>
        <v>12925440</v>
      </c>
      <c r="P13" s="45">
        <f t="shared" si="12"/>
        <v>3877632</v>
      </c>
      <c r="Q13" s="34">
        <v>0.3</v>
      </c>
      <c r="R13" s="45">
        <f t="shared" si="13"/>
        <v>4523904</v>
      </c>
      <c r="S13" s="34">
        <v>0.35</v>
      </c>
      <c r="T13" s="45">
        <f>ROUND(O13*U13+其他表格!S11,0)</f>
        <v>1963816</v>
      </c>
      <c r="U13" s="34">
        <v>0.15</v>
      </c>
      <c r="V13" s="45">
        <f t="shared" si="14"/>
        <v>2585088</v>
      </c>
      <c r="W13" s="34">
        <v>0.2</v>
      </c>
    </row>
    <row r="14" spans="1:35">
      <c r="B14" s="11">
        <v>11</v>
      </c>
      <c r="C14" s="1">
        <f>C12+C11</f>
        <v>8.1000000000000014</v>
      </c>
      <c r="D14" s="41">
        <f t="shared" si="0"/>
        <v>61236</v>
      </c>
      <c r="E14" s="41">
        <f t="shared" si="8"/>
        <v>1469664</v>
      </c>
      <c r="F14" s="41">
        <f t="shared" ref="F14:F23" si="17">E14*G14</f>
        <v>1469664</v>
      </c>
      <c r="G14" s="41">
        <v>1</v>
      </c>
      <c r="H14" s="41">
        <f t="shared" ref="H14:H23" si="18">3*F14</f>
        <v>4408992</v>
      </c>
      <c r="I14" s="53">
        <f t="shared" si="2"/>
        <v>1.0999999999999992</v>
      </c>
      <c r="K14" s="11">
        <f t="shared" si="10"/>
        <v>24.300000000000004</v>
      </c>
      <c r="L14" s="11">
        <f t="shared" si="15"/>
        <v>7</v>
      </c>
      <c r="M14" s="11">
        <v>18</v>
      </c>
      <c r="O14" s="41">
        <f t="shared" si="16"/>
        <v>26453952</v>
      </c>
      <c r="P14" s="45">
        <f t="shared" si="12"/>
        <v>7936186</v>
      </c>
      <c r="Q14" s="34">
        <v>0.3</v>
      </c>
      <c r="R14" s="45">
        <f t="shared" si="13"/>
        <v>9258883</v>
      </c>
      <c r="S14" s="34">
        <v>0.35</v>
      </c>
      <c r="T14" s="45">
        <f t="shared" ref="T14:T23" si="19">ROUND(O14*U14,0)</f>
        <v>3968093</v>
      </c>
      <c r="U14" s="34">
        <v>0.15</v>
      </c>
      <c r="V14" s="45">
        <f t="shared" si="14"/>
        <v>5290790</v>
      </c>
      <c r="W14" s="34">
        <v>0.2</v>
      </c>
    </row>
    <row r="15" spans="1:35">
      <c r="B15" s="11">
        <v>12</v>
      </c>
      <c r="C15" s="1">
        <f>C13+C12</f>
        <v>11.5</v>
      </c>
      <c r="D15" s="41">
        <f t="shared" si="0"/>
        <v>91080</v>
      </c>
      <c r="E15" s="41">
        <f t="shared" si="8"/>
        <v>2185920</v>
      </c>
      <c r="F15" s="41">
        <f t="shared" si="17"/>
        <v>2185920</v>
      </c>
      <c r="G15" s="41">
        <v>1</v>
      </c>
      <c r="H15" s="41">
        <f t="shared" si="18"/>
        <v>6557760</v>
      </c>
      <c r="I15" s="53">
        <f t="shared" si="2"/>
        <v>1.1999999999999993</v>
      </c>
      <c r="K15" s="11">
        <f t="shared" si="10"/>
        <v>34.5</v>
      </c>
      <c r="L15" s="11">
        <f t="shared" si="15"/>
        <v>9</v>
      </c>
      <c r="M15" s="11">
        <v>27</v>
      </c>
      <c r="O15" s="41">
        <f t="shared" si="16"/>
        <v>59019840</v>
      </c>
      <c r="P15" s="45">
        <f t="shared" si="12"/>
        <v>17705952</v>
      </c>
      <c r="Q15" s="34">
        <v>0.3</v>
      </c>
      <c r="R15" s="45">
        <f t="shared" si="13"/>
        <v>20656944</v>
      </c>
      <c r="S15" s="34">
        <v>0.35</v>
      </c>
      <c r="T15" s="45">
        <f t="shared" si="19"/>
        <v>8852976</v>
      </c>
      <c r="U15" s="34">
        <v>0.15</v>
      </c>
      <c r="V15" s="45">
        <f t="shared" si="14"/>
        <v>11803968</v>
      </c>
      <c r="W15" s="34">
        <v>0.2</v>
      </c>
    </row>
    <row r="16" spans="1:35">
      <c r="A16" s="11"/>
      <c r="B16" s="11">
        <v>13</v>
      </c>
      <c r="C16" s="1">
        <v>14.4</v>
      </c>
      <c r="D16" s="41">
        <f t="shared" si="0"/>
        <v>119232</v>
      </c>
      <c r="E16" s="41">
        <f t="shared" si="8"/>
        <v>2861568</v>
      </c>
      <c r="F16" s="41">
        <f t="shared" si="17"/>
        <v>2861568</v>
      </c>
      <c r="G16" s="41">
        <v>1</v>
      </c>
      <c r="H16" s="41">
        <f t="shared" si="18"/>
        <v>8584704</v>
      </c>
      <c r="I16" s="53">
        <f t="shared" si="2"/>
        <v>1.2999999999999994</v>
      </c>
      <c r="K16" s="11">
        <f t="shared" si="10"/>
        <v>43.2</v>
      </c>
      <c r="L16" s="11">
        <f t="shared" si="15"/>
        <v>13</v>
      </c>
      <c r="M16" s="11">
        <v>40</v>
      </c>
      <c r="O16" s="41">
        <f t="shared" si="16"/>
        <v>114462720</v>
      </c>
      <c r="P16" s="45">
        <f t="shared" si="12"/>
        <v>34338816</v>
      </c>
      <c r="Q16" s="34">
        <v>0.3</v>
      </c>
      <c r="R16" s="45">
        <f t="shared" si="13"/>
        <v>40061952</v>
      </c>
      <c r="S16" s="34">
        <v>0.35</v>
      </c>
      <c r="T16" s="45">
        <f t="shared" si="19"/>
        <v>17169408</v>
      </c>
      <c r="U16" s="34">
        <v>0.15</v>
      </c>
      <c r="V16" s="45">
        <f t="shared" si="14"/>
        <v>22892544</v>
      </c>
      <c r="W16" s="34">
        <v>0.2</v>
      </c>
    </row>
    <row r="17" spans="1:27">
      <c r="A17" s="39" t="s">
        <v>134</v>
      </c>
      <c r="B17" s="11">
        <v>14</v>
      </c>
      <c r="C17" s="1">
        <v>17</v>
      </c>
      <c r="D17" s="41">
        <f t="shared" si="0"/>
        <v>146880</v>
      </c>
      <c r="E17" s="41">
        <f t="shared" si="8"/>
        <v>3525120</v>
      </c>
      <c r="F17" s="41">
        <f t="shared" si="17"/>
        <v>3525120</v>
      </c>
      <c r="G17" s="41">
        <v>1</v>
      </c>
      <c r="H17" s="41">
        <f t="shared" si="18"/>
        <v>10575360</v>
      </c>
      <c r="I17" s="53">
        <f t="shared" si="2"/>
        <v>1.3999999999999995</v>
      </c>
      <c r="K17" s="11">
        <f t="shared" si="10"/>
        <v>51</v>
      </c>
      <c r="L17" s="11">
        <f t="shared" si="15"/>
        <v>16</v>
      </c>
      <c r="M17" s="11">
        <f>L16+M16+3</f>
        <v>56</v>
      </c>
      <c r="O17" s="41">
        <f t="shared" si="16"/>
        <v>197406720</v>
      </c>
      <c r="P17" s="45">
        <f t="shared" si="12"/>
        <v>59222016</v>
      </c>
      <c r="Q17" s="34">
        <v>0.3</v>
      </c>
      <c r="R17" s="45">
        <f t="shared" si="13"/>
        <v>69092352</v>
      </c>
      <c r="S17" s="34">
        <v>0.35</v>
      </c>
      <c r="T17" s="45">
        <f t="shared" si="19"/>
        <v>29611008</v>
      </c>
      <c r="U17" s="34">
        <v>0.15</v>
      </c>
      <c r="V17" s="45">
        <f t="shared" si="14"/>
        <v>39481344</v>
      </c>
      <c r="W17" s="34">
        <v>0.2</v>
      </c>
    </row>
    <row r="18" spans="1:27">
      <c r="B18" s="11">
        <v>15</v>
      </c>
      <c r="C18" s="1">
        <v>20</v>
      </c>
      <c r="D18" s="41">
        <f t="shared" si="0"/>
        <v>180000</v>
      </c>
      <c r="E18" s="41">
        <f t="shared" si="8"/>
        <v>4320000</v>
      </c>
      <c r="F18" s="41">
        <f t="shared" si="17"/>
        <v>4320000</v>
      </c>
      <c r="G18" s="41">
        <v>1</v>
      </c>
      <c r="H18" s="41">
        <f t="shared" si="18"/>
        <v>12960000</v>
      </c>
      <c r="I18" s="53">
        <f t="shared" si="2"/>
        <v>1.4999999999999996</v>
      </c>
      <c r="K18" s="11">
        <f t="shared" si="10"/>
        <v>60</v>
      </c>
      <c r="L18" s="11">
        <f t="shared" si="15"/>
        <v>19</v>
      </c>
      <c r="M18" s="11">
        <f t="shared" ref="M18:M23" si="20">M17+L17+3</f>
        <v>75</v>
      </c>
      <c r="O18" s="41">
        <f t="shared" si="16"/>
        <v>324000000</v>
      </c>
      <c r="P18" s="45">
        <f t="shared" si="12"/>
        <v>97200000</v>
      </c>
      <c r="Q18" s="34">
        <v>0.3</v>
      </c>
      <c r="R18" s="45">
        <f t="shared" si="13"/>
        <v>113400000</v>
      </c>
      <c r="S18" s="34">
        <v>0.35</v>
      </c>
      <c r="T18" s="45">
        <f t="shared" si="19"/>
        <v>48600000</v>
      </c>
      <c r="U18" s="34">
        <v>0.15</v>
      </c>
      <c r="V18" s="45">
        <f t="shared" si="14"/>
        <v>64800000</v>
      </c>
      <c r="W18" s="34">
        <v>0.2</v>
      </c>
    </row>
    <row r="19" spans="1:27">
      <c r="B19" s="11">
        <v>16</v>
      </c>
      <c r="C19" s="1">
        <v>23</v>
      </c>
      <c r="D19" s="41">
        <f t="shared" si="0"/>
        <v>215280</v>
      </c>
      <c r="E19" s="41">
        <f t="shared" si="8"/>
        <v>5166720</v>
      </c>
      <c r="F19" s="41">
        <f t="shared" si="17"/>
        <v>5166720</v>
      </c>
      <c r="G19" s="41">
        <v>1</v>
      </c>
      <c r="H19" s="41">
        <f t="shared" si="18"/>
        <v>15500160</v>
      </c>
      <c r="I19" s="53">
        <f t="shared" si="2"/>
        <v>1.5999999999999996</v>
      </c>
      <c r="K19" s="11">
        <f t="shared" si="10"/>
        <v>69</v>
      </c>
      <c r="L19" s="11">
        <f t="shared" si="15"/>
        <v>22</v>
      </c>
      <c r="M19" s="11">
        <f t="shared" si="20"/>
        <v>97</v>
      </c>
      <c r="O19" s="41">
        <f t="shared" si="16"/>
        <v>501171840</v>
      </c>
      <c r="P19" s="45">
        <f t="shared" si="12"/>
        <v>150351552</v>
      </c>
      <c r="Q19" s="34">
        <v>0.3</v>
      </c>
      <c r="R19" s="45">
        <f t="shared" si="13"/>
        <v>175410144</v>
      </c>
      <c r="S19" s="34">
        <v>0.35</v>
      </c>
      <c r="T19" s="45">
        <f t="shared" si="19"/>
        <v>75175776</v>
      </c>
      <c r="U19" s="34">
        <v>0.15</v>
      </c>
      <c r="V19" s="45">
        <f t="shared" si="14"/>
        <v>100234368</v>
      </c>
      <c r="W19" s="34">
        <v>0.2</v>
      </c>
    </row>
    <row r="20" spans="1:27">
      <c r="B20" s="11">
        <v>17</v>
      </c>
      <c r="C20" s="1">
        <v>26.3</v>
      </c>
      <c r="D20" s="41">
        <f t="shared" si="0"/>
        <v>255636</v>
      </c>
      <c r="E20" s="41">
        <f t="shared" si="8"/>
        <v>6135264</v>
      </c>
      <c r="F20" s="41">
        <f t="shared" si="17"/>
        <v>6135264</v>
      </c>
      <c r="G20" s="41">
        <v>1</v>
      </c>
      <c r="H20" s="41">
        <f t="shared" si="18"/>
        <v>18405792</v>
      </c>
      <c r="I20" s="53">
        <f t="shared" si="2"/>
        <v>1.6999999999999997</v>
      </c>
      <c r="K20" s="11">
        <f t="shared" si="10"/>
        <v>78.900000000000006</v>
      </c>
      <c r="L20" s="11">
        <f t="shared" si="15"/>
        <v>25</v>
      </c>
      <c r="M20" s="11">
        <f t="shared" si="20"/>
        <v>122</v>
      </c>
      <c r="O20" s="41">
        <f t="shared" si="16"/>
        <v>748502208</v>
      </c>
      <c r="P20" s="45">
        <f t="shared" si="12"/>
        <v>224550662</v>
      </c>
      <c r="Q20" s="34">
        <v>0.3</v>
      </c>
      <c r="R20" s="45">
        <f t="shared" si="13"/>
        <v>261975773</v>
      </c>
      <c r="S20" s="34">
        <v>0.35</v>
      </c>
      <c r="T20" s="45">
        <f t="shared" si="19"/>
        <v>112275331</v>
      </c>
      <c r="U20" s="34">
        <v>0.15</v>
      </c>
      <c r="V20" s="45">
        <f t="shared" si="14"/>
        <v>149700442</v>
      </c>
      <c r="W20" s="34">
        <v>0.2</v>
      </c>
    </row>
    <row r="21" spans="1:27">
      <c r="B21" s="11">
        <v>18</v>
      </c>
      <c r="C21" s="1">
        <v>30</v>
      </c>
      <c r="D21" s="41">
        <f t="shared" si="0"/>
        <v>302400</v>
      </c>
      <c r="E21" s="41">
        <f t="shared" si="8"/>
        <v>7257600</v>
      </c>
      <c r="F21" s="41">
        <f t="shared" si="17"/>
        <v>7257600</v>
      </c>
      <c r="G21" s="41">
        <v>1</v>
      </c>
      <c r="H21" s="41">
        <f t="shared" si="18"/>
        <v>21772800</v>
      </c>
      <c r="I21" s="53">
        <f t="shared" si="2"/>
        <v>1.7999999999999998</v>
      </c>
      <c r="K21" s="11">
        <f t="shared" si="10"/>
        <v>90</v>
      </c>
      <c r="L21" s="11">
        <f t="shared" si="15"/>
        <v>28</v>
      </c>
      <c r="M21" s="11">
        <f t="shared" si="20"/>
        <v>150</v>
      </c>
      <c r="O21" s="41">
        <f t="shared" si="16"/>
        <v>1088640000</v>
      </c>
      <c r="P21" s="45">
        <f t="shared" si="12"/>
        <v>326592000</v>
      </c>
      <c r="Q21" s="34">
        <v>0.3</v>
      </c>
      <c r="R21" s="45">
        <f t="shared" si="13"/>
        <v>381024000</v>
      </c>
      <c r="S21" s="34">
        <v>0.35</v>
      </c>
      <c r="T21" s="45">
        <f t="shared" si="19"/>
        <v>163296000</v>
      </c>
      <c r="U21" s="34">
        <v>0.15</v>
      </c>
      <c r="V21" s="45">
        <f t="shared" si="14"/>
        <v>217728000</v>
      </c>
      <c r="W21" s="34">
        <v>0.2</v>
      </c>
    </row>
    <row r="22" spans="1:27">
      <c r="A22" s="40" t="s">
        <v>135</v>
      </c>
      <c r="B22" s="11">
        <v>19</v>
      </c>
      <c r="C22" s="1">
        <v>34</v>
      </c>
      <c r="D22" s="41">
        <f t="shared" si="0"/>
        <v>354960</v>
      </c>
      <c r="E22" s="41">
        <f t="shared" si="8"/>
        <v>8519040</v>
      </c>
      <c r="F22" s="41">
        <f t="shared" si="17"/>
        <v>8519040</v>
      </c>
      <c r="G22" s="41">
        <v>1</v>
      </c>
      <c r="H22" s="41">
        <f t="shared" si="18"/>
        <v>25557120</v>
      </c>
      <c r="I22" s="53">
        <f>I23-0.1</f>
        <v>1.9</v>
      </c>
      <c r="K22" s="11">
        <f t="shared" si="10"/>
        <v>102</v>
      </c>
      <c r="L22" s="11">
        <f t="shared" si="15"/>
        <v>31</v>
      </c>
      <c r="M22" s="11">
        <f t="shared" si="20"/>
        <v>181</v>
      </c>
      <c r="O22" s="41">
        <f t="shared" si="16"/>
        <v>1541946240</v>
      </c>
      <c r="P22" s="45">
        <f t="shared" si="12"/>
        <v>462583872</v>
      </c>
      <c r="Q22" s="34">
        <v>0.3</v>
      </c>
      <c r="R22" s="45">
        <f t="shared" si="13"/>
        <v>539681184</v>
      </c>
      <c r="S22" s="34">
        <v>0.35</v>
      </c>
      <c r="T22" s="45">
        <f t="shared" si="19"/>
        <v>231291936</v>
      </c>
      <c r="U22" s="34">
        <v>0.15</v>
      </c>
      <c r="V22" s="45">
        <f t="shared" si="14"/>
        <v>308389248</v>
      </c>
      <c r="W22" s="34">
        <v>0.2</v>
      </c>
    </row>
    <row r="23" spans="1:27">
      <c r="B23" s="11">
        <v>20</v>
      </c>
      <c r="C23" s="1">
        <v>40</v>
      </c>
      <c r="D23" s="41">
        <f t="shared" si="0"/>
        <v>432000</v>
      </c>
      <c r="E23" s="41">
        <f t="shared" si="8"/>
        <v>10368000</v>
      </c>
      <c r="F23" s="41">
        <f t="shared" si="17"/>
        <v>10368000</v>
      </c>
      <c r="G23" s="41">
        <v>1</v>
      </c>
      <c r="H23" s="41">
        <f t="shared" si="18"/>
        <v>31104000</v>
      </c>
      <c r="I23" s="53">
        <v>2</v>
      </c>
      <c r="K23" s="11">
        <f>C23+C45+C67</f>
        <v>120</v>
      </c>
      <c r="L23" s="11">
        <f t="shared" si="15"/>
        <v>34</v>
      </c>
      <c r="M23" s="11">
        <f t="shared" si="20"/>
        <v>215</v>
      </c>
      <c r="O23" s="41">
        <f t="shared" si="16"/>
        <v>2229120000</v>
      </c>
      <c r="P23" s="45">
        <f t="shared" si="12"/>
        <v>668736000</v>
      </c>
      <c r="Q23" s="34">
        <v>0.3</v>
      </c>
      <c r="R23" s="45">
        <f t="shared" si="13"/>
        <v>780192000</v>
      </c>
      <c r="S23" s="34">
        <v>0.35</v>
      </c>
      <c r="T23" s="45">
        <f t="shared" si="19"/>
        <v>334368000</v>
      </c>
      <c r="U23" s="34">
        <v>0.15</v>
      </c>
      <c r="V23" s="45">
        <f t="shared" si="14"/>
        <v>445824000</v>
      </c>
      <c r="W23" s="34">
        <v>0.2</v>
      </c>
    </row>
    <row r="25" spans="1:27" s="48" customFormat="1">
      <c r="A25" s="47" t="s">
        <v>158</v>
      </c>
      <c r="D25" s="49"/>
      <c r="E25" s="49"/>
      <c r="F25" s="49"/>
      <c r="G25" s="49"/>
      <c r="H25" s="49"/>
      <c r="I25" s="55"/>
      <c r="J25" s="49"/>
      <c r="O25" s="50"/>
      <c r="P25" s="51"/>
      <c r="Q25" s="52"/>
      <c r="R25" s="51"/>
      <c r="T25" s="51"/>
      <c r="V25" s="51"/>
      <c r="X25" s="49"/>
      <c r="Z25" s="49"/>
    </row>
    <row r="26" spans="1:27">
      <c r="B26" s="11">
        <v>1</v>
      </c>
      <c r="C26" s="1">
        <v>0.1</v>
      </c>
      <c r="D26" s="41">
        <f t="shared" ref="D26:D45" si="21">ROUND(C26*3600*(1+I26),0)</f>
        <v>396</v>
      </c>
      <c r="E26" s="41">
        <f>24*D26</f>
        <v>9504</v>
      </c>
      <c r="F26" s="41">
        <f t="shared" ref="F26:F35" si="22">E26*G26</f>
        <v>9504</v>
      </c>
      <c r="G26" s="41">
        <v>1</v>
      </c>
      <c r="H26" s="41">
        <f>3*F26</f>
        <v>28512</v>
      </c>
      <c r="I26" s="53">
        <f t="shared" ref="I26:I43" si="23">I27-0.1</f>
        <v>9.9999999999999367E-2</v>
      </c>
      <c r="L26" s="11">
        <f t="shared" ref="L26:L45" si="24">M26-M25</f>
        <v>0.01</v>
      </c>
      <c r="M26" s="11">
        <v>0.01</v>
      </c>
      <c r="O26" s="41">
        <f t="shared" ref="O26:O35" si="25">M26*F26</f>
        <v>95.04</v>
      </c>
      <c r="P26" s="45">
        <f t="shared" ref="P26:P28" si="26">ROUND(O26*Q26,0)</f>
        <v>38</v>
      </c>
      <c r="Q26" s="34">
        <v>0.4</v>
      </c>
      <c r="R26" s="45">
        <f t="shared" ref="R26:R28" si="27">ROUND(O26*S26,0)</f>
        <v>33</v>
      </c>
      <c r="S26" s="34">
        <v>0.35</v>
      </c>
      <c r="T26" s="45">
        <f>ROUND(O26*U26+其他表格!T2,0)</f>
        <v>5014</v>
      </c>
      <c r="U26" s="34">
        <v>0.15</v>
      </c>
      <c r="W26" s="34"/>
      <c r="X26" s="41">
        <f t="shared" ref="X26:X28" si="28">ROUND(O26*Y26,0)</f>
        <v>19</v>
      </c>
      <c r="Y26" s="34">
        <v>0.2</v>
      </c>
      <c r="Z26" s="41">
        <f t="shared" ref="Z26:Z28" si="29">ROUND(O26*AA26,0)</f>
        <v>14</v>
      </c>
      <c r="AA26" s="34">
        <v>0.15</v>
      </c>
    </row>
    <row r="27" spans="1:27">
      <c r="B27" s="11">
        <v>2</v>
      </c>
      <c r="C27" s="1">
        <f>C26+C26</f>
        <v>0.2</v>
      </c>
      <c r="D27" s="41">
        <f t="shared" si="21"/>
        <v>864</v>
      </c>
      <c r="E27" s="41">
        <f t="shared" ref="E27:E45" si="30">24*D27</f>
        <v>20736</v>
      </c>
      <c r="F27" s="41">
        <f t="shared" si="22"/>
        <v>20736</v>
      </c>
      <c r="G27" s="41">
        <v>1</v>
      </c>
      <c r="H27" s="41">
        <f t="shared" ref="H27:H45" si="31">3*F27</f>
        <v>62208</v>
      </c>
      <c r="I27" s="53">
        <f t="shared" si="23"/>
        <v>0.19999999999999937</v>
      </c>
      <c r="L27" s="11">
        <f t="shared" si="24"/>
        <v>0.04</v>
      </c>
      <c r="M27" s="11">
        <v>0.05</v>
      </c>
      <c r="O27" s="41">
        <f t="shared" si="25"/>
        <v>1036.8</v>
      </c>
      <c r="P27" s="45">
        <f t="shared" si="26"/>
        <v>415</v>
      </c>
      <c r="Q27" s="34">
        <v>0.4</v>
      </c>
      <c r="R27" s="45">
        <f t="shared" si="27"/>
        <v>363</v>
      </c>
      <c r="S27" s="34">
        <v>0.35</v>
      </c>
      <c r="T27" s="45">
        <f>ROUND(O27*U27+其他表格!T3,0)</f>
        <v>8156</v>
      </c>
      <c r="U27" s="34">
        <v>0.15</v>
      </c>
      <c r="W27" s="34"/>
      <c r="X27" s="41">
        <f t="shared" si="28"/>
        <v>207</v>
      </c>
      <c r="Y27" s="34">
        <v>0.2</v>
      </c>
      <c r="Z27" s="41">
        <f t="shared" si="29"/>
        <v>156</v>
      </c>
      <c r="AA27" s="34">
        <v>0.15</v>
      </c>
    </row>
    <row r="28" spans="1:27">
      <c r="B28" s="11">
        <v>3</v>
      </c>
      <c r="C28" s="1">
        <f t="shared" ref="C28:C33" si="32">C27+C26</f>
        <v>0.30000000000000004</v>
      </c>
      <c r="D28" s="41">
        <f t="shared" si="21"/>
        <v>1404</v>
      </c>
      <c r="E28" s="41">
        <f t="shared" si="30"/>
        <v>33696</v>
      </c>
      <c r="F28" s="41">
        <f t="shared" si="22"/>
        <v>33696</v>
      </c>
      <c r="G28" s="41">
        <v>1</v>
      </c>
      <c r="H28" s="41">
        <f t="shared" si="31"/>
        <v>101088</v>
      </c>
      <c r="I28" s="53">
        <f t="shared" si="23"/>
        <v>0.29999999999999938</v>
      </c>
      <c r="L28" s="11">
        <f t="shared" si="24"/>
        <v>0.15000000000000002</v>
      </c>
      <c r="M28" s="11">
        <v>0.2</v>
      </c>
      <c r="O28" s="41">
        <f t="shared" si="25"/>
        <v>6739.2000000000007</v>
      </c>
      <c r="P28" s="45">
        <f t="shared" si="26"/>
        <v>2696</v>
      </c>
      <c r="Q28" s="34">
        <v>0.4</v>
      </c>
      <c r="R28" s="45">
        <f t="shared" si="27"/>
        <v>2359</v>
      </c>
      <c r="S28" s="34">
        <v>0.35</v>
      </c>
      <c r="T28" s="45">
        <f>ROUND(O28*U28+其他表格!T4,0)</f>
        <v>12011</v>
      </c>
      <c r="U28" s="34">
        <v>0.15</v>
      </c>
      <c r="W28" s="34"/>
      <c r="X28" s="41">
        <f t="shared" si="28"/>
        <v>1348</v>
      </c>
      <c r="Y28" s="34">
        <v>0.2</v>
      </c>
      <c r="Z28" s="41">
        <f t="shared" si="29"/>
        <v>1011</v>
      </c>
      <c r="AA28" s="34">
        <v>0.15</v>
      </c>
    </row>
    <row r="29" spans="1:27">
      <c r="B29" s="11">
        <v>4</v>
      </c>
      <c r="C29" s="1">
        <f t="shared" si="32"/>
        <v>0.5</v>
      </c>
      <c r="D29" s="41">
        <f t="shared" si="21"/>
        <v>2520</v>
      </c>
      <c r="E29" s="41">
        <f t="shared" si="30"/>
        <v>60480</v>
      </c>
      <c r="F29" s="41">
        <f t="shared" si="22"/>
        <v>60480</v>
      </c>
      <c r="G29" s="41">
        <v>1</v>
      </c>
      <c r="H29" s="41">
        <f t="shared" si="31"/>
        <v>181440</v>
      </c>
      <c r="I29" s="53">
        <f t="shared" si="23"/>
        <v>0.39999999999999936</v>
      </c>
      <c r="L29" s="11">
        <f t="shared" si="24"/>
        <v>0.25</v>
      </c>
      <c r="M29" s="11">
        <v>0.45</v>
      </c>
      <c r="O29" s="41">
        <f t="shared" si="25"/>
        <v>27216</v>
      </c>
      <c r="P29" s="45">
        <f>ROUND(O29*Q29,0)</f>
        <v>10886</v>
      </c>
      <c r="Q29" s="34">
        <v>0.4</v>
      </c>
      <c r="R29" s="45">
        <f>ROUND(O29*S29,0)</f>
        <v>9526</v>
      </c>
      <c r="S29" s="34">
        <v>0.35</v>
      </c>
      <c r="T29" s="45">
        <f>ROUND(O29*U29+其他表格!T5,0)</f>
        <v>17082</v>
      </c>
      <c r="U29" s="34">
        <v>0.15</v>
      </c>
      <c r="W29" s="34"/>
      <c r="X29" s="41">
        <f>ROUND(O29*Y29,0)</f>
        <v>5443</v>
      </c>
      <c r="Y29" s="34">
        <v>0.2</v>
      </c>
      <c r="Z29" s="41">
        <f>ROUND(O29*AA29,0)</f>
        <v>4082</v>
      </c>
      <c r="AA29" s="34">
        <v>0.15</v>
      </c>
    </row>
    <row r="30" spans="1:27">
      <c r="B30" s="11">
        <v>5</v>
      </c>
      <c r="C30" s="1">
        <f t="shared" si="32"/>
        <v>0.8</v>
      </c>
      <c r="D30" s="41">
        <f t="shared" si="21"/>
        <v>4320</v>
      </c>
      <c r="E30" s="41">
        <f t="shared" si="30"/>
        <v>103680</v>
      </c>
      <c r="F30" s="41">
        <f t="shared" si="22"/>
        <v>103680</v>
      </c>
      <c r="G30" s="41">
        <v>1</v>
      </c>
      <c r="H30" s="41">
        <f t="shared" si="31"/>
        <v>311040</v>
      </c>
      <c r="I30" s="53">
        <f t="shared" si="23"/>
        <v>0.49999999999999933</v>
      </c>
      <c r="L30" s="11">
        <f t="shared" si="24"/>
        <v>0.39999999999999997</v>
      </c>
      <c r="M30" s="11">
        <v>0.85</v>
      </c>
      <c r="O30" s="41">
        <f t="shared" si="25"/>
        <v>88128</v>
      </c>
      <c r="P30" s="45">
        <f>ROUND(O30*Q30,0)</f>
        <v>35251</v>
      </c>
      <c r="Q30" s="34">
        <v>0.4</v>
      </c>
      <c r="R30" s="45">
        <f>ROUND(O30*S30,0)</f>
        <v>30845</v>
      </c>
      <c r="S30" s="34">
        <v>0.35</v>
      </c>
      <c r="T30" s="45">
        <f>ROUND(O30*U30+其他表格!T6,0)</f>
        <v>25219</v>
      </c>
      <c r="U30" s="34">
        <v>0.15</v>
      </c>
      <c r="W30" s="34"/>
      <c r="X30" s="41">
        <f t="shared" ref="X30:X45" si="33">ROUND(O30*Y30,0)</f>
        <v>17626</v>
      </c>
      <c r="Y30" s="34">
        <v>0.2</v>
      </c>
      <c r="Z30" s="41">
        <f t="shared" ref="Z30:Z45" si="34">ROUND(O30*AA30,0)</f>
        <v>13219</v>
      </c>
      <c r="AA30" s="34">
        <v>0.15</v>
      </c>
    </row>
    <row r="31" spans="1:27">
      <c r="B31" s="11">
        <v>6</v>
      </c>
      <c r="C31" s="1">
        <f t="shared" si="32"/>
        <v>1.3</v>
      </c>
      <c r="D31" s="41">
        <f t="shared" si="21"/>
        <v>7488</v>
      </c>
      <c r="E31" s="41">
        <f t="shared" si="30"/>
        <v>179712</v>
      </c>
      <c r="F31" s="41">
        <f t="shared" si="22"/>
        <v>179712</v>
      </c>
      <c r="G31" s="41">
        <v>1</v>
      </c>
      <c r="H31" s="41">
        <f t="shared" si="31"/>
        <v>539136</v>
      </c>
      <c r="I31" s="53">
        <f t="shared" si="23"/>
        <v>0.59999999999999931</v>
      </c>
      <c r="L31" s="11">
        <f t="shared" si="24"/>
        <v>0.54999999999999993</v>
      </c>
      <c r="M31" s="11">
        <v>1.4</v>
      </c>
      <c r="O31" s="41">
        <f t="shared" si="25"/>
        <v>251596.79999999999</v>
      </c>
      <c r="P31" s="45">
        <f t="shared" ref="P31:P45" si="35">ROUND(O31*Q31,0)</f>
        <v>100639</v>
      </c>
      <c r="Q31" s="34">
        <v>0.4</v>
      </c>
      <c r="R31" s="45">
        <f t="shared" ref="R31:R45" si="36">ROUND(O31*S31,0)</f>
        <v>88059</v>
      </c>
      <c r="S31" s="34">
        <v>0.35</v>
      </c>
      <c r="T31" s="45">
        <f>ROUND(O31*U31+其他表格!T7,0)</f>
        <v>62740</v>
      </c>
      <c r="U31" s="34">
        <v>0.15</v>
      </c>
      <c r="W31" s="34"/>
      <c r="X31" s="41">
        <f t="shared" si="33"/>
        <v>50319</v>
      </c>
      <c r="Y31" s="34">
        <v>0.2</v>
      </c>
      <c r="Z31" s="41">
        <f t="shared" si="34"/>
        <v>37740</v>
      </c>
      <c r="AA31" s="34">
        <v>0.15</v>
      </c>
    </row>
    <row r="32" spans="1:27">
      <c r="B32" s="11">
        <v>7</v>
      </c>
      <c r="C32" s="1">
        <f t="shared" si="32"/>
        <v>2.1</v>
      </c>
      <c r="D32" s="41">
        <f t="shared" si="21"/>
        <v>12852</v>
      </c>
      <c r="E32" s="41">
        <f t="shared" si="30"/>
        <v>308448</v>
      </c>
      <c r="F32" s="41">
        <f t="shared" si="22"/>
        <v>308448</v>
      </c>
      <c r="G32" s="41">
        <v>1</v>
      </c>
      <c r="H32" s="41">
        <f t="shared" si="31"/>
        <v>925344</v>
      </c>
      <c r="I32" s="53">
        <f t="shared" si="23"/>
        <v>0.69999999999999929</v>
      </c>
      <c r="L32" s="11">
        <f t="shared" si="24"/>
        <v>0.89999999999999991</v>
      </c>
      <c r="M32" s="11">
        <v>2.2999999999999998</v>
      </c>
      <c r="O32" s="41">
        <f t="shared" si="25"/>
        <v>709430.39999999991</v>
      </c>
      <c r="P32" s="45">
        <f t="shared" si="35"/>
        <v>283772</v>
      </c>
      <c r="Q32" s="34">
        <v>0.4</v>
      </c>
      <c r="R32" s="45">
        <f t="shared" si="36"/>
        <v>248301</v>
      </c>
      <c r="S32" s="34">
        <v>0.35</v>
      </c>
      <c r="T32" s="45">
        <f>ROUND(O32*U32+其他表格!T8,0)</f>
        <v>131415</v>
      </c>
      <c r="U32" s="34">
        <v>0.15</v>
      </c>
      <c r="W32" s="34"/>
      <c r="X32" s="41">
        <f t="shared" si="33"/>
        <v>141886</v>
      </c>
      <c r="Y32" s="34">
        <v>0.2</v>
      </c>
      <c r="Z32" s="41">
        <f t="shared" si="34"/>
        <v>106415</v>
      </c>
      <c r="AA32" s="34">
        <v>0.15</v>
      </c>
    </row>
    <row r="33" spans="1:27">
      <c r="A33" s="11"/>
      <c r="B33" s="11">
        <v>8</v>
      </c>
      <c r="C33" s="1">
        <f t="shared" si="32"/>
        <v>3.4000000000000004</v>
      </c>
      <c r="D33" s="41">
        <f t="shared" si="21"/>
        <v>22032</v>
      </c>
      <c r="E33" s="41">
        <f t="shared" si="30"/>
        <v>528768</v>
      </c>
      <c r="F33" s="41">
        <f t="shared" si="22"/>
        <v>528768</v>
      </c>
      <c r="G33" s="41">
        <v>1</v>
      </c>
      <c r="H33" s="41">
        <f t="shared" si="31"/>
        <v>1586304</v>
      </c>
      <c r="I33" s="53">
        <f t="shared" si="23"/>
        <v>0.79999999999999927</v>
      </c>
      <c r="L33" s="11">
        <f t="shared" si="24"/>
        <v>2</v>
      </c>
      <c r="M33" s="11">
        <v>4.3</v>
      </c>
      <c r="O33" s="41">
        <f t="shared" si="25"/>
        <v>2273702.4</v>
      </c>
      <c r="P33" s="45">
        <f t="shared" si="35"/>
        <v>909481</v>
      </c>
      <c r="Q33" s="34">
        <v>0.4</v>
      </c>
      <c r="R33" s="45">
        <f t="shared" si="36"/>
        <v>795796</v>
      </c>
      <c r="S33" s="34">
        <v>0.35</v>
      </c>
      <c r="T33" s="45">
        <f>ROUND(O33*U33+其他表格!T9,0)</f>
        <v>366055</v>
      </c>
      <c r="U33" s="34">
        <v>0.15</v>
      </c>
      <c r="W33" s="34"/>
      <c r="X33" s="41">
        <f t="shared" si="33"/>
        <v>454740</v>
      </c>
      <c r="Y33" s="34">
        <v>0.2</v>
      </c>
      <c r="Z33" s="41">
        <f t="shared" si="34"/>
        <v>341055</v>
      </c>
      <c r="AA33" s="34">
        <v>0.15</v>
      </c>
    </row>
    <row r="34" spans="1:27">
      <c r="B34" s="11">
        <v>9</v>
      </c>
      <c r="C34" s="1">
        <f>C33+C31</f>
        <v>4.7</v>
      </c>
      <c r="D34" s="41">
        <f t="shared" si="21"/>
        <v>32148</v>
      </c>
      <c r="E34" s="41">
        <f t="shared" si="30"/>
        <v>771552</v>
      </c>
      <c r="F34" s="41">
        <f t="shared" si="22"/>
        <v>771552</v>
      </c>
      <c r="G34" s="41">
        <v>1</v>
      </c>
      <c r="H34" s="41">
        <f t="shared" si="31"/>
        <v>2314656</v>
      </c>
      <c r="I34" s="53">
        <f t="shared" si="23"/>
        <v>0.89999999999999925</v>
      </c>
      <c r="L34" s="11">
        <f t="shared" si="24"/>
        <v>2.7</v>
      </c>
      <c r="M34" s="11">
        <v>7</v>
      </c>
      <c r="O34" s="41">
        <f t="shared" si="25"/>
        <v>5400864</v>
      </c>
      <c r="P34" s="45">
        <f t="shared" si="35"/>
        <v>2160346</v>
      </c>
      <c r="Q34" s="34">
        <v>0.4</v>
      </c>
      <c r="R34" s="45">
        <f t="shared" si="36"/>
        <v>1890302</v>
      </c>
      <c r="S34" s="34">
        <v>0.35</v>
      </c>
      <c r="T34" s="45">
        <f>ROUND(O34*U34+其他表格!T10,0)</f>
        <v>835130</v>
      </c>
      <c r="U34" s="34">
        <v>0.15</v>
      </c>
      <c r="W34" s="34"/>
      <c r="X34" s="41">
        <f t="shared" si="33"/>
        <v>1080173</v>
      </c>
      <c r="Y34" s="34">
        <v>0.2</v>
      </c>
      <c r="Z34" s="41">
        <f t="shared" si="34"/>
        <v>810130</v>
      </c>
      <c r="AA34" s="34">
        <v>0.15</v>
      </c>
    </row>
    <row r="35" spans="1:27">
      <c r="A35" s="38" t="s">
        <v>133</v>
      </c>
      <c r="B35" s="11">
        <v>10</v>
      </c>
      <c r="C35" s="1">
        <f>C34+C32</f>
        <v>6.8000000000000007</v>
      </c>
      <c r="D35" s="41">
        <f t="shared" si="21"/>
        <v>48960</v>
      </c>
      <c r="E35" s="41">
        <f t="shared" si="30"/>
        <v>1175040</v>
      </c>
      <c r="F35" s="41">
        <f t="shared" si="22"/>
        <v>1175040</v>
      </c>
      <c r="G35" s="41">
        <v>1</v>
      </c>
      <c r="H35" s="41">
        <f t="shared" si="31"/>
        <v>3525120</v>
      </c>
      <c r="I35" s="53">
        <f t="shared" si="23"/>
        <v>0.99999999999999922</v>
      </c>
      <c r="L35" s="11">
        <f t="shared" si="24"/>
        <v>4</v>
      </c>
      <c r="M35" s="11">
        <v>11</v>
      </c>
      <c r="O35" s="41">
        <f t="shared" si="25"/>
        <v>12925440</v>
      </c>
      <c r="P35" s="45">
        <f t="shared" si="35"/>
        <v>5170176</v>
      </c>
      <c r="Q35" s="34">
        <v>0.4</v>
      </c>
      <c r="R35" s="45">
        <f t="shared" si="36"/>
        <v>4523904</v>
      </c>
      <c r="S35" s="34">
        <v>0.35</v>
      </c>
      <c r="T35" s="45">
        <f>ROUND(O35*U35+其他表格!T11,0)</f>
        <v>1963816</v>
      </c>
      <c r="U35" s="34">
        <v>0.15</v>
      </c>
      <c r="W35" s="34"/>
      <c r="X35" s="41">
        <f t="shared" si="33"/>
        <v>2585088</v>
      </c>
      <c r="Y35" s="34">
        <v>0.2</v>
      </c>
      <c r="Z35" s="41">
        <f t="shared" si="34"/>
        <v>1938816</v>
      </c>
      <c r="AA35" s="34">
        <v>0.15</v>
      </c>
    </row>
    <row r="36" spans="1:27">
      <c r="B36" s="11">
        <v>11</v>
      </c>
      <c r="C36" s="1">
        <f>C34+C33</f>
        <v>8.1000000000000014</v>
      </c>
      <c r="D36" s="41">
        <f t="shared" si="21"/>
        <v>61236</v>
      </c>
      <c r="E36" s="41">
        <f t="shared" si="30"/>
        <v>1469664</v>
      </c>
      <c r="F36" s="41">
        <f t="shared" ref="F36:F45" si="37">E36*G36</f>
        <v>1469664</v>
      </c>
      <c r="G36" s="41">
        <v>1</v>
      </c>
      <c r="H36" s="41">
        <f t="shared" si="31"/>
        <v>4408992</v>
      </c>
      <c r="I36" s="53">
        <f t="shared" si="23"/>
        <v>1.0999999999999992</v>
      </c>
      <c r="L36" s="11">
        <f t="shared" si="24"/>
        <v>7</v>
      </c>
      <c r="M36" s="11">
        <v>18</v>
      </c>
      <c r="O36" s="41">
        <f t="shared" ref="O36:O45" si="38">M36*F36</f>
        <v>26453952</v>
      </c>
      <c r="P36" s="45">
        <f t="shared" si="35"/>
        <v>10581581</v>
      </c>
      <c r="Q36" s="34">
        <v>0.4</v>
      </c>
      <c r="R36" s="45">
        <f t="shared" si="36"/>
        <v>9258883</v>
      </c>
      <c r="S36" s="34">
        <v>0.35</v>
      </c>
      <c r="T36" s="45">
        <f t="shared" ref="T36:T45" si="39">ROUND(O36*U36,0)</f>
        <v>3968093</v>
      </c>
      <c r="U36" s="34">
        <v>0.15</v>
      </c>
      <c r="W36" s="34"/>
      <c r="X36" s="41">
        <f t="shared" si="33"/>
        <v>5290790</v>
      </c>
      <c r="Y36" s="34">
        <v>0.2</v>
      </c>
      <c r="Z36" s="41">
        <f t="shared" si="34"/>
        <v>3968093</v>
      </c>
      <c r="AA36" s="34">
        <v>0.15</v>
      </c>
    </row>
    <row r="37" spans="1:27">
      <c r="B37" s="11">
        <v>12</v>
      </c>
      <c r="C37" s="1">
        <f>C35+C34</f>
        <v>11.5</v>
      </c>
      <c r="D37" s="41">
        <f t="shared" si="21"/>
        <v>91080</v>
      </c>
      <c r="E37" s="41">
        <f t="shared" si="30"/>
        <v>2185920</v>
      </c>
      <c r="F37" s="41">
        <f t="shared" si="37"/>
        <v>2185920</v>
      </c>
      <c r="G37" s="41">
        <v>1</v>
      </c>
      <c r="H37" s="41">
        <f t="shared" si="31"/>
        <v>6557760</v>
      </c>
      <c r="I37" s="53">
        <f t="shared" si="23"/>
        <v>1.1999999999999993</v>
      </c>
      <c r="L37" s="11">
        <f t="shared" si="24"/>
        <v>9</v>
      </c>
      <c r="M37" s="11">
        <v>27</v>
      </c>
      <c r="O37" s="41">
        <f t="shared" si="38"/>
        <v>59019840</v>
      </c>
      <c r="P37" s="45">
        <f t="shared" si="35"/>
        <v>23607936</v>
      </c>
      <c r="Q37" s="34">
        <v>0.4</v>
      </c>
      <c r="R37" s="45">
        <f t="shared" si="36"/>
        <v>20656944</v>
      </c>
      <c r="S37" s="34">
        <v>0.35</v>
      </c>
      <c r="T37" s="45">
        <f t="shared" si="39"/>
        <v>8852976</v>
      </c>
      <c r="U37" s="34">
        <v>0.15</v>
      </c>
      <c r="W37" s="34"/>
      <c r="X37" s="41">
        <f t="shared" si="33"/>
        <v>11803968</v>
      </c>
      <c r="Y37" s="34">
        <v>0.2</v>
      </c>
      <c r="Z37" s="41">
        <f t="shared" si="34"/>
        <v>8852976</v>
      </c>
      <c r="AA37" s="34">
        <v>0.15</v>
      </c>
    </row>
    <row r="38" spans="1:27">
      <c r="A38" s="11"/>
      <c r="B38" s="11">
        <v>13</v>
      </c>
      <c r="C38" s="1">
        <v>14.4</v>
      </c>
      <c r="D38" s="41">
        <f t="shared" si="21"/>
        <v>119232</v>
      </c>
      <c r="E38" s="41">
        <f t="shared" si="30"/>
        <v>2861568</v>
      </c>
      <c r="F38" s="41">
        <f t="shared" si="37"/>
        <v>2861568</v>
      </c>
      <c r="G38" s="41">
        <v>1</v>
      </c>
      <c r="H38" s="41">
        <f t="shared" si="31"/>
        <v>8584704</v>
      </c>
      <c r="I38" s="53">
        <f t="shared" si="23"/>
        <v>1.2999999999999994</v>
      </c>
      <c r="L38" s="11">
        <f t="shared" si="24"/>
        <v>13</v>
      </c>
      <c r="M38" s="11">
        <v>40</v>
      </c>
      <c r="O38" s="41">
        <f t="shared" si="38"/>
        <v>114462720</v>
      </c>
      <c r="P38" s="45">
        <f t="shared" si="35"/>
        <v>45785088</v>
      </c>
      <c r="Q38" s="34">
        <v>0.4</v>
      </c>
      <c r="R38" s="45">
        <f t="shared" si="36"/>
        <v>40061952</v>
      </c>
      <c r="S38" s="34">
        <v>0.35</v>
      </c>
      <c r="T38" s="45">
        <f t="shared" si="39"/>
        <v>17169408</v>
      </c>
      <c r="U38" s="34">
        <v>0.15</v>
      </c>
      <c r="W38" s="34"/>
      <c r="X38" s="41">
        <f t="shared" si="33"/>
        <v>22892544</v>
      </c>
      <c r="Y38" s="34">
        <v>0.2</v>
      </c>
      <c r="Z38" s="41">
        <f t="shared" si="34"/>
        <v>17169408</v>
      </c>
      <c r="AA38" s="34">
        <v>0.15</v>
      </c>
    </row>
    <row r="39" spans="1:27">
      <c r="A39" s="39" t="s">
        <v>134</v>
      </c>
      <c r="B39" s="11">
        <v>14</v>
      </c>
      <c r="C39" s="1">
        <v>17</v>
      </c>
      <c r="D39" s="41">
        <f t="shared" si="21"/>
        <v>146880</v>
      </c>
      <c r="E39" s="41">
        <f t="shared" si="30"/>
        <v>3525120</v>
      </c>
      <c r="F39" s="41">
        <f t="shared" si="37"/>
        <v>3525120</v>
      </c>
      <c r="G39" s="41">
        <v>1</v>
      </c>
      <c r="H39" s="41">
        <f t="shared" si="31"/>
        <v>10575360</v>
      </c>
      <c r="I39" s="53">
        <f t="shared" si="23"/>
        <v>1.3999999999999995</v>
      </c>
      <c r="L39" s="11">
        <f t="shared" si="24"/>
        <v>16</v>
      </c>
      <c r="M39" s="11">
        <f>L38+M38+3</f>
        <v>56</v>
      </c>
      <c r="O39" s="41">
        <f t="shared" si="38"/>
        <v>197406720</v>
      </c>
      <c r="P39" s="45">
        <f t="shared" si="35"/>
        <v>78962688</v>
      </c>
      <c r="Q39" s="34">
        <v>0.4</v>
      </c>
      <c r="R39" s="45">
        <f t="shared" si="36"/>
        <v>69092352</v>
      </c>
      <c r="S39" s="34">
        <v>0.35</v>
      </c>
      <c r="T39" s="45">
        <f t="shared" si="39"/>
        <v>29611008</v>
      </c>
      <c r="U39" s="34">
        <v>0.15</v>
      </c>
      <c r="W39" s="34"/>
      <c r="X39" s="41">
        <f t="shared" si="33"/>
        <v>39481344</v>
      </c>
      <c r="Y39" s="34">
        <v>0.2</v>
      </c>
      <c r="Z39" s="41">
        <f t="shared" si="34"/>
        <v>29611008</v>
      </c>
      <c r="AA39" s="34">
        <v>0.15</v>
      </c>
    </row>
    <row r="40" spans="1:27">
      <c r="B40" s="11">
        <v>15</v>
      </c>
      <c r="C40" s="1">
        <v>20</v>
      </c>
      <c r="D40" s="41">
        <f t="shared" si="21"/>
        <v>180000</v>
      </c>
      <c r="E40" s="41">
        <f t="shared" si="30"/>
        <v>4320000</v>
      </c>
      <c r="F40" s="41">
        <f t="shared" si="37"/>
        <v>4320000</v>
      </c>
      <c r="G40" s="41">
        <v>1</v>
      </c>
      <c r="H40" s="41">
        <f t="shared" si="31"/>
        <v>12960000</v>
      </c>
      <c r="I40" s="53">
        <f t="shared" si="23"/>
        <v>1.4999999999999996</v>
      </c>
      <c r="L40" s="11">
        <f t="shared" si="24"/>
        <v>19</v>
      </c>
      <c r="M40" s="11">
        <f t="shared" ref="M40:M45" si="40">M39+L39+3</f>
        <v>75</v>
      </c>
      <c r="O40" s="41">
        <f t="shared" si="38"/>
        <v>324000000</v>
      </c>
      <c r="P40" s="45">
        <f t="shared" si="35"/>
        <v>129600000</v>
      </c>
      <c r="Q40" s="34">
        <v>0.4</v>
      </c>
      <c r="R40" s="45">
        <f t="shared" si="36"/>
        <v>113400000</v>
      </c>
      <c r="S40" s="34">
        <v>0.35</v>
      </c>
      <c r="T40" s="45">
        <f t="shared" si="39"/>
        <v>48600000</v>
      </c>
      <c r="U40" s="34">
        <v>0.15</v>
      </c>
      <c r="W40" s="34"/>
      <c r="X40" s="41">
        <f t="shared" si="33"/>
        <v>64800000</v>
      </c>
      <c r="Y40" s="34">
        <v>0.2</v>
      </c>
      <c r="Z40" s="41">
        <f t="shared" si="34"/>
        <v>48600000</v>
      </c>
      <c r="AA40" s="34">
        <v>0.15</v>
      </c>
    </row>
    <row r="41" spans="1:27">
      <c r="B41" s="11">
        <v>16</v>
      </c>
      <c r="C41" s="1">
        <v>23</v>
      </c>
      <c r="D41" s="41">
        <f t="shared" si="21"/>
        <v>215280</v>
      </c>
      <c r="E41" s="41">
        <f t="shared" si="30"/>
        <v>5166720</v>
      </c>
      <c r="F41" s="41">
        <f t="shared" si="37"/>
        <v>5166720</v>
      </c>
      <c r="G41" s="41">
        <v>1</v>
      </c>
      <c r="H41" s="41">
        <f t="shared" si="31"/>
        <v>15500160</v>
      </c>
      <c r="I41" s="53">
        <f t="shared" si="23"/>
        <v>1.5999999999999996</v>
      </c>
      <c r="L41" s="11">
        <f t="shared" si="24"/>
        <v>22</v>
      </c>
      <c r="M41" s="11">
        <f t="shared" si="40"/>
        <v>97</v>
      </c>
      <c r="O41" s="41">
        <f t="shared" si="38"/>
        <v>501171840</v>
      </c>
      <c r="P41" s="45">
        <f t="shared" si="35"/>
        <v>200468736</v>
      </c>
      <c r="Q41" s="34">
        <v>0.4</v>
      </c>
      <c r="R41" s="45">
        <f t="shared" si="36"/>
        <v>175410144</v>
      </c>
      <c r="S41" s="34">
        <v>0.35</v>
      </c>
      <c r="T41" s="45">
        <f t="shared" si="39"/>
        <v>75175776</v>
      </c>
      <c r="U41" s="34">
        <v>0.15</v>
      </c>
      <c r="W41" s="34"/>
      <c r="X41" s="41">
        <f t="shared" si="33"/>
        <v>100234368</v>
      </c>
      <c r="Y41" s="34">
        <v>0.2</v>
      </c>
      <c r="Z41" s="41">
        <f t="shared" si="34"/>
        <v>75175776</v>
      </c>
      <c r="AA41" s="34">
        <v>0.15</v>
      </c>
    </row>
    <row r="42" spans="1:27">
      <c r="B42" s="11">
        <v>17</v>
      </c>
      <c r="C42" s="1">
        <v>26.3</v>
      </c>
      <c r="D42" s="41">
        <f t="shared" si="21"/>
        <v>255636</v>
      </c>
      <c r="E42" s="41">
        <f t="shared" si="30"/>
        <v>6135264</v>
      </c>
      <c r="F42" s="41">
        <f t="shared" si="37"/>
        <v>6135264</v>
      </c>
      <c r="G42" s="41">
        <v>1</v>
      </c>
      <c r="H42" s="41">
        <f t="shared" si="31"/>
        <v>18405792</v>
      </c>
      <c r="I42" s="53">
        <f t="shared" si="23"/>
        <v>1.6999999999999997</v>
      </c>
      <c r="L42" s="11">
        <f t="shared" si="24"/>
        <v>25</v>
      </c>
      <c r="M42" s="11">
        <f t="shared" si="40"/>
        <v>122</v>
      </c>
      <c r="O42" s="41">
        <f t="shared" si="38"/>
        <v>748502208</v>
      </c>
      <c r="P42" s="45">
        <f t="shared" si="35"/>
        <v>299400883</v>
      </c>
      <c r="Q42" s="34">
        <v>0.4</v>
      </c>
      <c r="R42" s="45">
        <f t="shared" si="36"/>
        <v>261975773</v>
      </c>
      <c r="S42" s="34">
        <v>0.35</v>
      </c>
      <c r="T42" s="45">
        <f t="shared" si="39"/>
        <v>112275331</v>
      </c>
      <c r="U42" s="34">
        <v>0.15</v>
      </c>
      <c r="W42" s="34"/>
      <c r="X42" s="41">
        <f t="shared" si="33"/>
        <v>149700442</v>
      </c>
      <c r="Y42" s="34">
        <v>0.2</v>
      </c>
      <c r="Z42" s="41">
        <f t="shared" si="34"/>
        <v>112275331</v>
      </c>
      <c r="AA42" s="34">
        <v>0.15</v>
      </c>
    </row>
    <row r="43" spans="1:27">
      <c r="B43" s="11">
        <v>18</v>
      </c>
      <c r="C43" s="1">
        <v>30</v>
      </c>
      <c r="D43" s="41">
        <f t="shared" si="21"/>
        <v>302400</v>
      </c>
      <c r="E43" s="41">
        <f t="shared" si="30"/>
        <v>7257600</v>
      </c>
      <c r="F43" s="41">
        <f t="shared" si="37"/>
        <v>7257600</v>
      </c>
      <c r="G43" s="41">
        <v>1</v>
      </c>
      <c r="H43" s="41">
        <f t="shared" si="31"/>
        <v>21772800</v>
      </c>
      <c r="I43" s="53">
        <f t="shared" si="23"/>
        <v>1.7999999999999998</v>
      </c>
      <c r="L43" s="11">
        <f t="shared" si="24"/>
        <v>28</v>
      </c>
      <c r="M43" s="11">
        <f t="shared" si="40"/>
        <v>150</v>
      </c>
      <c r="O43" s="41">
        <f t="shared" si="38"/>
        <v>1088640000</v>
      </c>
      <c r="P43" s="45">
        <f t="shared" si="35"/>
        <v>435456000</v>
      </c>
      <c r="Q43" s="34">
        <v>0.4</v>
      </c>
      <c r="R43" s="45">
        <f t="shared" si="36"/>
        <v>381024000</v>
      </c>
      <c r="S43" s="34">
        <v>0.35</v>
      </c>
      <c r="T43" s="45">
        <f t="shared" si="39"/>
        <v>163296000</v>
      </c>
      <c r="U43" s="34">
        <v>0.15</v>
      </c>
      <c r="W43" s="34"/>
      <c r="X43" s="41">
        <f t="shared" si="33"/>
        <v>217728000</v>
      </c>
      <c r="Y43" s="34">
        <v>0.2</v>
      </c>
      <c r="Z43" s="41">
        <f t="shared" si="34"/>
        <v>163296000</v>
      </c>
      <c r="AA43" s="34">
        <v>0.15</v>
      </c>
    </row>
    <row r="44" spans="1:27">
      <c r="A44" s="40" t="s">
        <v>135</v>
      </c>
      <c r="B44" s="11">
        <v>19</v>
      </c>
      <c r="C44" s="1">
        <v>34</v>
      </c>
      <c r="D44" s="41">
        <f t="shared" si="21"/>
        <v>354960</v>
      </c>
      <c r="E44" s="41">
        <f t="shared" si="30"/>
        <v>8519040</v>
      </c>
      <c r="F44" s="41">
        <f t="shared" si="37"/>
        <v>8519040</v>
      </c>
      <c r="G44" s="41">
        <v>1</v>
      </c>
      <c r="H44" s="41">
        <f t="shared" si="31"/>
        <v>25557120</v>
      </c>
      <c r="I44" s="53">
        <f>I45-0.1</f>
        <v>1.9</v>
      </c>
      <c r="L44" s="11">
        <f t="shared" si="24"/>
        <v>31</v>
      </c>
      <c r="M44" s="11">
        <f t="shared" si="40"/>
        <v>181</v>
      </c>
      <c r="O44" s="41">
        <f t="shared" si="38"/>
        <v>1541946240</v>
      </c>
      <c r="P44" s="45">
        <f t="shared" si="35"/>
        <v>616778496</v>
      </c>
      <c r="Q44" s="34">
        <v>0.4</v>
      </c>
      <c r="R44" s="45">
        <f t="shared" si="36"/>
        <v>539681184</v>
      </c>
      <c r="S44" s="34">
        <v>0.35</v>
      </c>
      <c r="T44" s="45">
        <f t="shared" si="39"/>
        <v>231291936</v>
      </c>
      <c r="U44" s="34">
        <v>0.15</v>
      </c>
      <c r="W44" s="34"/>
      <c r="X44" s="41">
        <f t="shared" si="33"/>
        <v>308389248</v>
      </c>
      <c r="Y44" s="34">
        <v>0.2</v>
      </c>
      <c r="Z44" s="41">
        <f t="shared" si="34"/>
        <v>231291936</v>
      </c>
      <c r="AA44" s="34">
        <v>0.15</v>
      </c>
    </row>
    <row r="45" spans="1:27">
      <c r="B45" s="11">
        <v>20</v>
      </c>
      <c r="C45" s="1">
        <v>40</v>
      </c>
      <c r="D45" s="41">
        <f t="shared" si="21"/>
        <v>432000</v>
      </c>
      <c r="E45" s="41">
        <f t="shared" si="30"/>
        <v>10368000</v>
      </c>
      <c r="F45" s="41">
        <f t="shared" si="37"/>
        <v>10368000</v>
      </c>
      <c r="G45" s="41">
        <v>1</v>
      </c>
      <c r="H45" s="41">
        <f t="shared" si="31"/>
        <v>31104000</v>
      </c>
      <c r="I45" s="53">
        <v>2</v>
      </c>
      <c r="L45" s="11">
        <f t="shared" si="24"/>
        <v>34</v>
      </c>
      <c r="M45" s="11">
        <f t="shared" si="40"/>
        <v>215</v>
      </c>
      <c r="O45" s="41">
        <f t="shared" si="38"/>
        <v>2229120000</v>
      </c>
      <c r="P45" s="45">
        <f t="shared" si="35"/>
        <v>891648000</v>
      </c>
      <c r="Q45" s="34">
        <v>0.4</v>
      </c>
      <c r="R45" s="45">
        <f t="shared" si="36"/>
        <v>780192000</v>
      </c>
      <c r="S45" s="34">
        <v>0.35</v>
      </c>
      <c r="T45" s="45">
        <f t="shared" si="39"/>
        <v>334368000</v>
      </c>
      <c r="U45" s="34">
        <v>0.15</v>
      </c>
      <c r="W45" s="34"/>
      <c r="X45" s="41">
        <f t="shared" si="33"/>
        <v>445824000</v>
      </c>
      <c r="Y45" s="34">
        <v>0.2</v>
      </c>
      <c r="Z45" s="41">
        <f t="shared" si="34"/>
        <v>334368000</v>
      </c>
      <c r="AA45" s="34">
        <v>0.15</v>
      </c>
    </row>
    <row r="47" spans="1:27" s="48" customFormat="1">
      <c r="A47" s="47" t="s">
        <v>183</v>
      </c>
      <c r="D47" s="49"/>
      <c r="E47" s="49"/>
      <c r="F47" s="49"/>
      <c r="G47" s="49"/>
      <c r="H47" s="49"/>
      <c r="I47" s="55"/>
      <c r="J47" s="49"/>
      <c r="O47" s="50"/>
      <c r="P47" s="51"/>
      <c r="Q47" s="52"/>
      <c r="R47" s="51"/>
      <c r="T47" s="51"/>
      <c r="V47" s="51"/>
      <c r="X47" s="49"/>
      <c r="Z47" s="49"/>
    </row>
    <row r="48" spans="1:27">
      <c r="B48" s="11">
        <v>1</v>
      </c>
      <c r="C48" s="1">
        <v>0.1</v>
      </c>
      <c r="D48" s="41">
        <f t="shared" ref="D48:D67" si="41">ROUND(C48*3600*(1+I48),0)</f>
        <v>396</v>
      </c>
      <c r="E48" s="41">
        <f>24*D48</f>
        <v>9504</v>
      </c>
      <c r="F48" s="41">
        <f t="shared" ref="F48:F57" si="42">E48*G48</f>
        <v>9504</v>
      </c>
      <c r="G48" s="41">
        <v>1</v>
      </c>
      <c r="H48" s="41">
        <f>3*F48</f>
        <v>28512</v>
      </c>
      <c r="I48" s="53">
        <f t="shared" ref="I48:I65" si="43">I49-0.1</f>
        <v>9.9999999999999367E-2</v>
      </c>
      <c r="L48" s="11">
        <f t="shared" ref="L48:L67" si="44">M48-M47</f>
        <v>0.01</v>
      </c>
      <c r="M48" s="11">
        <v>0.01</v>
      </c>
      <c r="O48" s="41">
        <f t="shared" ref="O48:O58" si="45">M48*F48</f>
        <v>95.04</v>
      </c>
      <c r="P48" s="45">
        <f t="shared" ref="P48:P50" si="46">ROUND(O48*Q48,0)</f>
        <v>24</v>
      </c>
      <c r="Q48" s="34">
        <v>0.25</v>
      </c>
      <c r="R48" s="45">
        <f t="shared" ref="R48:R50" si="47">ROUND(O48*S48,0)</f>
        <v>10</v>
      </c>
      <c r="S48" s="34">
        <v>0.1</v>
      </c>
      <c r="T48" s="45">
        <f>ROUND(O48*U48+其他表格!U2,0)</f>
        <v>4010</v>
      </c>
      <c r="U48" s="34">
        <v>0.1</v>
      </c>
      <c r="W48" s="34"/>
      <c r="X48" s="41">
        <f t="shared" ref="X48:X50" si="48">ROUND(O48*Y48,0)</f>
        <v>38</v>
      </c>
      <c r="Y48" s="34">
        <v>0.4</v>
      </c>
      <c r="Z48" s="41">
        <f t="shared" ref="Z48:Z50" si="49">ROUND(O48*AA48,0)</f>
        <v>14</v>
      </c>
      <c r="AA48" s="34">
        <v>0.15</v>
      </c>
    </row>
    <row r="49" spans="1:27">
      <c r="B49" s="11">
        <v>2</v>
      </c>
      <c r="C49" s="1">
        <f>C48+C48</f>
        <v>0.2</v>
      </c>
      <c r="D49" s="41">
        <f t="shared" si="41"/>
        <v>864</v>
      </c>
      <c r="E49" s="41">
        <f t="shared" ref="E49:E67" si="50">24*D49</f>
        <v>20736</v>
      </c>
      <c r="F49" s="41">
        <f t="shared" si="42"/>
        <v>20736</v>
      </c>
      <c r="G49" s="41">
        <v>1</v>
      </c>
      <c r="H49" s="41">
        <f t="shared" ref="H49:H67" si="51">3*F49</f>
        <v>62208</v>
      </c>
      <c r="I49" s="53">
        <f t="shared" si="43"/>
        <v>0.19999999999999937</v>
      </c>
      <c r="L49" s="11">
        <f t="shared" si="44"/>
        <v>0.04</v>
      </c>
      <c r="M49" s="11">
        <v>0.05</v>
      </c>
      <c r="O49" s="41">
        <f t="shared" si="45"/>
        <v>1036.8</v>
      </c>
      <c r="P49" s="45">
        <f t="shared" si="46"/>
        <v>259</v>
      </c>
      <c r="Q49" s="34">
        <v>0.25</v>
      </c>
      <c r="R49" s="45">
        <f t="shared" si="47"/>
        <v>104</v>
      </c>
      <c r="S49" s="34">
        <v>0.1</v>
      </c>
      <c r="T49" s="45">
        <f>ROUND(O49*U49+其他表格!U3,0)</f>
        <v>7104</v>
      </c>
      <c r="U49" s="34">
        <v>0.1</v>
      </c>
      <c r="W49" s="34"/>
      <c r="X49" s="41">
        <f t="shared" si="48"/>
        <v>415</v>
      </c>
      <c r="Y49" s="34">
        <v>0.4</v>
      </c>
      <c r="Z49" s="41">
        <f t="shared" si="49"/>
        <v>156</v>
      </c>
      <c r="AA49" s="34">
        <v>0.15</v>
      </c>
    </row>
    <row r="50" spans="1:27">
      <c r="B50" s="11">
        <v>3</v>
      </c>
      <c r="C50" s="1">
        <f t="shared" ref="C50:C55" si="52">C49+C48</f>
        <v>0.30000000000000004</v>
      </c>
      <c r="D50" s="41">
        <f t="shared" si="41"/>
        <v>1404</v>
      </c>
      <c r="E50" s="41">
        <f t="shared" si="50"/>
        <v>33696</v>
      </c>
      <c r="F50" s="41">
        <f t="shared" si="42"/>
        <v>33696</v>
      </c>
      <c r="G50" s="41">
        <v>1</v>
      </c>
      <c r="H50" s="41">
        <f t="shared" si="51"/>
        <v>101088</v>
      </c>
      <c r="I50" s="53">
        <f t="shared" si="43"/>
        <v>0.29999999999999938</v>
      </c>
      <c r="L50" s="11">
        <f t="shared" si="44"/>
        <v>0.15000000000000002</v>
      </c>
      <c r="M50" s="11">
        <v>0.2</v>
      </c>
      <c r="O50" s="41">
        <f t="shared" si="45"/>
        <v>6739.2000000000007</v>
      </c>
      <c r="P50" s="45">
        <f t="shared" si="46"/>
        <v>1685</v>
      </c>
      <c r="Q50" s="34">
        <v>0.25</v>
      </c>
      <c r="R50" s="45">
        <f t="shared" si="47"/>
        <v>674</v>
      </c>
      <c r="S50" s="34">
        <v>0.1</v>
      </c>
      <c r="T50" s="45">
        <f>ROUND(O50*U50+其他表格!U4,0)</f>
        <v>10674</v>
      </c>
      <c r="U50" s="34">
        <v>0.1</v>
      </c>
      <c r="W50" s="34"/>
      <c r="X50" s="41">
        <f t="shared" si="48"/>
        <v>2696</v>
      </c>
      <c r="Y50" s="34">
        <v>0.4</v>
      </c>
      <c r="Z50" s="41">
        <f t="shared" si="49"/>
        <v>1011</v>
      </c>
      <c r="AA50" s="34">
        <v>0.15</v>
      </c>
    </row>
    <row r="51" spans="1:27">
      <c r="B51" s="11">
        <v>4</v>
      </c>
      <c r="C51" s="1">
        <f t="shared" si="52"/>
        <v>0.5</v>
      </c>
      <c r="D51" s="41">
        <f t="shared" si="41"/>
        <v>2520</v>
      </c>
      <c r="E51" s="41">
        <f t="shared" si="50"/>
        <v>60480</v>
      </c>
      <c r="F51" s="41">
        <f t="shared" si="42"/>
        <v>60480</v>
      </c>
      <c r="G51" s="41">
        <v>1</v>
      </c>
      <c r="H51" s="41">
        <f t="shared" si="51"/>
        <v>181440</v>
      </c>
      <c r="I51" s="53">
        <f t="shared" si="43"/>
        <v>0.39999999999999936</v>
      </c>
      <c r="L51" s="11">
        <f t="shared" si="44"/>
        <v>0.25</v>
      </c>
      <c r="M51" s="11">
        <v>0.45</v>
      </c>
      <c r="O51" s="41">
        <f t="shared" si="45"/>
        <v>27216</v>
      </c>
      <c r="P51" s="45">
        <f>ROUND(O51*Q51,0)</f>
        <v>6804</v>
      </c>
      <c r="Q51" s="34">
        <v>0.25</v>
      </c>
      <c r="R51" s="45">
        <f>ROUND(O51*S51,0)</f>
        <v>2722</v>
      </c>
      <c r="S51" s="34">
        <v>0.1</v>
      </c>
      <c r="T51" s="45">
        <f>ROUND(O51*U51+其他表格!U5,0)</f>
        <v>14722</v>
      </c>
      <c r="U51" s="34">
        <v>0.1</v>
      </c>
      <c r="W51" s="34"/>
      <c r="X51" s="41">
        <f>ROUND(O51*Y51,0)</f>
        <v>10886</v>
      </c>
      <c r="Y51" s="34">
        <v>0.4</v>
      </c>
      <c r="Z51" s="41">
        <f>ROUND(O51*AA51,0)</f>
        <v>4082</v>
      </c>
      <c r="AA51" s="34">
        <v>0.15</v>
      </c>
    </row>
    <row r="52" spans="1:27">
      <c r="B52" s="11">
        <v>5</v>
      </c>
      <c r="C52" s="1">
        <f t="shared" si="52"/>
        <v>0.8</v>
      </c>
      <c r="D52" s="41">
        <f t="shared" si="41"/>
        <v>4320</v>
      </c>
      <c r="E52" s="41">
        <f t="shared" si="50"/>
        <v>103680</v>
      </c>
      <c r="F52" s="41">
        <f t="shared" si="42"/>
        <v>103680</v>
      </c>
      <c r="G52" s="41">
        <v>1</v>
      </c>
      <c r="H52" s="41">
        <f t="shared" si="51"/>
        <v>311040</v>
      </c>
      <c r="I52" s="53">
        <f t="shared" si="43"/>
        <v>0.49999999999999933</v>
      </c>
      <c r="L52" s="11">
        <f t="shared" si="44"/>
        <v>0.39999999999999997</v>
      </c>
      <c r="M52" s="11">
        <v>0.85</v>
      </c>
      <c r="O52" s="41">
        <f t="shared" si="45"/>
        <v>88128</v>
      </c>
      <c r="P52" s="45">
        <f>ROUND(O52*Q52,0)</f>
        <v>22032</v>
      </c>
      <c r="Q52" s="34">
        <v>0.25</v>
      </c>
      <c r="R52" s="45">
        <f>ROUND(O52*S52,0)</f>
        <v>8813</v>
      </c>
      <c r="S52" s="34">
        <v>0.1</v>
      </c>
      <c r="T52" s="45">
        <f>ROUND(O52*U52+其他表格!U6,0)</f>
        <v>20813</v>
      </c>
      <c r="U52" s="34">
        <v>0.1</v>
      </c>
      <c r="W52" s="34"/>
      <c r="X52" s="41">
        <f t="shared" ref="X52:X67" si="53">ROUND(O52*Y52,0)</f>
        <v>35251</v>
      </c>
      <c r="Y52" s="34">
        <v>0.4</v>
      </c>
      <c r="Z52" s="41">
        <f t="shared" ref="Z52:Z67" si="54">ROUND(O52*AA52,0)</f>
        <v>13219</v>
      </c>
      <c r="AA52" s="34">
        <v>0.15</v>
      </c>
    </row>
    <row r="53" spans="1:27">
      <c r="B53" s="11">
        <v>6</v>
      </c>
      <c r="C53" s="1">
        <f t="shared" si="52"/>
        <v>1.3</v>
      </c>
      <c r="D53" s="41">
        <f t="shared" si="41"/>
        <v>7488</v>
      </c>
      <c r="E53" s="41">
        <f t="shared" si="50"/>
        <v>179712</v>
      </c>
      <c r="F53" s="41">
        <f t="shared" si="42"/>
        <v>179712</v>
      </c>
      <c r="G53" s="41">
        <v>1</v>
      </c>
      <c r="H53" s="41">
        <f t="shared" si="51"/>
        <v>539136</v>
      </c>
      <c r="I53" s="53">
        <f t="shared" si="43"/>
        <v>0.59999999999999931</v>
      </c>
      <c r="L53" s="11">
        <f t="shared" si="44"/>
        <v>0.54999999999999993</v>
      </c>
      <c r="M53" s="11">
        <v>1.4</v>
      </c>
      <c r="O53" s="41">
        <f t="shared" si="45"/>
        <v>251596.79999999999</v>
      </c>
      <c r="P53" s="45">
        <f t="shared" ref="P53:P67" si="55">ROUND(O53*Q53,0)</f>
        <v>62899</v>
      </c>
      <c r="Q53" s="34">
        <v>0.25</v>
      </c>
      <c r="R53" s="45">
        <f t="shared" ref="R53:R67" si="56">ROUND(O53*S53,0)</f>
        <v>25160</v>
      </c>
      <c r="S53" s="34">
        <v>0.1</v>
      </c>
      <c r="T53" s="45">
        <f>ROUND(O53*U53+其他表格!U7,0)</f>
        <v>45160</v>
      </c>
      <c r="U53" s="34">
        <v>0.1</v>
      </c>
      <c r="W53" s="34"/>
      <c r="X53" s="41">
        <f t="shared" si="53"/>
        <v>100639</v>
      </c>
      <c r="Y53" s="34">
        <v>0.4</v>
      </c>
      <c r="Z53" s="41">
        <f t="shared" si="54"/>
        <v>37740</v>
      </c>
      <c r="AA53" s="34">
        <v>0.15</v>
      </c>
    </row>
    <row r="54" spans="1:27">
      <c r="B54" s="11">
        <v>7</v>
      </c>
      <c r="C54" s="1">
        <f t="shared" si="52"/>
        <v>2.1</v>
      </c>
      <c r="D54" s="41">
        <f t="shared" si="41"/>
        <v>12852</v>
      </c>
      <c r="E54" s="41">
        <f t="shared" si="50"/>
        <v>308448</v>
      </c>
      <c r="F54" s="41">
        <f t="shared" si="42"/>
        <v>308448</v>
      </c>
      <c r="G54" s="41">
        <v>1</v>
      </c>
      <c r="H54" s="41">
        <f t="shared" si="51"/>
        <v>925344</v>
      </c>
      <c r="I54" s="53">
        <f t="shared" si="43"/>
        <v>0.69999999999999929</v>
      </c>
      <c r="L54" s="11">
        <f t="shared" si="44"/>
        <v>0.89999999999999991</v>
      </c>
      <c r="M54" s="11">
        <v>2.2999999999999998</v>
      </c>
      <c r="O54" s="41">
        <f t="shared" si="45"/>
        <v>709430.39999999991</v>
      </c>
      <c r="P54" s="45">
        <f t="shared" si="55"/>
        <v>177358</v>
      </c>
      <c r="Q54" s="34">
        <v>0.25</v>
      </c>
      <c r="R54" s="45">
        <f t="shared" si="56"/>
        <v>70943</v>
      </c>
      <c r="S54" s="34">
        <v>0.1</v>
      </c>
      <c r="T54" s="45">
        <f>ROUND(O54*U54+其他表格!U8,0)</f>
        <v>90943</v>
      </c>
      <c r="U54" s="34">
        <v>0.1</v>
      </c>
      <c r="W54" s="34"/>
      <c r="X54" s="41">
        <f t="shared" si="53"/>
        <v>283772</v>
      </c>
      <c r="Y54" s="34">
        <v>0.4</v>
      </c>
      <c r="Z54" s="41">
        <f t="shared" si="54"/>
        <v>106415</v>
      </c>
      <c r="AA54" s="34">
        <v>0.15</v>
      </c>
    </row>
    <row r="55" spans="1:27">
      <c r="A55" s="11"/>
      <c r="B55" s="11">
        <v>8</v>
      </c>
      <c r="C55" s="1">
        <f t="shared" si="52"/>
        <v>3.4000000000000004</v>
      </c>
      <c r="D55" s="41">
        <f t="shared" si="41"/>
        <v>22032</v>
      </c>
      <c r="E55" s="41">
        <f t="shared" si="50"/>
        <v>528768</v>
      </c>
      <c r="F55" s="41">
        <f t="shared" si="42"/>
        <v>528768</v>
      </c>
      <c r="G55" s="41">
        <v>1</v>
      </c>
      <c r="H55" s="41">
        <f t="shared" si="51"/>
        <v>1586304</v>
      </c>
      <c r="I55" s="53">
        <f t="shared" si="43"/>
        <v>0.79999999999999927</v>
      </c>
      <c r="L55" s="11">
        <f t="shared" si="44"/>
        <v>2</v>
      </c>
      <c r="M55" s="11">
        <v>4.3</v>
      </c>
      <c r="O55" s="41">
        <f t="shared" si="45"/>
        <v>2273702.4</v>
      </c>
      <c r="P55" s="45">
        <f t="shared" si="55"/>
        <v>568426</v>
      </c>
      <c r="Q55" s="34">
        <v>0.25</v>
      </c>
      <c r="R55" s="45">
        <f t="shared" si="56"/>
        <v>227370</v>
      </c>
      <c r="S55" s="34">
        <v>0.1</v>
      </c>
      <c r="T55" s="45">
        <f>ROUND(O55*U55+其他表格!U9,0)</f>
        <v>247370</v>
      </c>
      <c r="U55" s="34">
        <v>0.1</v>
      </c>
      <c r="W55" s="34"/>
      <c r="X55" s="41">
        <f t="shared" si="53"/>
        <v>909481</v>
      </c>
      <c r="Y55" s="34">
        <v>0.4</v>
      </c>
      <c r="Z55" s="41">
        <f t="shared" si="54"/>
        <v>341055</v>
      </c>
      <c r="AA55" s="34">
        <v>0.15</v>
      </c>
    </row>
    <row r="56" spans="1:27">
      <c r="B56" s="11">
        <v>9</v>
      </c>
      <c r="C56" s="1">
        <f>C55+C53</f>
        <v>4.7</v>
      </c>
      <c r="D56" s="41">
        <f t="shared" si="41"/>
        <v>32148</v>
      </c>
      <c r="E56" s="41">
        <f t="shared" si="50"/>
        <v>771552</v>
      </c>
      <c r="F56" s="41">
        <f t="shared" si="42"/>
        <v>771552</v>
      </c>
      <c r="G56" s="41">
        <v>1</v>
      </c>
      <c r="H56" s="41">
        <f t="shared" si="51"/>
        <v>2314656</v>
      </c>
      <c r="I56" s="53">
        <f t="shared" si="43"/>
        <v>0.89999999999999925</v>
      </c>
      <c r="L56" s="11">
        <f t="shared" si="44"/>
        <v>2.7</v>
      </c>
      <c r="M56" s="11">
        <v>7</v>
      </c>
      <c r="O56" s="41">
        <f t="shared" si="45"/>
        <v>5400864</v>
      </c>
      <c r="P56" s="45">
        <f t="shared" si="55"/>
        <v>1350216</v>
      </c>
      <c r="Q56" s="34">
        <v>0.25</v>
      </c>
      <c r="R56" s="45">
        <f t="shared" si="56"/>
        <v>540086</v>
      </c>
      <c r="S56" s="34">
        <v>0.1</v>
      </c>
      <c r="T56" s="45">
        <f>ROUND(O56*U56+其他表格!U10,0)</f>
        <v>560086</v>
      </c>
      <c r="U56" s="34">
        <v>0.1</v>
      </c>
      <c r="W56" s="34"/>
      <c r="X56" s="41">
        <f t="shared" si="53"/>
        <v>2160346</v>
      </c>
      <c r="Y56" s="34">
        <v>0.4</v>
      </c>
      <c r="Z56" s="41">
        <f t="shared" si="54"/>
        <v>810130</v>
      </c>
      <c r="AA56" s="34">
        <v>0.15</v>
      </c>
    </row>
    <row r="57" spans="1:27">
      <c r="A57" s="38" t="s">
        <v>133</v>
      </c>
      <c r="B57" s="11">
        <v>10</v>
      </c>
      <c r="C57" s="1">
        <f>C56+C54</f>
        <v>6.8000000000000007</v>
      </c>
      <c r="D57" s="41">
        <f t="shared" si="41"/>
        <v>48960</v>
      </c>
      <c r="E57" s="41">
        <f t="shared" si="50"/>
        <v>1175040</v>
      </c>
      <c r="F57" s="41">
        <f t="shared" si="42"/>
        <v>1175040</v>
      </c>
      <c r="G57" s="41">
        <v>1</v>
      </c>
      <c r="H57" s="41">
        <f t="shared" si="51"/>
        <v>3525120</v>
      </c>
      <c r="I57" s="53">
        <f t="shared" si="43"/>
        <v>0.99999999999999922</v>
      </c>
      <c r="L57" s="11">
        <f t="shared" si="44"/>
        <v>4</v>
      </c>
      <c r="M57" s="11">
        <v>11</v>
      </c>
      <c r="O57" s="41">
        <f t="shared" si="45"/>
        <v>12925440</v>
      </c>
      <c r="P57" s="45">
        <f t="shared" si="55"/>
        <v>3231360</v>
      </c>
      <c r="Q57" s="34">
        <v>0.25</v>
      </c>
      <c r="R57" s="45">
        <f t="shared" si="56"/>
        <v>1292544</v>
      </c>
      <c r="S57" s="34">
        <v>0.1</v>
      </c>
      <c r="T57" s="45">
        <f>ROUND(O57*U57+其他表格!U11,0)</f>
        <v>1312544</v>
      </c>
      <c r="U57" s="34">
        <v>0.1</v>
      </c>
      <c r="W57" s="34"/>
      <c r="X57" s="41">
        <f t="shared" si="53"/>
        <v>5170176</v>
      </c>
      <c r="Y57" s="34">
        <v>0.4</v>
      </c>
      <c r="Z57" s="41">
        <f t="shared" si="54"/>
        <v>1938816</v>
      </c>
      <c r="AA57" s="34">
        <v>0.15</v>
      </c>
    </row>
    <row r="58" spans="1:27">
      <c r="B58" s="11">
        <v>11</v>
      </c>
      <c r="C58" s="1">
        <f>C56+C55</f>
        <v>8.1000000000000014</v>
      </c>
      <c r="D58" s="41">
        <f t="shared" si="41"/>
        <v>61236</v>
      </c>
      <c r="E58" s="41">
        <f t="shared" si="50"/>
        <v>1469664</v>
      </c>
      <c r="F58" s="41">
        <f t="shared" ref="F58:F67" si="57">E58*G58</f>
        <v>1469664</v>
      </c>
      <c r="G58" s="41">
        <v>1</v>
      </c>
      <c r="H58" s="41">
        <f t="shared" si="51"/>
        <v>4408992</v>
      </c>
      <c r="I58" s="53">
        <f t="shared" si="43"/>
        <v>1.0999999999999992</v>
      </c>
      <c r="L58" s="11">
        <f t="shared" si="44"/>
        <v>7</v>
      </c>
      <c r="M58" s="11">
        <v>18</v>
      </c>
      <c r="O58" s="41">
        <f t="shared" si="45"/>
        <v>26453952</v>
      </c>
      <c r="P58" s="45">
        <f t="shared" si="55"/>
        <v>6613488</v>
      </c>
      <c r="Q58" s="34">
        <v>0.25</v>
      </c>
      <c r="R58" s="45">
        <f t="shared" si="56"/>
        <v>2645395</v>
      </c>
      <c r="S58" s="34">
        <v>0.1</v>
      </c>
      <c r="T58" s="45">
        <f t="shared" ref="T58:T67" si="58">ROUND(O58*U58,0)</f>
        <v>2645395</v>
      </c>
      <c r="U58" s="34">
        <v>0.1</v>
      </c>
      <c r="W58" s="34"/>
      <c r="X58" s="41">
        <f t="shared" si="53"/>
        <v>10581581</v>
      </c>
      <c r="Y58" s="34">
        <v>0.4</v>
      </c>
      <c r="Z58" s="41">
        <f t="shared" si="54"/>
        <v>3968093</v>
      </c>
      <c r="AA58" s="34">
        <v>0.15</v>
      </c>
    </row>
    <row r="59" spans="1:27">
      <c r="B59" s="11">
        <v>12</v>
      </c>
      <c r="C59" s="1">
        <f>C57+C56</f>
        <v>11.5</v>
      </c>
      <c r="D59" s="41">
        <f t="shared" si="41"/>
        <v>91080</v>
      </c>
      <c r="E59" s="41">
        <f t="shared" si="50"/>
        <v>2185920</v>
      </c>
      <c r="F59" s="41">
        <f t="shared" si="57"/>
        <v>2185920</v>
      </c>
      <c r="G59" s="41">
        <v>1</v>
      </c>
      <c r="H59" s="41">
        <f t="shared" si="51"/>
        <v>6557760</v>
      </c>
      <c r="I59" s="53">
        <f t="shared" si="43"/>
        <v>1.1999999999999993</v>
      </c>
      <c r="L59" s="11">
        <f t="shared" si="44"/>
        <v>9</v>
      </c>
      <c r="M59" s="11">
        <v>27</v>
      </c>
      <c r="O59" s="41">
        <f t="shared" ref="O59:O67" si="59">M59*F59</f>
        <v>59019840</v>
      </c>
      <c r="P59" s="45">
        <f t="shared" si="55"/>
        <v>14754960</v>
      </c>
      <c r="Q59" s="34">
        <v>0.25</v>
      </c>
      <c r="R59" s="45">
        <f t="shared" si="56"/>
        <v>5901984</v>
      </c>
      <c r="S59" s="34">
        <v>0.1</v>
      </c>
      <c r="T59" s="45">
        <f t="shared" si="58"/>
        <v>5901984</v>
      </c>
      <c r="U59" s="34">
        <v>0.1</v>
      </c>
      <c r="W59" s="34"/>
      <c r="X59" s="41">
        <f t="shared" si="53"/>
        <v>23607936</v>
      </c>
      <c r="Y59" s="34">
        <v>0.4</v>
      </c>
      <c r="Z59" s="41">
        <f t="shared" si="54"/>
        <v>8852976</v>
      </c>
      <c r="AA59" s="34">
        <v>0.15</v>
      </c>
    </row>
    <row r="60" spans="1:27">
      <c r="A60" s="11"/>
      <c r="B60" s="11">
        <v>13</v>
      </c>
      <c r="C60" s="1">
        <v>14.4</v>
      </c>
      <c r="D60" s="41">
        <f t="shared" si="41"/>
        <v>119232</v>
      </c>
      <c r="E60" s="41">
        <f t="shared" si="50"/>
        <v>2861568</v>
      </c>
      <c r="F60" s="41">
        <f t="shared" si="57"/>
        <v>2861568</v>
      </c>
      <c r="G60" s="41">
        <v>1</v>
      </c>
      <c r="H60" s="41">
        <f t="shared" si="51"/>
        <v>8584704</v>
      </c>
      <c r="I60" s="53">
        <f t="shared" si="43"/>
        <v>1.2999999999999994</v>
      </c>
      <c r="L60" s="11">
        <f t="shared" si="44"/>
        <v>13</v>
      </c>
      <c r="M60" s="11">
        <v>40</v>
      </c>
      <c r="O60" s="41">
        <f t="shared" si="59"/>
        <v>114462720</v>
      </c>
      <c r="P60" s="45">
        <f t="shared" si="55"/>
        <v>28615680</v>
      </c>
      <c r="Q60" s="34">
        <v>0.25</v>
      </c>
      <c r="R60" s="45">
        <f t="shared" si="56"/>
        <v>11446272</v>
      </c>
      <c r="S60" s="34">
        <v>0.1</v>
      </c>
      <c r="T60" s="45">
        <f t="shared" si="58"/>
        <v>11446272</v>
      </c>
      <c r="U60" s="34">
        <v>0.1</v>
      </c>
      <c r="W60" s="34"/>
      <c r="X60" s="41">
        <f t="shared" si="53"/>
        <v>45785088</v>
      </c>
      <c r="Y60" s="34">
        <v>0.4</v>
      </c>
      <c r="Z60" s="41">
        <f t="shared" si="54"/>
        <v>17169408</v>
      </c>
      <c r="AA60" s="34">
        <v>0.15</v>
      </c>
    </row>
    <row r="61" spans="1:27">
      <c r="A61" s="39" t="s">
        <v>134</v>
      </c>
      <c r="B61" s="11">
        <v>14</v>
      </c>
      <c r="C61" s="1">
        <v>17</v>
      </c>
      <c r="D61" s="41">
        <f t="shared" si="41"/>
        <v>146880</v>
      </c>
      <c r="E61" s="41">
        <f t="shared" si="50"/>
        <v>3525120</v>
      </c>
      <c r="F61" s="41">
        <f t="shared" si="57"/>
        <v>3525120</v>
      </c>
      <c r="G61" s="41">
        <v>1</v>
      </c>
      <c r="H61" s="41">
        <f t="shared" si="51"/>
        <v>10575360</v>
      </c>
      <c r="I61" s="53">
        <f t="shared" si="43"/>
        <v>1.3999999999999995</v>
      </c>
      <c r="L61" s="11">
        <f t="shared" si="44"/>
        <v>16</v>
      </c>
      <c r="M61" s="11">
        <f>L60+M60+3</f>
        <v>56</v>
      </c>
      <c r="O61" s="41">
        <f t="shared" si="59"/>
        <v>197406720</v>
      </c>
      <c r="P61" s="45">
        <f t="shared" si="55"/>
        <v>49351680</v>
      </c>
      <c r="Q61" s="34">
        <v>0.25</v>
      </c>
      <c r="R61" s="45">
        <f t="shared" si="56"/>
        <v>19740672</v>
      </c>
      <c r="S61" s="34">
        <v>0.1</v>
      </c>
      <c r="T61" s="45">
        <f t="shared" si="58"/>
        <v>19740672</v>
      </c>
      <c r="U61" s="34">
        <v>0.1</v>
      </c>
      <c r="W61" s="34"/>
      <c r="X61" s="41">
        <f t="shared" si="53"/>
        <v>78962688</v>
      </c>
      <c r="Y61" s="34">
        <v>0.4</v>
      </c>
      <c r="Z61" s="41">
        <f t="shared" si="54"/>
        <v>29611008</v>
      </c>
      <c r="AA61" s="34">
        <v>0.15</v>
      </c>
    </row>
    <row r="62" spans="1:27">
      <c r="B62" s="11">
        <v>15</v>
      </c>
      <c r="C62" s="1">
        <v>20</v>
      </c>
      <c r="D62" s="41">
        <f t="shared" si="41"/>
        <v>180000</v>
      </c>
      <c r="E62" s="41">
        <f t="shared" si="50"/>
        <v>4320000</v>
      </c>
      <c r="F62" s="41">
        <f t="shared" si="57"/>
        <v>4320000</v>
      </c>
      <c r="G62" s="41">
        <v>1</v>
      </c>
      <c r="H62" s="41">
        <f t="shared" si="51"/>
        <v>12960000</v>
      </c>
      <c r="I62" s="53">
        <f t="shared" si="43"/>
        <v>1.4999999999999996</v>
      </c>
      <c r="L62" s="11">
        <f t="shared" si="44"/>
        <v>19</v>
      </c>
      <c r="M62" s="11">
        <f t="shared" ref="M62:M67" si="60">M61+L61+3</f>
        <v>75</v>
      </c>
      <c r="O62" s="41">
        <f t="shared" si="59"/>
        <v>324000000</v>
      </c>
      <c r="P62" s="45">
        <f t="shared" si="55"/>
        <v>81000000</v>
      </c>
      <c r="Q62" s="34">
        <v>0.25</v>
      </c>
      <c r="R62" s="45">
        <f t="shared" si="56"/>
        <v>32400000</v>
      </c>
      <c r="S62" s="34">
        <v>0.1</v>
      </c>
      <c r="T62" s="45">
        <f t="shared" si="58"/>
        <v>32400000</v>
      </c>
      <c r="U62" s="34">
        <v>0.1</v>
      </c>
      <c r="W62" s="34"/>
      <c r="X62" s="41">
        <f t="shared" si="53"/>
        <v>129600000</v>
      </c>
      <c r="Y62" s="34">
        <v>0.4</v>
      </c>
      <c r="Z62" s="41">
        <f t="shared" si="54"/>
        <v>48600000</v>
      </c>
      <c r="AA62" s="34">
        <v>0.15</v>
      </c>
    </row>
    <row r="63" spans="1:27">
      <c r="B63" s="11">
        <v>16</v>
      </c>
      <c r="C63" s="1">
        <v>23</v>
      </c>
      <c r="D63" s="41">
        <f t="shared" si="41"/>
        <v>215280</v>
      </c>
      <c r="E63" s="41">
        <f t="shared" si="50"/>
        <v>5166720</v>
      </c>
      <c r="F63" s="41">
        <f t="shared" si="57"/>
        <v>5166720</v>
      </c>
      <c r="G63" s="41">
        <v>1</v>
      </c>
      <c r="H63" s="41">
        <f t="shared" si="51"/>
        <v>15500160</v>
      </c>
      <c r="I63" s="53">
        <f t="shared" si="43"/>
        <v>1.5999999999999996</v>
      </c>
      <c r="L63" s="11">
        <f t="shared" si="44"/>
        <v>22</v>
      </c>
      <c r="M63" s="11">
        <f t="shared" si="60"/>
        <v>97</v>
      </c>
      <c r="O63" s="41">
        <f t="shared" si="59"/>
        <v>501171840</v>
      </c>
      <c r="P63" s="45">
        <f t="shared" si="55"/>
        <v>125292960</v>
      </c>
      <c r="Q63" s="34">
        <v>0.25</v>
      </c>
      <c r="R63" s="45">
        <f t="shared" si="56"/>
        <v>50117184</v>
      </c>
      <c r="S63" s="34">
        <v>0.1</v>
      </c>
      <c r="T63" s="45">
        <f t="shared" si="58"/>
        <v>50117184</v>
      </c>
      <c r="U63" s="34">
        <v>0.1</v>
      </c>
      <c r="W63" s="34"/>
      <c r="X63" s="41">
        <f t="shared" si="53"/>
        <v>200468736</v>
      </c>
      <c r="Y63" s="34">
        <v>0.4</v>
      </c>
      <c r="Z63" s="41">
        <f t="shared" si="54"/>
        <v>75175776</v>
      </c>
      <c r="AA63" s="34">
        <v>0.15</v>
      </c>
    </row>
    <row r="64" spans="1:27">
      <c r="B64" s="11">
        <v>17</v>
      </c>
      <c r="C64" s="1">
        <v>26.3</v>
      </c>
      <c r="D64" s="41">
        <f t="shared" si="41"/>
        <v>255636</v>
      </c>
      <c r="E64" s="41">
        <f t="shared" si="50"/>
        <v>6135264</v>
      </c>
      <c r="F64" s="41">
        <f t="shared" si="57"/>
        <v>6135264</v>
      </c>
      <c r="G64" s="41">
        <v>1</v>
      </c>
      <c r="H64" s="41">
        <f t="shared" si="51"/>
        <v>18405792</v>
      </c>
      <c r="I64" s="53">
        <f t="shared" si="43"/>
        <v>1.6999999999999997</v>
      </c>
      <c r="L64" s="11">
        <f t="shared" si="44"/>
        <v>25</v>
      </c>
      <c r="M64" s="11">
        <f t="shared" si="60"/>
        <v>122</v>
      </c>
      <c r="O64" s="41">
        <f t="shared" si="59"/>
        <v>748502208</v>
      </c>
      <c r="P64" s="45">
        <f t="shared" si="55"/>
        <v>187125552</v>
      </c>
      <c r="Q64" s="34">
        <v>0.25</v>
      </c>
      <c r="R64" s="45">
        <f t="shared" si="56"/>
        <v>74850221</v>
      </c>
      <c r="S64" s="34">
        <v>0.1</v>
      </c>
      <c r="T64" s="45">
        <f t="shared" si="58"/>
        <v>74850221</v>
      </c>
      <c r="U64" s="34">
        <v>0.1</v>
      </c>
      <c r="W64" s="34"/>
      <c r="X64" s="41">
        <f t="shared" si="53"/>
        <v>299400883</v>
      </c>
      <c r="Y64" s="34">
        <v>0.4</v>
      </c>
      <c r="Z64" s="41">
        <f t="shared" si="54"/>
        <v>112275331</v>
      </c>
      <c r="AA64" s="34">
        <v>0.15</v>
      </c>
    </row>
    <row r="65" spans="1:35">
      <c r="B65" s="11">
        <v>18</v>
      </c>
      <c r="C65" s="1">
        <v>30</v>
      </c>
      <c r="D65" s="41">
        <f t="shared" si="41"/>
        <v>302400</v>
      </c>
      <c r="E65" s="41">
        <f t="shared" si="50"/>
        <v>7257600</v>
      </c>
      <c r="F65" s="41">
        <f t="shared" si="57"/>
        <v>7257600</v>
      </c>
      <c r="G65" s="41">
        <v>1</v>
      </c>
      <c r="H65" s="41">
        <f t="shared" si="51"/>
        <v>21772800</v>
      </c>
      <c r="I65" s="53">
        <f t="shared" si="43"/>
        <v>1.7999999999999998</v>
      </c>
      <c r="L65" s="11">
        <f t="shared" si="44"/>
        <v>28</v>
      </c>
      <c r="M65" s="11">
        <f t="shared" si="60"/>
        <v>150</v>
      </c>
      <c r="O65" s="41">
        <f t="shared" si="59"/>
        <v>1088640000</v>
      </c>
      <c r="P65" s="45">
        <f t="shared" si="55"/>
        <v>272160000</v>
      </c>
      <c r="Q65" s="34">
        <v>0.25</v>
      </c>
      <c r="R65" s="45">
        <f t="shared" si="56"/>
        <v>108864000</v>
      </c>
      <c r="S65" s="34">
        <v>0.1</v>
      </c>
      <c r="T65" s="45">
        <f t="shared" si="58"/>
        <v>108864000</v>
      </c>
      <c r="U65" s="34">
        <v>0.1</v>
      </c>
      <c r="W65" s="34"/>
      <c r="X65" s="41">
        <f t="shared" si="53"/>
        <v>435456000</v>
      </c>
      <c r="Y65" s="34">
        <v>0.4</v>
      </c>
      <c r="Z65" s="41">
        <f t="shared" si="54"/>
        <v>163296000</v>
      </c>
      <c r="AA65" s="34">
        <v>0.15</v>
      </c>
    </row>
    <row r="66" spans="1:35">
      <c r="A66" s="40" t="s">
        <v>135</v>
      </c>
      <c r="B66" s="11">
        <v>19</v>
      </c>
      <c r="C66" s="1">
        <v>34</v>
      </c>
      <c r="D66" s="41">
        <f t="shared" si="41"/>
        <v>354960</v>
      </c>
      <c r="E66" s="41">
        <f t="shared" si="50"/>
        <v>8519040</v>
      </c>
      <c r="F66" s="41">
        <f t="shared" si="57"/>
        <v>8519040</v>
      </c>
      <c r="G66" s="41">
        <v>1</v>
      </c>
      <c r="H66" s="41">
        <f t="shared" si="51"/>
        <v>25557120</v>
      </c>
      <c r="I66" s="53">
        <f>I67-0.1</f>
        <v>1.9</v>
      </c>
      <c r="L66" s="11">
        <f t="shared" si="44"/>
        <v>31</v>
      </c>
      <c r="M66" s="11">
        <f t="shared" si="60"/>
        <v>181</v>
      </c>
      <c r="O66" s="41">
        <f t="shared" si="59"/>
        <v>1541946240</v>
      </c>
      <c r="P66" s="45">
        <f t="shared" si="55"/>
        <v>385486560</v>
      </c>
      <c r="Q66" s="34">
        <v>0.25</v>
      </c>
      <c r="R66" s="45">
        <f t="shared" si="56"/>
        <v>154194624</v>
      </c>
      <c r="S66" s="34">
        <v>0.1</v>
      </c>
      <c r="T66" s="45">
        <f t="shared" si="58"/>
        <v>154194624</v>
      </c>
      <c r="U66" s="34">
        <v>0.1</v>
      </c>
      <c r="W66" s="34"/>
      <c r="X66" s="41">
        <f t="shared" si="53"/>
        <v>616778496</v>
      </c>
      <c r="Y66" s="34">
        <v>0.4</v>
      </c>
      <c r="Z66" s="41">
        <f t="shared" si="54"/>
        <v>231291936</v>
      </c>
      <c r="AA66" s="34">
        <v>0.15</v>
      </c>
    </row>
    <row r="67" spans="1:35">
      <c r="B67" s="11">
        <v>20</v>
      </c>
      <c r="C67" s="1">
        <v>40</v>
      </c>
      <c r="D67" s="41">
        <f t="shared" si="41"/>
        <v>432000</v>
      </c>
      <c r="E67" s="41">
        <f t="shared" si="50"/>
        <v>10368000</v>
      </c>
      <c r="F67" s="41">
        <f t="shared" si="57"/>
        <v>10368000</v>
      </c>
      <c r="G67" s="41">
        <v>1</v>
      </c>
      <c r="H67" s="41">
        <f t="shared" si="51"/>
        <v>31104000</v>
      </c>
      <c r="I67" s="53">
        <v>2</v>
      </c>
      <c r="L67" s="11">
        <f t="shared" si="44"/>
        <v>34</v>
      </c>
      <c r="M67" s="11">
        <f t="shared" si="60"/>
        <v>215</v>
      </c>
      <c r="O67" s="41">
        <f t="shared" si="59"/>
        <v>2229120000</v>
      </c>
      <c r="P67" s="45">
        <f t="shared" si="55"/>
        <v>557280000</v>
      </c>
      <c r="Q67" s="34">
        <v>0.25</v>
      </c>
      <c r="R67" s="45">
        <f t="shared" si="56"/>
        <v>222912000</v>
      </c>
      <c r="S67" s="34">
        <v>0.1</v>
      </c>
      <c r="T67" s="45">
        <f t="shared" si="58"/>
        <v>222912000</v>
      </c>
      <c r="U67" s="34">
        <v>0.1</v>
      </c>
      <c r="W67" s="34"/>
      <c r="X67" s="41">
        <f t="shared" si="53"/>
        <v>891648000</v>
      </c>
      <c r="Y67" s="34">
        <v>0.4</v>
      </c>
      <c r="Z67" s="41">
        <f t="shared" si="54"/>
        <v>334368000</v>
      </c>
      <c r="AA67" s="34">
        <v>0.15</v>
      </c>
    </row>
    <row r="69" spans="1:35" s="48" customFormat="1" ht="27">
      <c r="A69" s="47" t="s">
        <v>192</v>
      </c>
      <c r="B69" s="56" t="s">
        <v>180</v>
      </c>
      <c r="D69" s="49"/>
      <c r="E69" s="49"/>
      <c r="F69" s="49"/>
      <c r="G69" s="49"/>
      <c r="H69" s="49"/>
      <c r="I69" s="55"/>
      <c r="J69" s="49" t="s">
        <v>168</v>
      </c>
      <c r="N69" s="48" t="s">
        <v>231</v>
      </c>
      <c r="O69" s="50"/>
      <c r="P69" s="51"/>
      <c r="Q69" s="52"/>
      <c r="R69" s="51"/>
      <c r="T69" s="51"/>
      <c r="V69" s="51"/>
      <c r="X69" s="49"/>
      <c r="Z69" s="49"/>
    </row>
    <row r="70" spans="1:35">
      <c r="C70" s="1">
        <v>0.03</v>
      </c>
      <c r="D70" s="41">
        <f>ROUND(建筑!G23*J70*(1+I70)*C70,0)</f>
        <v>45</v>
      </c>
      <c r="E70" s="41">
        <f>24*D70</f>
        <v>1080</v>
      </c>
      <c r="F70" s="41">
        <f t="shared" ref="F70:F89" si="61">E70*G70</f>
        <v>1080</v>
      </c>
      <c r="G70" s="41">
        <v>1</v>
      </c>
      <c r="H70" s="41">
        <f>3*F70</f>
        <v>3240</v>
      </c>
      <c r="I70" s="53">
        <v>0.05</v>
      </c>
      <c r="J70" s="53">
        <v>0.3</v>
      </c>
      <c r="L70" s="11">
        <f t="shared" ref="L70:L89" si="62">M70-M69</f>
        <v>0.01</v>
      </c>
      <c r="M70" s="11">
        <v>0.01</v>
      </c>
      <c r="N70" s="41">
        <f>ROUND(M73*F73*0.051,0)</f>
        <v>135</v>
      </c>
      <c r="O70" s="41">
        <f>N70*基本公式!$B$114</f>
        <v>87.75</v>
      </c>
      <c r="S70" s="34"/>
      <c r="U70" s="34"/>
      <c r="W70" s="34"/>
      <c r="X70" s="41">
        <f t="shared" ref="X70:X89" si="63">ROUND(O70*Y70,0)</f>
        <v>31</v>
      </c>
      <c r="Y70" s="34">
        <v>0.35</v>
      </c>
      <c r="AB70" s="41">
        <f t="shared" ref="AB70:AB72" si="64">ROUND(O70*AC70,0)</f>
        <v>13</v>
      </c>
      <c r="AC70" s="34">
        <v>0.15</v>
      </c>
      <c r="AD70" s="41">
        <f t="shared" ref="AD70:AD72" si="65">ROUND(O70*AE70,0)</f>
        <v>9</v>
      </c>
      <c r="AE70" s="34">
        <v>0.1</v>
      </c>
      <c r="AF70" s="41">
        <f t="shared" ref="AF70:AF72" si="66">ROUND(O70*AG70,0)</f>
        <v>4</v>
      </c>
      <c r="AG70" s="34">
        <v>0.05</v>
      </c>
      <c r="AH70" s="41">
        <f t="shared" ref="AH70:AH72" si="67">ROUND(O70*AI70,0)</f>
        <v>31</v>
      </c>
      <c r="AI70" s="34">
        <v>0.35</v>
      </c>
    </row>
    <row r="71" spans="1:35">
      <c r="C71" s="1">
        <v>0.03</v>
      </c>
      <c r="D71" s="41">
        <f>ROUND(建筑!G24*J71*(1+I71)*C71,0)</f>
        <v>92</v>
      </c>
      <c r="E71" s="41">
        <f t="shared" ref="E71:E89" si="68">24*D71</f>
        <v>2208</v>
      </c>
      <c r="F71" s="41">
        <f t="shared" si="61"/>
        <v>2208</v>
      </c>
      <c r="G71" s="41">
        <v>1</v>
      </c>
      <c r="H71" s="41">
        <f t="shared" ref="H71:H89" si="69">3*F71</f>
        <v>6624</v>
      </c>
      <c r="I71" s="53">
        <f>I70+0.05</f>
        <v>0.1</v>
      </c>
      <c r="J71" s="53">
        <v>0.3</v>
      </c>
      <c r="L71" s="11">
        <f t="shared" si="62"/>
        <v>0.04</v>
      </c>
      <c r="M71" s="11">
        <v>0.05</v>
      </c>
      <c r="N71" s="41">
        <f>ROUND(M73*F73*0.15,0)</f>
        <v>399</v>
      </c>
      <c r="O71" s="41">
        <f>N71*基本公式!$B$114</f>
        <v>259.35000000000002</v>
      </c>
      <c r="S71" s="34"/>
      <c r="U71" s="34"/>
      <c r="W71" s="34"/>
      <c r="X71" s="41">
        <f t="shared" si="63"/>
        <v>91</v>
      </c>
      <c r="Y71" s="34">
        <v>0.35</v>
      </c>
      <c r="AB71" s="41">
        <f t="shared" si="64"/>
        <v>39</v>
      </c>
      <c r="AC71" s="34">
        <v>0.15</v>
      </c>
      <c r="AD71" s="41">
        <f t="shared" si="65"/>
        <v>26</v>
      </c>
      <c r="AE71" s="34">
        <v>0.1</v>
      </c>
      <c r="AF71" s="41">
        <f t="shared" si="66"/>
        <v>13</v>
      </c>
      <c r="AG71" s="34">
        <v>0.05</v>
      </c>
      <c r="AH71" s="41">
        <f t="shared" si="67"/>
        <v>91</v>
      </c>
      <c r="AI71" s="34">
        <v>0.35</v>
      </c>
    </row>
    <row r="72" spans="1:35">
      <c r="C72" s="1">
        <v>0.03</v>
      </c>
      <c r="D72" s="41">
        <f>ROUND(建筑!G25*J72*(1+I72)*C72,0)</f>
        <v>143</v>
      </c>
      <c r="E72" s="41">
        <f t="shared" si="68"/>
        <v>3432</v>
      </c>
      <c r="F72" s="41">
        <f t="shared" si="61"/>
        <v>3432</v>
      </c>
      <c r="G72" s="41">
        <v>1</v>
      </c>
      <c r="H72" s="41">
        <f t="shared" si="69"/>
        <v>10296</v>
      </c>
      <c r="I72" s="53">
        <f t="shared" ref="I72:I89" si="70">I71+0.05</f>
        <v>0.15000000000000002</v>
      </c>
      <c r="J72" s="53">
        <v>0.3</v>
      </c>
      <c r="L72" s="11">
        <f t="shared" si="62"/>
        <v>0.15000000000000002</v>
      </c>
      <c r="M72" s="11">
        <v>0.2</v>
      </c>
      <c r="N72" s="41">
        <f t="shared" ref="N72:N86" si="71">M72*F72</f>
        <v>686.40000000000009</v>
      </c>
      <c r="O72" s="41">
        <f>N72*基本公式!$B$114</f>
        <v>446.16000000000008</v>
      </c>
      <c r="S72" s="34"/>
      <c r="U72" s="34"/>
      <c r="W72" s="34"/>
      <c r="X72" s="41">
        <f t="shared" si="63"/>
        <v>156</v>
      </c>
      <c r="Y72" s="34">
        <v>0.35</v>
      </c>
      <c r="AB72" s="41">
        <f t="shared" si="64"/>
        <v>67</v>
      </c>
      <c r="AC72" s="34">
        <v>0.15</v>
      </c>
      <c r="AD72" s="41">
        <f t="shared" si="65"/>
        <v>45</v>
      </c>
      <c r="AE72" s="34">
        <v>0.1</v>
      </c>
      <c r="AF72" s="41">
        <f t="shared" si="66"/>
        <v>22</v>
      </c>
      <c r="AG72" s="34">
        <v>0.05</v>
      </c>
      <c r="AH72" s="41">
        <f t="shared" si="67"/>
        <v>156</v>
      </c>
      <c r="AI72" s="34">
        <v>0.35</v>
      </c>
    </row>
    <row r="73" spans="1:35">
      <c r="C73" s="1">
        <v>0.03</v>
      </c>
      <c r="D73" s="41">
        <f>ROUND(建筑!G26*J73*(1+I73)*C73,0)</f>
        <v>246</v>
      </c>
      <c r="E73" s="41">
        <f t="shared" si="68"/>
        <v>5904</v>
      </c>
      <c r="F73" s="41">
        <f t="shared" si="61"/>
        <v>5904</v>
      </c>
      <c r="G73" s="41">
        <v>1</v>
      </c>
      <c r="H73" s="41">
        <f t="shared" si="69"/>
        <v>17712</v>
      </c>
      <c r="I73" s="53">
        <f t="shared" si="70"/>
        <v>0.2</v>
      </c>
      <c r="J73" s="53">
        <v>0.3</v>
      </c>
      <c r="L73" s="11">
        <f t="shared" si="62"/>
        <v>0.25</v>
      </c>
      <c r="M73" s="11">
        <v>0.45</v>
      </c>
      <c r="N73" s="41">
        <f t="shared" si="71"/>
        <v>2656.8</v>
      </c>
      <c r="O73" s="41">
        <f>N73*基本公式!$B$114</f>
        <v>1726.92</v>
      </c>
      <c r="S73" s="34"/>
      <c r="U73" s="34"/>
      <c r="W73" s="34"/>
      <c r="X73" s="41">
        <f t="shared" ref="X73" si="72">ROUND(O73*Y73,0)</f>
        <v>604</v>
      </c>
      <c r="Y73" s="34">
        <v>0.35</v>
      </c>
      <c r="AB73" s="41">
        <f>ROUND(O73*AC73,0)</f>
        <v>259</v>
      </c>
      <c r="AC73" s="34">
        <v>0.15</v>
      </c>
      <c r="AD73" s="41">
        <f>ROUND(O73*AE73,0)</f>
        <v>173</v>
      </c>
      <c r="AE73" s="34">
        <v>0.1</v>
      </c>
      <c r="AF73" s="41">
        <f>ROUND(O73*AG73,0)</f>
        <v>86</v>
      </c>
      <c r="AG73" s="34">
        <v>0.05</v>
      </c>
      <c r="AH73" s="41">
        <f>ROUND(O73*AI73,0)</f>
        <v>604</v>
      </c>
      <c r="AI73" s="34">
        <v>0.35</v>
      </c>
    </row>
    <row r="74" spans="1:35">
      <c r="C74" s="1">
        <v>0.03</v>
      </c>
      <c r="D74" s="41">
        <f>ROUND(建筑!G27*J74*(1+I74)*C74,0)</f>
        <v>426</v>
      </c>
      <c r="E74" s="41">
        <f t="shared" si="68"/>
        <v>10224</v>
      </c>
      <c r="F74" s="41">
        <f t="shared" si="61"/>
        <v>10224</v>
      </c>
      <c r="G74" s="41">
        <v>1</v>
      </c>
      <c r="H74" s="41">
        <f t="shared" si="69"/>
        <v>30672</v>
      </c>
      <c r="I74" s="53">
        <f t="shared" si="70"/>
        <v>0.25</v>
      </c>
      <c r="J74" s="53">
        <v>0.3</v>
      </c>
      <c r="L74" s="11">
        <f t="shared" si="62"/>
        <v>0.39999999999999997</v>
      </c>
      <c r="M74" s="11">
        <v>0.85</v>
      </c>
      <c r="N74" s="41">
        <f t="shared" si="71"/>
        <v>8690.4</v>
      </c>
      <c r="O74" s="41">
        <f>N74*基本公式!$B$114</f>
        <v>5648.76</v>
      </c>
      <c r="S74" s="34"/>
      <c r="U74" s="34"/>
      <c r="W74" s="34"/>
      <c r="X74" s="41">
        <f t="shared" si="63"/>
        <v>1977</v>
      </c>
      <c r="Y74" s="34">
        <v>0.35</v>
      </c>
      <c r="AB74" s="41">
        <f t="shared" ref="AB74:AB89" si="73">ROUND(O74*AC74,0)</f>
        <v>847</v>
      </c>
      <c r="AC74" s="34">
        <v>0.15</v>
      </c>
      <c r="AD74" s="41">
        <f t="shared" ref="AD74:AD89" si="74">ROUND(O74*AE74,0)</f>
        <v>565</v>
      </c>
      <c r="AE74" s="34">
        <v>0.1</v>
      </c>
      <c r="AF74" s="41">
        <f t="shared" ref="AF74:AF89" si="75">ROUND(O74*AG74,0)</f>
        <v>282</v>
      </c>
      <c r="AG74" s="34">
        <v>0.05</v>
      </c>
      <c r="AH74" s="41">
        <f t="shared" ref="AH74:AH89" si="76">ROUND(O74*AI74,0)</f>
        <v>1977</v>
      </c>
      <c r="AI74" s="34">
        <v>0.35</v>
      </c>
    </row>
    <row r="75" spans="1:35">
      <c r="C75" s="1">
        <v>0.03</v>
      </c>
      <c r="D75" s="41">
        <f>ROUND(建筑!G28*J75*(1+I75)*C75,0)</f>
        <v>1129</v>
      </c>
      <c r="E75" s="41">
        <f t="shared" si="68"/>
        <v>27096</v>
      </c>
      <c r="F75" s="41">
        <f t="shared" si="61"/>
        <v>27096</v>
      </c>
      <c r="G75" s="41">
        <v>1</v>
      </c>
      <c r="H75" s="41">
        <f t="shared" si="69"/>
        <v>81288</v>
      </c>
      <c r="I75" s="53">
        <f t="shared" si="70"/>
        <v>0.3</v>
      </c>
      <c r="J75" s="53">
        <v>0.3</v>
      </c>
      <c r="L75" s="11">
        <f t="shared" si="62"/>
        <v>0.54999999999999993</v>
      </c>
      <c r="M75" s="11">
        <v>1.4</v>
      </c>
      <c r="N75" s="41">
        <f t="shared" si="71"/>
        <v>37934.399999999994</v>
      </c>
      <c r="O75" s="41">
        <f>N75*基本公式!$B$114</f>
        <v>24657.359999999997</v>
      </c>
      <c r="S75" s="34"/>
      <c r="U75" s="34"/>
      <c r="W75" s="34"/>
      <c r="X75" s="41">
        <f t="shared" si="63"/>
        <v>8630</v>
      </c>
      <c r="Y75" s="34">
        <v>0.35</v>
      </c>
      <c r="AB75" s="41">
        <f t="shared" si="73"/>
        <v>3699</v>
      </c>
      <c r="AC75" s="34">
        <v>0.15</v>
      </c>
      <c r="AD75" s="41">
        <f t="shared" si="74"/>
        <v>2466</v>
      </c>
      <c r="AE75" s="34">
        <v>0.1</v>
      </c>
      <c r="AF75" s="41">
        <f t="shared" si="75"/>
        <v>1233</v>
      </c>
      <c r="AG75" s="34">
        <v>0.05</v>
      </c>
      <c r="AH75" s="41">
        <f t="shared" si="76"/>
        <v>8630</v>
      </c>
      <c r="AI75" s="34">
        <v>0.35</v>
      </c>
    </row>
    <row r="76" spans="1:35">
      <c r="C76" s="1">
        <v>0.03</v>
      </c>
      <c r="D76" s="41">
        <f>ROUND(建筑!G29*J76*(1+I76)*C76,0)</f>
        <v>2310</v>
      </c>
      <c r="E76" s="41">
        <f t="shared" si="68"/>
        <v>55440</v>
      </c>
      <c r="F76" s="41">
        <f t="shared" si="61"/>
        <v>55440</v>
      </c>
      <c r="G76" s="41">
        <v>1</v>
      </c>
      <c r="H76" s="41">
        <f t="shared" si="69"/>
        <v>166320</v>
      </c>
      <c r="I76" s="53">
        <f t="shared" si="70"/>
        <v>0.35</v>
      </c>
      <c r="J76" s="53">
        <v>0.3</v>
      </c>
      <c r="L76" s="11">
        <f t="shared" si="62"/>
        <v>0.89999999999999991</v>
      </c>
      <c r="M76" s="11">
        <v>2.2999999999999998</v>
      </c>
      <c r="N76" s="41">
        <f t="shared" si="71"/>
        <v>127511.99999999999</v>
      </c>
      <c r="O76" s="41">
        <f>N76*基本公式!$B$114</f>
        <v>82882.799999999988</v>
      </c>
      <c r="S76" s="34"/>
      <c r="U76" s="34"/>
      <c r="W76" s="34"/>
      <c r="X76" s="41">
        <f t="shared" si="63"/>
        <v>29009</v>
      </c>
      <c r="Y76" s="34">
        <v>0.35</v>
      </c>
      <c r="AB76" s="41">
        <f t="shared" si="73"/>
        <v>12432</v>
      </c>
      <c r="AC76" s="34">
        <v>0.15</v>
      </c>
      <c r="AD76" s="41">
        <f t="shared" si="74"/>
        <v>8288</v>
      </c>
      <c r="AE76" s="34">
        <v>0.1</v>
      </c>
      <c r="AF76" s="41">
        <f t="shared" si="75"/>
        <v>4144</v>
      </c>
      <c r="AG76" s="34">
        <v>0.05</v>
      </c>
      <c r="AH76" s="41">
        <f t="shared" si="76"/>
        <v>29009</v>
      </c>
      <c r="AI76" s="34">
        <v>0.35</v>
      </c>
    </row>
    <row r="77" spans="1:35">
      <c r="A77" s="11"/>
      <c r="C77" s="1">
        <v>0.03</v>
      </c>
      <c r="D77" s="41">
        <f>ROUND(建筑!G30*J77*(1+I77)*C77,0)</f>
        <v>4307</v>
      </c>
      <c r="E77" s="41">
        <f t="shared" si="68"/>
        <v>103368</v>
      </c>
      <c r="F77" s="41">
        <f t="shared" si="61"/>
        <v>103368</v>
      </c>
      <c r="G77" s="41">
        <v>1</v>
      </c>
      <c r="H77" s="41">
        <f t="shared" si="69"/>
        <v>310104</v>
      </c>
      <c r="I77" s="53">
        <f t="shared" si="70"/>
        <v>0.39999999999999997</v>
      </c>
      <c r="J77" s="53">
        <v>0.3</v>
      </c>
      <c r="L77" s="11">
        <f t="shared" si="62"/>
        <v>2</v>
      </c>
      <c r="M77" s="11">
        <v>4.3</v>
      </c>
      <c r="N77" s="41">
        <f t="shared" si="71"/>
        <v>444482.39999999997</v>
      </c>
      <c r="O77" s="41">
        <f>N77*基本公式!$B$114</f>
        <v>288913.56</v>
      </c>
      <c r="S77" s="34"/>
      <c r="U77" s="34"/>
      <c r="W77" s="34"/>
      <c r="X77" s="41">
        <f t="shared" si="63"/>
        <v>101120</v>
      </c>
      <c r="Y77" s="34">
        <v>0.35</v>
      </c>
      <c r="AB77" s="41">
        <f t="shared" si="73"/>
        <v>43337</v>
      </c>
      <c r="AC77" s="34">
        <v>0.15</v>
      </c>
      <c r="AD77" s="41">
        <f t="shared" si="74"/>
        <v>28891</v>
      </c>
      <c r="AE77" s="34">
        <v>0.1</v>
      </c>
      <c r="AF77" s="41">
        <f t="shared" si="75"/>
        <v>14446</v>
      </c>
      <c r="AG77" s="34">
        <v>0.05</v>
      </c>
      <c r="AH77" s="41">
        <f t="shared" si="76"/>
        <v>101120</v>
      </c>
      <c r="AI77" s="34">
        <v>0.35</v>
      </c>
    </row>
    <row r="78" spans="1:35">
      <c r="C78" s="1">
        <v>0.03</v>
      </c>
      <c r="D78" s="41">
        <f>ROUND(建筑!G31*J78*(1+I78)*C78,0)</f>
        <v>6435</v>
      </c>
      <c r="E78" s="41">
        <f t="shared" si="68"/>
        <v>154440</v>
      </c>
      <c r="F78" s="41">
        <f t="shared" si="61"/>
        <v>154440</v>
      </c>
      <c r="G78" s="41">
        <v>1</v>
      </c>
      <c r="H78" s="41">
        <f t="shared" si="69"/>
        <v>463320</v>
      </c>
      <c r="I78" s="53">
        <f t="shared" si="70"/>
        <v>0.44999999999999996</v>
      </c>
      <c r="J78" s="53">
        <v>0.3</v>
      </c>
      <c r="L78" s="11">
        <f t="shared" si="62"/>
        <v>2.7</v>
      </c>
      <c r="M78" s="11">
        <v>7</v>
      </c>
      <c r="N78" s="41">
        <f t="shared" si="71"/>
        <v>1081080</v>
      </c>
      <c r="O78" s="41">
        <f>N78*基本公式!$B$114</f>
        <v>702702</v>
      </c>
      <c r="S78" s="34"/>
      <c r="U78" s="34"/>
      <c r="W78" s="34"/>
      <c r="X78" s="41">
        <f t="shared" si="63"/>
        <v>245946</v>
      </c>
      <c r="Y78" s="34">
        <v>0.35</v>
      </c>
      <c r="AB78" s="41">
        <f t="shared" si="73"/>
        <v>105405</v>
      </c>
      <c r="AC78" s="34">
        <v>0.15</v>
      </c>
      <c r="AD78" s="41">
        <f t="shared" si="74"/>
        <v>70270</v>
      </c>
      <c r="AE78" s="34">
        <v>0.1</v>
      </c>
      <c r="AF78" s="41">
        <f t="shared" si="75"/>
        <v>35135</v>
      </c>
      <c r="AG78" s="34">
        <v>0.05</v>
      </c>
      <c r="AH78" s="41">
        <f t="shared" si="76"/>
        <v>245946</v>
      </c>
      <c r="AI78" s="34">
        <v>0.35</v>
      </c>
    </row>
    <row r="79" spans="1:35">
      <c r="A79" s="38" t="s">
        <v>133</v>
      </c>
      <c r="C79" s="1">
        <v>0.03</v>
      </c>
      <c r="D79" s="41">
        <f>ROUND(建筑!G32*J79*(1+I79)*C79,0)</f>
        <v>10124</v>
      </c>
      <c r="E79" s="41">
        <f t="shared" si="68"/>
        <v>242976</v>
      </c>
      <c r="F79" s="41">
        <f t="shared" si="61"/>
        <v>242976</v>
      </c>
      <c r="G79" s="41">
        <v>1</v>
      </c>
      <c r="H79" s="41">
        <f t="shared" si="69"/>
        <v>728928</v>
      </c>
      <c r="I79" s="53">
        <f t="shared" si="70"/>
        <v>0.49999999999999994</v>
      </c>
      <c r="J79" s="53">
        <v>0.3</v>
      </c>
      <c r="L79" s="11">
        <f t="shared" si="62"/>
        <v>4</v>
      </c>
      <c r="M79" s="11">
        <v>11</v>
      </c>
      <c r="N79" s="41">
        <f t="shared" si="71"/>
        <v>2672736</v>
      </c>
      <c r="O79" s="41">
        <f>N79*基本公式!$B$114</f>
        <v>1737278.4000000001</v>
      </c>
      <c r="S79" s="34"/>
      <c r="U79" s="34"/>
      <c r="W79" s="34"/>
      <c r="X79" s="41">
        <f t="shared" si="63"/>
        <v>608047</v>
      </c>
      <c r="Y79" s="34">
        <v>0.35</v>
      </c>
      <c r="AB79" s="41">
        <f t="shared" si="73"/>
        <v>260592</v>
      </c>
      <c r="AC79" s="34">
        <v>0.15</v>
      </c>
      <c r="AD79" s="41">
        <f t="shared" si="74"/>
        <v>173728</v>
      </c>
      <c r="AE79" s="34">
        <v>0.1</v>
      </c>
      <c r="AF79" s="41">
        <f t="shared" si="75"/>
        <v>86864</v>
      </c>
      <c r="AG79" s="34">
        <v>0.05</v>
      </c>
      <c r="AH79" s="41">
        <f t="shared" si="76"/>
        <v>608047</v>
      </c>
      <c r="AI79" s="34">
        <v>0.35</v>
      </c>
    </row>
    <row r="80" spans="1:35">
      <c r="C80" s="1">
        <v>0.03</v>
      </c>
      <c r="D80" s="41">
        <f>ROUND(建筑!G33*J80*(1+I80)*C80,0)</f>
        <v>15224</v>
      </c>
      <c r="E80" s="41">
        <f t="shared" si="68"/>
        <v>365376</v>
      </c>
      <c r="F80" s="41">
        <f t="shared" si="61"/>
        <v>365376</v>
      </c>
      <c r="G80" s="41">
        <v>1</v>
      </c>
      <c r="H80" s="41">
        <f t="shared" si="69"/>
        <v>1096128</v>
      </c>
      <c r="I80" s="53">
        <f t="shared" si="70"/>
        <v>0.54999999999999993</v>
      </c>
      <c r="J80" s="53">
        <v>0.3</v>
      </c>
      <c r="L80" s="11">
        <f t="shared" si="62"/>
        <v>7</v>
      </c>
      <c r="M80" s="11">
        <v>18</v>
      </c>
      <c r="N80" s="41">
        <f t="shared" si="71"/>
        <v>6576768</v>
      </c>
      <c r="O80" s="41">
        <f>N80*基本公式!$B$114</f>
        <v>4274899.2</v>
      </c>
      <c r="S80" s="34"/>
      <c r="U80" s="34"/>
      <c r="W80" s="34"/>
      <c r="X80" s="41">
        <f t="shared" si="63"/>
        <v>1496215</v>
      </c>
      <c r="Y80" s="34">
        <v>0.35</v>
      </c>
      <c r="AB80" s="41">
        <f t="shared" si="73"/>
        <v>641235</v>
      </c>
      <c r="AC80" s="34">
        <v>0.15</v>
      </c>
      <c r="AD80" s="41">
        <f t="shared" si="74"/>
        <v>427490</v>
      </c>
      <c r="AE80" s="34">
        <v>0.1</v>
      </c>
      <c r="AF80" s="41">
        <f t="shared" si="75"/>
        <v>213745</v>
      </c>
      <c r="AG80" s="34">
        <v>0.05</v>
      </c>
      <c r="AH80" s="41">
        <f t="shared" si="76"/>
        <v>1496215</v>
      </c>
      <c r="AI80" s="34">
        <v>0.35</v>
      </c>
    </row>
    <row r="81" spans="1:35">
      <c r="C81" s="1">
        <v>0.03</v>
      </c>
      <c r="D81" s="41">
        <f>ROUND(建筑!G34*J81*(1+I81)*C81,0)</f>
        <v>28231</v>
      </c>
      <c r="E81" s="41">
        <f t="shared" si="68"/>
        <v>677544</v>
      </c>
      <c r="F81" s="41">
        <f t="shared" si="61"/>
        <v>677544</v>
      </c>
      <c r="G81" s="41">
        <v>1</v>
      </c>
      <c r="H81" s="41">
        <f t="shared" si="69"/>
        <v>2032632</v>
      </c>
      <c r="I81" s="53">
        <f t="shared" si="70"/>
        <v>0.6</v>
      </c>
      <c r="J81" s="53">
        <v>0.3</v>
      </c>
      <c r="L81" s="11">
        <f t="shared" si="62"/>
        <v>9</v>
      </c>
      <c r="M81" s="11">
        <v>27</v>
      </c>
      <c r="N81" s="41">
        <f t="shared" si="71"/>
        <v>18293688</v>
      </c>
      <c r="O81" s="41">
        <f>N81*基本公式!$B$114</f>
        <v>11890897.200000001</v>
      </c>
      <c r="S81" s="34"/>
      <c r="U81" s="34"/>
      <c r="W81" s="34"/>
      <c r="X81" s="41">
        <f t="shared" si="63"/>
        <v>4161814</v>
      </c>
      <c r="Y81" s="34">
        <v>0.35</v>
      </c>
      <c r="AB81" s="41">
        <f t="shared" si="73"/>
        <v>1783635</v>
      </c>
      <c r="AC81" s="34">
        <v>0.15</v>
      </c>
      <c r="AD81" s="41">
        <f t="shared" si="74"/>
        <v>1189090</v>
      </c>
      <c r="AE81" s="34">
        <v>0.1</v>
      </c>
      <c r="AF81" s="41">
        <f t="shared" si="75"/>
        <v>594545</v>
      </c>
      <c r="AG81" s="34">
        <v>0.05</v>
      </c>
      <c r="AH81" s="41">
        <f t="shared" si="76"/>
        <v>4161814</v>
      </c>
      <c r="AI81" s="34">
        <v>0.35</v>
      </c>
    </row>
    <row r="82" spans="1:35">
      <c r="A82" s="11"/>
      <c r="C82" s="1">
        <v>0.03</v>
      </c>
      <c r="D82" s="41">
        <f>ROUND(建筑!G35*J82*(1+I82)*C82,0)</f>
        <v>39835</v>
      </c>
      <c r="E82" s="41">
        <f t="shared" si="68"/>
        <v>956040</v>
      </c>
      <c r="F82" s="41">
        <f t="shared" si="61"/>
        <v>956040</v>
      </c>
      <c r="G82" s="41">
        <v>1</v>
      </c>
      <c r="H82" s="41">
        <f t="shared" si="69"/>
        <v>2868120</v>
      </c>
      <c r="I82" s="53">
        <f t="shared" si="70"/>
        <v>0.65</v>
      </c>
      <c r="J82" s="53">
        <v>0.3</v>
      </c>
      <c r="L82" s="11">
        <f t="shared" si="62"/>
        <v>13</v>
      </c>
      <c r="M82" s="11">
        <v>40</v>
      </c>
      <c r="N82" s="41">
        <f t="shared" si="71"/>
        <v>38241600</v>
      </c>
      <c r="O82" s="41">
        <f>N82*基本公式!$B$114</f>
        <v>24857040</v>
      </c>
      <c r="S82" s="34"/>
      <c r="U82" s="34"/>
      <c r="W82" s="34"/>
      <c r="X82" s="41">
        <f t="shared" si="63"/>
        <v>8699964</v>
      </c>
      <c r="Y82" s="34">
        <v>0.35</v>
      </c>
      <c r="AB82" s="41">
        <f t="shared" si="73"/>
        <v>3728556</v>
      </c>
      <c r="AC82" s="34">
        <v>0.15</v>
      </c>
      <c r="AD82" s="41">
        <f t="shared" si="74"/>
        <v>2485704</v>
      </c>
      <c r="AE82" s="34">
        <v>0.1</v>
      </c>
      <c r="AF82" s="41">
        <f t="shared" si="75"/>
        <v>1242852</v>
      </c>
      <c r="AG82" s="34">
        <v>0.05</v>
      </c>
      <c r="AH82" s="41">
        <f t="shared" si="76"/>
        <v>8699964</v>
      </c>
      <c r="AI82" s="34">
        <v>0.35</v>
      </c>
    </row>
    <row r="83" spans="1:35">
      <c r="A83" s="39" t="s">
        <v>134</v>
      </c>
      <c r="C83" s="1">
        <v>0.03</v>
      </c>
      <c r="D83" s="41">
        <f>ROUND(建筑!G36*J83*(1+I83)*C83,0)</f>
        <v>50690</v>
      </c>
      <c r="E83" s="41">
        <f t="shared" si="68"/>
        <v>1216560</v>
      </c>
      <c r="F83" s="41">
        <f t="shared" si="61"/>
        <v>1216560</v>
      </c>
      <c r="G83" s="41">
        <v>1</v>
      </c>
      <c r="H83" s="41">
        <f t="shared" si="69"/>
        <v>3649680</v>
      </c>
      <c r="I83" s="53">
        <f t="shared" si="70"/>
        <v>0.70000000000000007</v>
      </c>
      <c r="J83" s="53">
        <v>0.3</v>
      </c>
      <c r="L83" s="11">
        <f t="shared" si="62"/>
        <v>16</v>
      </c>
      <c r="M83" s="11">
        <f>L82+M82+3</f>
        <v>56</v>
      </c>
      <c r="N83" s="41">
        <f t="shared" si="71"/>
        <v>68127360</v>
      </c>
      <c r="O83" s="41">
        <f>N83*基本公式!$B$114</f>
        <v>44282784</v>
      </c>
      <c r="S83" s="34"/>
      <c r="U83" s="34"/>
      <c r="W83" s="34"/>
      <c r="X83" s="41">
        <f t="shared" si="63"/>
        <v>15498974</v>
      </c>
      <c r="Y83" s="34">
        <v>0.35</v>
      </c>
      <c r="AB83" s="41">
        <f t="shared" si="73"/>
        <v>6642418</v>
      </c>
      <c r="AC83" s="34">
        <v>0.15</v>
      </c>
      <c r="AD83" s="41">
        <f t="shared" si="74"/>
        <v>4428278</v>
      </c>
      <c r="AE83" s="34">
        <v>0.1</v>
      </c>
      <c r="AF83" s="41">
        <f t="shared" si="75"/>
        <v>2214139</v>
      </c>
      <c r="AG83" s="34">
        <v>0.05</v>
      </c>
      <c r="AH83" s="41">
        <f t="shared" si="76"/>
        <v>15498974</v>
      </c>
      <c r="AI83" s="34">
        <v>0.35</v>
      </c>
    </row>
    <row r="84" spans="1:35">
      <c r="C84" s="1">
        <v>0.03</v>
      </c>
      <c r="D84" s="41">
        <f>ROUND(建筑!G37*J84*(1+I84)*C84,0)</f>
        <v>63353</v>
      </c>
      <c r="E84" s="41">
        <f t="shared" si="68"/>
        <v>1520472</v>
      </c>
      <c r="F84" s="41">
        <f t="shared" si="61"/>
        <v>1520472</v>
      </c>
      <c r="G84" s="41">
        <v>1</v>
      </c>
      <c r="H84" s="41">
        <f t="shared" si="69"/>
        <v>4561416</v>
      </c>
      <c r="I84" s="53">
        <f t="shared" si="70"/>
        <v>0.75000000000000011</v>
      </c>
      <c r="J84" s="53">
        <v>0.3</v>
      </c>
      <c r="L84" s="11">
        <f t="shared" si="62"/>
        <v>19</v>
      </c>
      <c r="M84" s="11">
        <f t="shared" ref="M84:M89" si="77">M83+L83+3</f>
        <v>75</v>
      </c>
      <c r="N84" s="41">
        <f t="shared" si="71"/>
        <v>114035400</v>
      </c>
      <c r="O84" s="41">
        <f>N84*基本公式!$B$114</f>
        <v>74123010</v>
      </c>
      <c r="S84" s="34"/>
      <c r="U84" s="34"/>
      <c r="W84" s="34"/>
      <c r="X84" s="41">
        <f t="shared" si="63"/>
        <v>25943054</v>
      </c>
      <c r="Y84" s="34">
        <v>0.35</v>
      </c>
      <c r="AB84" s="41">
        <f t="shared" si="73"/>
        <v>11118452</v>
      </c>
      <c r="AC84" s="34">
        <v>0.15</v>
      </c>
      <c r="AD84" s="41">
        <f t="shared" si="74"/>
        <v>7412301</v>
      </c>
      <c r="AE84" s="34">
        <v>0.1</v>
      </c>
      <c r="AF84" s="41">
        <f t="shared" si="75"/>
        <v>3706151</v>
      </c>
      <c r="AG84" s="34">
        <v>0.05</v>
      </c>
      <c r="AH84" s="41">
        <f t="shared" si="76"/>
        <v>25943054</v>
      </c>
      <c r="AI84" s="34">
        <v>0.35</v>
      </c>
    </row>
    <row r="85" spans="1:35">
      <c r="C85" s="1">
        <v>0.03</v>
      </c>
      <c r="D85" s="41">
        <f>ROUND(建筑!G38*J85*(1+I85)*C85,0)</f>
        <v>76368</v>
      </c>
      <c r="E85" s="41">
        <f t="shared" si="68"/>
        <v>1832832</v>
      </c>
      <c r="F85" s="41">
        <f t="shared" si="61"/>
        <v>1832832</v>
      </c>
      <c r="G85" s="41">
        <v>1</v>
      </c>
      <c r="H85" s="41">
        <f t="shared" si="69"/>
        <v>5498496</v>
      </c>
      <c r="I85" s="53">
        <f t="shared" si="70"/>
        <v>0.80000000000000016</v>
      </c>
      <c r="J85" s="53">
        <v>0.3</v>
      </c>
      <c r="L85" s="11">
        <f t="shared" si="62"/>
        <v>22</v>
      </c>
      <c r="M85" s="11">
        <f t="shared" si="77"/>
        <v>97</v>
      </c>
      <c r="N85" s="41">
        <f t="shared" si="71"/>
        <v>177784704</v>
      </c>
      <c r="O85" s="41">
        <f>N85*基本公式!$B$114</f>
        <v>115560057.60000001</v>
      </c>
      <c r="S85" s="34"/>
      <c r="U85" s="34"/>
      <c r="W85" s="34"/>
      <c r="X85" s="41">
        <f t="shared" si="63"/>
        <v>40446020</v>
      </c>
      <c r="Y85" s="34">
        <v>0.35</v>
      </c>
      <c r="AB85" s="41">
        <f t="shared" si="73"/>
        <v>17334009</v>
      </c>
      <c r="AC85" s="34">
        <v>0.15</v>
      </c>
      <c r="AD85" s="41">
        <f t="shared" si="74"/>
        <v>11556006</v>
      </c>
      <c r="AE85" s="34">
        <v>0.1</v>
      </c>
      <c r="AF85" s="41">
        <f t="shared" si="75"/>
        <v>5778003</v>
      </c>
      <c r="AG85" s="34">
        <v>0.05</v>
      </c>
      <c r="AH85" s="41">
        <f t="shared" si="76"/>
        <v>40446020</v>
      </c>
      <c r="AI85" s="34">
        <v>0.35</v>
      </c>
    </row>
    <row r="86" spans="1:35">
      <c r="C86" s="1">
        <v>0.03</v>
      </c>
      <c r="D86" s="41">
        <f>ROUND(建筑!G39*J86*(1+I86)*C86,0)</f>
        <v>90851</v>
      </c>
      <c r="E86" s="41">
        <f t="shared" si="68"/>
        <v>2180424</v>
      </c>
      <c r="F86" s="41">
        <f t="shared" si="61"/>
        <v>2180424</v>
      </c>
      <c r="G86" s="41">
        <v>1</v>
      </c>
      <c r="H86" s="41">
        <f t="shared" si="69"/>
        <v>6541272</v>
      </c>
      <c r="I86" s="53">
        <f t="shared" si="70"/>
        <v>0.8500000000000002</v>
      </c>
      <c r="J86" s="53">
        <v>0.3</v>
      </c>
      <c r="L86" s="11">
        <f t="shared" si="62"/>
        <v>25</v>
      </c>
      <c r="M86" s="11">
        <f t="shared" si="77"/>
        <v>122</v>
      </c>
      <c r="N86" s="41">
        <f t="shared" si="71"/>
        <v>266011728</v>
      </c>
      <c r="O86" s="41">
        <f>N86*基本公式!$B$114</f>
        <v>172907623.20000002</v>
      </c>
      <c r="S86" s="34"/>
      <c r="U86" s="34"/>
      <c r="W86" s="34"/>
      <c r="X86" s="41">
        <f t="shared" si="63"/>
        <v>60517668</v>
      </c>
      <c r="Y86" s="34">
        <v>0.35</v>
      </c>
      <c r="AB86" s="41">
        <f t="shared" si="73"/>
        <v>25936143</v>
      </c>
      <c r="AC86" s="34">
        <v>0.15</v>
      </c>
      <c r="AD86" s="41">
        <f t="shared" si="74"/>
        <v>17290762</v>
      </c>
      <c r="AE86" s="34">
        <v>0.1</v>
      </c>
      <c r="AF86" s="41">
        <f t="shared" si="75"/>
        <v>8645381</v>
      </c>
      <c r="AG86" s="34">
        <v>0.05</v>
      </c>
      <c r="AH86" s="41">
        <f t="shared" si="76"/>
        <v>60517668</v>
      </c>
      <c r="AI86" s="34">
        <v>0.35</v>
      </c>
    </row>
    <row r="87" spans="1:35">
      <c r="C87" s="1">
        <v>0.03</v>
      </c>
      <c r="D87" s="41">
        <f>ROUND(建筑!G40*J87*(1+I87)*C87,0)</f>
        <v>107203</v>
      </c>
      <c r="E87" s="41">
        <f t="shared" si="68"/>
        <v>2572872</v>
      </c>
      <c r="F87" s="41">
        <f t="shared" si="61"/>
        <v>2572872</v>
      </c>
      <c r="G87" s="41">
        <v>1</v>
      </c>
      <c r="H87" s="41">
        <f t="shared" si="69"/>
        <v>7718616</v>
      </c>
      <c r="I87" s="53">
        <f t="shared" si="70"/>
        <v>0.90000000000000024</v>
      </c>
      <c r="J87" s="53">
        <v>0.3</v>
      </c>
      <c r="L87" s="11">
        <f t="shared" si="62"/>
        <v>28</v>
      </c>
      <c r="M87" s="11">
        <f t="shared" si="77"/>
        <v>150</v>
      </c>
      <c r="N87" s="41">
        <f t="shared" ref="N87:N89" si="78">M87*F87</f>
        <v>385930800</v>
      </c>
      <c r="O87" s="41">
        <f>N87*基本公式!$B$114</f>
        <v>250855020</v>
      </c>
      <c r="S87" s="34"/>
      <c r="U87" s="34"/>
      <c r="W87" s="34"/>
      <c r="X87" s="41">
        <f t="shared" si="63"/>
        <v>87799257</v>
      </c>
      <c r="Y87" s="34">
        <v>0.35</v>
      </c>
      <c r="AB87" s="41">
        <f t="shared" si="73"/>
        <v>37628253</v>
      </c>
      <c r="AC87" s="34">
        <v>0.15</v>
      </c>
      <c r="AD87" s="41">
        <f t="shared" si="74"/>
        <v>25085502</v>
      </c>
      <c r="AE87" s="34">
        <v>0.1</v>
      </c>
      <c r="AF87" s="41">
        <f t="shared" si="75"/>
        <v>12542751</v>
      </c>
      <c r="AG87" s="34">
        <v>0.05</v>
      </c>
      <c r="AH87" s="41">
        <f t="shared" si="76"/>
        <v>87799257</v>
      </c>
      <c r="AI87" s="34">
        <v>0.35</v>
      </c>
    </row>
    <row r="88" spans="1:35">
      <c r="A88" s="40" t="s">
        <v>135</v>
      </c>
      <c r="C88" s="1">
        <v>0.03</v>
      </c>
      <c r="D88" s="41">
        <f>ROUND(建筑!G41*J88*(1+I88)*C88,0)</f>
        <v>125084</v>
      </c>
      <c r="E88" s="41">
        <f t="shared" si="68"/>
        <v>3002016</v>
      </c>
      <c r="F88" s="41">
        <f t="shared" si="61"/>
        <v>3002016</v>
      </c>
      <c r="G88" s="41">
        <v>1</v>
      </c>
      <c r="H88" s="41">
        <f t="shared" si="69"/>
        <v>9006048</v>
      </c>
      <c r="I88" s="53">
        <f t="shared" si="70"/>
        <v>0.95000000000000029</v>
      </c>
      <c r="J88" s="53">
        <v>0.3</v>
      </c>
      <c r="L88" s="11">
        <f t="shared" si="62"/>
        <v>31</v>
      </c>
      <c r="M88" s="11">
        <f t="shared" si="77"/>
        <v>181</v>
      </c>
      <c r="N88" s="41">
        <f t="shared" si="78"/>
        <v>543364896</v>
      </c>
      <c r="O88" s="41">
        <f>N88*基本公式!$B$114</f>
        <v>353187182.40000004</v>
      </c>
      <c r="S88" s="34"/>
      <c r="U88" s="34"/>
      <c r="W88" s="34"/>
      <c r="X88" s="41">
        <f t="shared" si="63"/>
        <v>123615514</v>
      </c>
      <c r="Y88" s="34">
        <v>0.35</v>
      </c>
      <c r="AB88" s="41">
        <f t="shared" si="73"/>
        <v>52978077</v>
      </c>
      <c r="AC88" s="34">
        <v>0.15</v>
      </c>
      <c r="AD88" s="41">
        <f t="shared" si="74"/>
        <v>35318718</v>
      </c>
      <c r="AE88" s="34">
        <v>0.1</v>
      </c>
      <c r="AF88" s="41">
        <f t="shared" si="75"/>
        <v>17659359</v>
      </c>
      <c r="AG88" s="34">
        <v>0.05</v>
      </c>
      <c r="AH88" s="41">
        <f t="shared" si="76"/>
        <v>123615514</v>
      </c>
      <c r="AI88" s="34">
        <v>0.35</v>
      </c>
    </row>
    <row r="89" spans="1:35">
      <c r="C89" s="1">
        <v>0.03</v>
      </c>
      <c r="D89" s="41">
        <f>ROUND(建筑!G42*J89*(1+I89)*C89,0)</f>
        <v>150930</v>
      </c>
      <c r="E89" s="41">
        <f t="shared" si="68"/>
        <v>3622320</v>
      </c>
      <c r="F89" s="41">
        <f t="shared" si="61"/>
        <v>3622320</v>
      </c>
      <c r="G89" s="41">
        <v>1</v>
      </c>
      <c r="H89" s="41">
        <f t="shared" si="69"/>
        <v>10866960</v>
      </c>
      <c r="I89" s="53">
        <f t="shared" si="70"/>
        <v>1.0000000000000002</v>
      </c>
      <c r="J89" s="53">
        <v>0.3</v>
      </c>
      <c r="L89" s="11">
        <f t="shared" si="62"/>
        <v>34</v>
      </c>
      <c r="M89" s="11">
        <f t="shared" si="77"/>
        <v>215</v>
      </c>
      <c r="N89" s="41">
        <f t="shared" si="78"/>
        <v>778798800</v>
      </c>
      <c r="O89" s="41">
        <f>N89*基本公式!$B$114</f>
        <v>506219220</v>
      </c>
      <c r="S89" s="34"/>
      <c r="U89" s="34"/>
      <c r="W89" s="34"/>
      <c r="X89" s="41">
        <f t="shared" si="63"/>
        <v>177176727</v>
      </c>
      <c r="Y89" s="34">
        <v>0.35</v>
      </c>
      <c r="AB89" s="41">
        <f t="shared" si="73"/>
        <v>75932883</v>
      </c>
      <c r="AC89" s="34">
        <v>0.15</v>
      </c>
      <c r="AD89" s="41">
        <f t="shared" si="74"/>
        <v>50621922</v>
      </c>
      <c r="AE89" s="34">
        <v>0.1</v>
      </c>
      <c r="AF89" s="41">
        <f t="shared" si="75"/>
        <v>25310961</v>
      </c>
      <c r="AG89" s="34">
        <v>0.05</v>
      </c>
      <c r="AH89" s="41">
        <f t="shared" si="76"/>
        <v>177176727</v>
      </c>
      <c r="AI89" s="34">
        <v>0.35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7"/>
  <sheetViews>
    <sheetView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F15" sqref="F15"/>
    </sheetView>
  </sheetViews>
  <sheetFormatPr defaultRowHeight="13.5"/>
  <cols>
    <col min="3" max="3" width="13.625" style="61" customWidth="1"/>
    <col min="4" max="4" width="10.75" style="57" customWidth="1"/>
    <col min="5" max="5" width="13.625" style="61" customWidth="1"/>
    <col min="6" max="6" width="9" style="57"/>
    <col min="7" max="7" width="13.625" style="61" customWidth="1"/>
    <col min="8" max="8" width="9" style="57"/>
    <col min="9" max="9" width="13.625" style="59" customWidth="1"/>
    <col min="10" max="10" width="9" style="57"/>
  </cols>
  <sheetData>
    <row r="1" spans="1:14">
      <c r="A1" t="s">
        <v>159</v>
      </c>
      <c r="B1" t="s">
        <v>160</v>
      </c>
      <c r="C1" s="61" t="s">
        <v>164</v>
      </c>
      <c r="D1" s="57" t="s">
        <v>188</v>
      </c>
      <c r="E1" s="61" t="s">
        <v>182</v>
      </c>
      <c r="F1" s="57" t="s">
        <v>189</v>
      </c>
      <c r="G1" s="61" t="s">
        <v>181</v>
      </c>
      <c r="H1" s="57" t="s">
        <v>190</v>
      </c>
      <c r="I1" s="59" t="s">
        <v>163</v>
      </c>
      <c r="J1" s="57" t="s">
        <v>191</v>
      </c>
      <c r="K1" t="s">
        <v>166</v>
      </c>
      <c r="L1" t="s">
        <v>165</v>
      </c>
      <c r="M1" t="s">
        <v>161</v>
      </c>
      <c r="N1" t="s">
        <v>162</v>
      </c>
    </row>
    <row r="2" spans="1:14" s="47" customFormat="1">
      <c r="C2" s="61"/>
      <c r="D2" s="58">
        <f>D4+D25*基本公式!B150+D46*基本公式!B151+D67*基本公式!B152+D88+D109+D130+D151*基本公式!B153+D172+D193+D214+D235+D256+D277+D298</f>
        <v>1.0000000000000002</v>
      </c>
      <c r="E2" s="61"/>
      <c r="F2" s="58">
        <f>F4+F25*基本公式!B150+F46*基本公式!B151+F67*基本公式!B152+F88+F109+F130+F151*基本公式!B153+F172+F193+F214+F235+F256+F277+F298</f>
        <v>1.0000000000000002</v>
      </c>
      <c r="G2" s="61"/>
      <c r="H2" s="58">
        <f>H4+H25*基本公式!B150+H46*基本公式!B151+H67*基本公式!B152+H88+H109+H130+H151*基本公式!B153+H172+H193+H214+H235+H256+H277+H298</f>
        <v>1.0000000000000002</v>
      </c>
      <c r="I2" s="60"/>
      <c r="J2" s="58"/>
    </row>
    <row r="3" spans="1:14" s="47" customFormat="1">
      <c r="A3" s="47" t="s">
        <v>186</v>
      </c>
      <c r="C3" s="61"/>
      <c r="D3" s="58"/>
      <c r="E3" s="61"/>
      <c r="F3" s="58"/>
      <c r="G3" s="61"/>
      <c r="H3" s="58"/>
      <c r="I3" s="60"/>
      <c r="J3" s="58"/>
    </row>
    <row r="4" spans="1:14">
      <c r="B4">
        <v>1</v>
      </c>
      <c r="C4" s="61">
        <f>ROUND(产出与消耗!P4*D4,0)</f>
        <v>7</v>
      </c>
      <c r="D4" s="57">
        <v>0.25</v>
      </c>
      <c r="E4" s="61">
        <f>ROUND(产出与消耗!P26*F4,0)</f>
        <v>10</v>
      </c>
      <c r="F4" s="57">
        <v>0.25</v>
      </c>
      <c r="G4" s="61">
        <f>ROUND(产出与消耗!P48*H4,0)</f>
        <v>6</v>
      </c>
      <c r="H4" s="57">
        <v>0.25</v>
      </c>
    </row>
    <row r="5" spans="1:14">
      <c r="B5">
        <v>2</v>
      </c>
      <c r="C5" s="61">
        <f>ROUND(产出与消耗!P5*D5,0)</f>
        <v>78</v>
      </c>
      <c r="D5" s="57">
        <v>0.25</v>
      </c>
      <c r="E5" s="61">
        <f>ROUND(产出与消耗!P27*F5,0)</f>
        <v>104</v>
      </c>
      <c r="F5" s="57">
        <v>0.25</v>
      </c>
      <c r="G5" s="61">
        <f>ROUND(产出与消耗!P49*H5,0)</f>
        <v>65</v>
      </c>
      <c r="H5" s="57">
        <v>0.25</v>
      </c>
    </row>
    <row r="6" spans="1:14">
      <c r="B6">
        <v>3</v>
      </c>
      <c r="C6" s="61">
        <f>ROUND(产出与消耗!P6*D6,0)</f>
        <v>506</v>
      </c>
      <c r="D6" s="57">
        <v>0.25</v>
      </c>
      <c r="E6" s="61">
        <f>ROUND(产出与消耗!P28*F6,0)</f>
        <v>674</v>
      </c>
      <c r="F6" s="57">
        <v>0.25</v>
      </c>
      <c r="G6" s="61">
        <f>ROUND(产出与消耗!P50*H6,0)</f>
        <v>421</v>
      </c>
      <c r="H6" s="57">
        <v>0.25</v>
      </c>
    </row>
    <row r="7" spans="1:14">
      <c r="B7">
        <v>4</v>
      </c>
      <c r="C7" s="61">
        <f>ROUND(产出与消耗!P7*D7,0)</f>
        <v>2041</v>
      </c>
      <c r="D7" s="57">
        <v>0.25</v>
      </c>
      <c r="E7" s="61">
        <f>ROUND(产出与消耗!P29*F7,0)</f>
        <v>2722</v>
      </c>
      <c r="F7" s="57">
        <v>0.25</v>
      </c>
      <c r="G7" s="61">
        <f>ROUND(产出与消耗!P51*H7,0)</f>
        <v>1701</v>
      </c>
      <c r="H7" s="57">
        <v>0.25</v>
      </c>
    </row>
    <row r="8" spans="1:14">
      <c r="B8">
        <v>5</v>
      </c>
      <c r="C8" s="61">
        <f>ROUND(产出与消耗!P8*D8,0)</f>
        <v>6610</v>
      </c>
      <c r="D8" s="57">
        <v>0.25</v>
      </c>
      <c r="E8" s="61">
        <f>ROUND(产出与消耗!P30*F8,0)</f>
        <v>8813</v>
      </c>
      <c r="F8" s="57">
        <v>0.25</v>
      </c>
      <c r="G8" s="61">
        <f>ROUND(产出与消耗!P52*H8,0)</f>
        <v>5508</v>
      </c>
      <c r="H8" s="57">
        <v>0.25</v>
      </c>
    </row>
    <row r="9" spans="1:14">
      <c r="B9">
        <v>6</v>
      </c>
      <c r="C9" s="61">
        <f>ROUND(产出与消耗!P9*D9,0)</f>
        <v>18870</v>
      </c>
      <c r="D9" s="57">
        <v>0.25</v>
      </c>
      <c r="E9" s="61">
        <f>ROUND(产出与消耗!P31*F9,0)</f>
        <v>25160</v>
      </c>
      <c r="F9" s="57">
        <v>0.25</v>
      </c>
      <c r="G9" s="61">
        <f>ROUND(产出与消耗!P53*H9,0)</f>
        <v>15725</v>
      </c>
      <c r="H9" s="57">
        <v>0.25</v>
      </c>
    </row>
    <row r="10" spans="1:14">
      <c r="B10">
        <v>7</v>
      </c>
      <c r="C10" s="61">
        <f>ROUND(产出与消耗!P10*D10,0)</f>
        <v>53207</v>
      </c>
      <c r="D10" s="57">
        <v>0.25</v>
      </c>
      <c r="E10" s="61">
        <f>ROUND(产出与消耗!P32*F10,0)</f>
        <v>70943</v>
      </c>
      <c r="F10" s="57">
        <v>0.25</v>
      </c>
      <c r="G10" s="61">
        <f>ROUND(产出与消耗!P54*H10,0)</f>
        <v>44340</v>
      </c>
      <c r="H10" s="57">
        <v>0.25</v>
      </c>
    </row>
    <row r="11" spans="1:14">
      <c r="B11">
        <v>8</v>
      </c>
      <c r="C11" s="61">
        <f>ROUND(产出与消耗!P11*D11,0)</f>
        <v>170528</v>
      </c>
      <c r="D11" s="57">
        <v>0.25</v>
      </c>
      <c r="E11" s="61">
        <f>ROUND(产出与消耗!P33*F11,0)</f>
        <v>227370</v>
      </c>
      <c r="F11" s="57">
        <v>0.25</v>
      </c>
      <c r="G11" s="61">
        <f>ROUND(产出与消耗!P55*H11,0)</f>
        <v>142107</v>
      </c>
      <c r="H11" s="57">
        <v>0.25</v>
      </c>
    </row>
    <row r="12" spans="1:14">
      <c r="B12">
        <v>9</v>
      </c>
      <c r="C12" s="61">
        <f>ROUND(产出与消耗!P12*D12,0)</f>
        <v>405065</v>
      </c>
      <c r="D12" s="57">
        <v>0.25</v>
      </c>
      <c r="E12" s="61">
        <f>ROUND(产出与消耗!P34*F12,0)</f>
        <v>540087</v>
      </c>
      <c r="F12" s="57">
        <v>0.25</v>
      </c>
      <c r="G12" s="61">
        <f>ROUND(产出与消耗!P56*H12,0)</f>
        <v>337554</v>
      </c>
      <c r="H12" s="57">
        <v>0.25</v>
      </c>
    </row>
    <row r="13" spans="1:14">
      <c r="B13">
        <v>10</v>
      </c>
      <c r="C13" s="61">
        <f>ROUND(产出与消耗!P13*D13,0)</f>
        <v>969408</v>
      </c>
      <c r="D13" s="57">
        <v>0.25</v>
      </c>
      <c r="E13" s="61">
        <f>ROUND(产出与消耗!P35*F13,0)</f>
        <v>1292544</v>
      </c>
      <c r="F13" s="57">
        <v>0.25</v>
      </c>
      <c r="G13" s="61">
        <f>ROUND(产出与消耗!P57*H13,0)</f>
        <v>807840</v>
      </c>
      <c r="H13" s="57">
        <v>0.25</v>
      </c>
    </row>
    <row r="14" spans="1:14">
      <c r="B14">
        <v>11</v>
      </c>
      <c r="C14" s="61">
        <f>ROUND(产出与消耗!P14*D14,0)</f>
        <v>1984047</v>
      </c>
      <c r="D14" s="57">
        <v>0.25</v>
      </c>
      <c r="E14" s="61">
        <f>ROUND(产出与消耗!P36*F14,0)</f>
        <v>2645395</v>
      </c>
      <c r="F14" s="57">
        <v>0.25</v>
      </c>
      <c r="G14" s="61">
        <f>ROUND(产出与消耗!P58*H14,0)</f>
        <v>1653372</v>
      </c>
      <c r="H14" s="57">
        <v>0.25</v>
      </c>
    </row>
    <row r="15" spans="1:14">
      <c r="B15">
        <v>12</v>
      </c>
      <c r="C15" s="61">
        <f>ROUND(产出与消耗!P15*D15,0)</f>
        <v>4426488</v>
      </c>
      <c r="D15" s="57">
        <v>0.25</v>
      </c>
      <c r="E15" s="61">
        <f>ROUND(产出与消耗!P37*F15,0)</f>
        <v>5901984</v>
      </c>
      <c r="F15" s="57">
        <v>0.25</v>
      </c>
      <c r="G15" s="61">
        <f>ROUND(产出与消耗!P59*H15,0)</f>
        <v>3688740</v>
      </c>
      <c r="H15" s="57">
        <v>0.25</v>
      </c>
    </row>
    <row r="16" spans="1:14">
      <c r="B16">
        <v>13</v>
      </c>
      <c r="C16" s="61">
        <f>ROUND(产出与消耗!P16*D16,0)</f>
        <v>8584704</v>
      </c>
      <c r="D16" s="57">
        <v>0.25</v>
      </c>
      <c r="E16" s="61">
        <f>ROUND(产出与消耗!P38*F16,0)</f>
        <v>11446272</v>
      </c>
      <c r="F16" s="57">
        <v>0.25</v>
      </c>
      <c r="G16" s="61">
        <f>ROUND(产出与消耗!P60*H16,0)</f>
        <v>7153920</v>
      </c>
      <c r="H16" s="57">
        <v>0.25</v>
      </c>
    </row>
    <row r="17" spans="1:29">
      <c r="B17">
        <v>14</v>
      </c>
      <c r="C17" s="61">
        <f>ROUND(产出与消耗!P17*D17,0)</f>
        <v>14805504</v>
      </c>
      <c r="D17" s="57">
        <v>0.25</v>
      </c>
      <c r="E17" s="61">
        <f>ROUND(产出与消耗!P39*F17,0)</f>
        <v>19740672</v>
      </c>
      <c r="F17" s="57">
        <v>0.25</v>
      </c>
      <c r="G17" s="61">
        <f>ROUND(产出与消耗!P61*H17,0)</f>
        <v>12337920</v>
      </c>
      <c r="H17" s="57">
        <v>0.25</v>
      </c>
    </row>
    <row r="18" spans="1:29">
      <c r="B18">
        <v>15</v>
      </c>
      <c r="C18" s="61">
        <f>ROUND(产出与消耗!P18*D18,0)</f>
        <v>24300000</v>
      </c>
      <c r="D18" s="57">
        <v>0.25</v>
      </c>
      <c r="E18" s="61">
        <f>ROUND(产出与消耗!P40*F18,0)</f>
        <v>32400000</v>
      </c>
      <c r="F18" s="57">
        <v>0.25</v>
      </c>
      <c r="G18" s="61">
        <f>ROUND(产出与消耗!P62*H18,0)</f>
        <v>20250000</v>
      </c>
      <c r="H18" s="57">
        <v>0.25</v>
      </c>
    </row>
    <row r="19" spans="1:29">
      <c r="B19">
        <v>16</v>
      </c>
      <c r="C19" s="61">
        <f>ROUND(产出与消耗!P19*D19,0)</f>
        <v>37587888</v>
      </c>
      <c r="D19" s="57">
        <v>0.25</v>
      </c>
      <c r="E19" s="61">
        <f>ROUND(产出与消耗!P41*F19,0)</f>
        <v>50117184</v>
      </c>
      <c r="F19" s="57">
        <v>0.25</v>
      </c>
      <c r="G19" s="61">
        <f>ROUND(产出与消耗!P63*H19,0)</f>
        <v>31323240</v>
      </c>
      <c r="H19" s="57">
        <v>0.25</v>
      </c>
    </row>
    <row r="20" spans="1:29">
      <c r="B20">
        <v>17</v>
      </c>
      <c r="C20" s="61">
        <f>ROUND(产出与消耗!P20*D20,0)</f>
        <v>56137666</v>
      </c>
      <c r="D20" s="57">
        <v>0.25</v>
      </c>
      <c r="E20" s="61">
        <f>ROUND(产出与消耗!P42*F20,0)</f>
        <v>74850221</v>
      </c>
      <c r="F20" s="57">
        <v>0.25</v>
      </c>
      <c r="G20" s="61">
        <f>ROUND(产出与消耗!P64*H20,0)</f>
        <v>46781388</v>
      </c>
      <c r="H20" s="57">
        <v>0.25</v>
      </c>
    </row>
    <row r="21" spans="1:29">
      <c r="B21">
        <v>18</v>
      </c>
      <c r="C21" s="61">
        <f>ROUND(产出与消耗!P21*D21,0)</f>
        <v>81648000</v>
      </c>
      <c r="D21" s="57">
        <v>0.25</v>
      </c>
      <c r="E21" s="61">
        <f>ROUND(产出与消耗!P43*F21,0)</f>
        <v>108864000</v>
      </c>
      <c r="F21" s="57">
        <v>0.25</v>
      </c>
      <c r="G21" s="61">
        <f>ROUND(产出与消耗!P65*H21,0)</f>
        <v>68040000</v>
      </c>
      <c r="H21" s="57">
        <v>0.25</v>
      </c>
    </row>
    <row r="22" spans="1:29">
      <c r="B22">
        <v>19</v>
      </c>
      <c r="C22" s="61">
        <f>ROUND(产出与消耗!P22*D22,0)</f>
        <v>115645968</v>
      </c>
      <c r="D22" s="57">
        <v>0.25</v>
      </c>
      <c r="E22" s="61">
        <f>ROUND(产出与消耗!P44*F22,0)</f>
        <v>154194624</v>
      </c>
      <c r="F22" s="57">
        <v>0.25</v>
      </c>
      <c r="G22" s="61">
        <f>ROUND(产出与消耗!P66*H22,0)</f>
        <v>96371640</v>
      </c>
      <c r="H22" s="57">
        <v>0.25</v>
      </c>
    </row>
    <row r="23" spans="1:29">
      <c r="B23">
        <v>20</v>
      </c>
      <c r="C23" s="61">
        <f>ROUND(产出与消耗!P23*D23,0)</f>
        <v>167184000</v>
      </c>
      <c r="D23" s="57">
        <v>0.25</v>
      </c>
      <c r="E23" s="61">
        <f>ROUND(产出与消耗!P45*F23,0)</f>
        <v>222912000</v>
      </c>
      <c r="F23" s="57">
        <v>0.25</v>
      </c>
      <c r="G23" s="61">
        <f>ROUND(产出与消耗!P67*H23,0)</f>
        <v>139320000</v>
      </c>
      <c r="H23" s="57">
        <v>0.25</v>
      </c>
    </row>
    <row r="24" spans="1:29" s="48" customFormat="1">
      <c r="A24" s="47" t="s">
        <v>156</v>
      </c>
      <c r="B24" s="56"/>
      <c r="C24" s="62"/>
      <c r="D24" s="58"/>
      <c r="E24" s="62"/>
      <c r="F24" s="58"/>
      <c r="G24" s="62"/>
      <c r="H24" s="58"/>
      <c r="I24" s="51"/>
      <c r="J24" s="58"/>
      <c r="K24" s="49"/>
      <c r="L24" s="49"/>
      <c r="M24" s="55"/>
      <c r="N24" s="49"/>
      <c r="R24" s="50"/>
      <c r="S24" s="51"/>
      <c r="T24" s="52"/>
      <c r="U24" s="51"/>
      <c r="W24" s="51"/>
      <c r="Y24" s="51"/>
      <c r="AA24" s="49"/>
      <c r="AC24" s="49"/>
    </row>
    <row r="25" spans="1:29">
      <c r="B25">
        <v>1</v>
      </c>
      <c r="C25" s="61">
        <f>MAX(ROUND(产出与消耗!P4*D25,0),1)</f>
        <v>1</v>
      </c>
      <c r="D25" s="57">
        <v>0.01</v>
      </c>
      <c r="E25" s="61">
        <f>ROUND(产出与消耗!P26*F25,0)</f>
        <v>1</v>
      </c>
      <c r="F25" s="57">
        <v>0.03</v>
      </c>
      <c r="G25" s="61">
        <f>ROUND(产出与消耗!P48*H25,0)</f>
        <v>0</v>
      </c>
      <c r="H25" s="57">
        <v>0.02</v>
      </c>
    </row>
    <row r="26" spans="1:29">
      <c r="B26">
        <v>2</v>
      </c>
      <c r="C26" s="61">
        <f>ROUND(产出与消耗!P5*D26,0)</f>
        <v>3</v>
      </c>
      <c r="D26" s="57">
        <v>0.01</v>
      </c>
      <c r="E26" s="61">
        <f>ROUND(产出与消耗!P27*F26,0)</f>
        <v>12</v>
      </c>
      <c r="F26" s="57">
        <v>0.03</v>
      </c>
      <c r="G26" s="61">
        <f>ROUND(产出与消耗!P49*H26,0)</f>
        <v>5</v>
      </c>
      <c r="H26" s="57">
        <v>0.02</v>
      </c>
    </row>
    <row r="27" spans="1:29">
      <c r="B27">
        <v>3</v>
      </c>
      <c r="C27" s="61">
        <f>ROUND(产出与消耗!P6*D27,0)</f>
        <v>20</v>
      </c>
      <c r="D27" s="57">
        <v>0.01</v>
      </c>
      <c r="E27" s="61">
        <f>ROUND(产出与消耗!P28*F27,0)</f>
        <v>81</v>
      </c>
      <c r="F27" s="57">
        <v>0.03</v>
      </c>
      <c r="G27" s="61">
        <f>ROUND(产出与消耗!P50*H27,0)</f>
        <v>34</v>
      </c>
      <c r="H27" s="57">
        <v>0.02</v>
      </c>
    </row>
    <row r="28" spans="1:29">
      <c r="B28">
        <v>4</v>
      </c>
      <c r="C28" s="61">
        <f>ROUND(产出与消耗!P7*D28,0)</f>
        <v>82</v>
      </c>
      <c r="D28" s="57">
        <v>0.01</v>
      </c>
      <c r="E28" s="61">
        <f>ROUND(产出与消耗!P29*F28,0)</f>
        <v>327</v>
      </c>
      <c r="F28" s="57">
        <v>0.03</v>
      </c>
      <c r="G28" s="61">
        <f>ROUND(产出与消耗!P51*H28,0)</f>
        <v>136</v>
      </c>
      <c r="H28" s="57">
        <v>0.02</v>
      </c>
    </row>
    <row r="29" spans="1:29">
      <c r="B29">
        <v>5</v>
      </c>
      <c r="C29" s="61">
        <f>ROUND(产出与消耗!P8*D29,0)</f>
        <v>264</v>
      </c>
      <c r="D29" s="57">
        <v>0.01</v>
      </c>
      <c r="E29" s="61">
        <f>ROUND(产出与消耗!P30*F29,0)</f>
        <v>1058</v>
      </c>
      <c r="F29" s="57">
        <v>0.03</v>
      </c>
      <c r="G29" s="61">
        <f>ROUND(产出与消耗!P52*H29,0)</f>
        <v>441</v>
      </c>
      <c r="H29" s="57">
        <v>0.02</v>
      </c>
    </row>
    <row r="30" spans="1:29">
      <c r="B30">
        <v>6</v>
      </c>
      <c r="C30" s="61">
        <f>ROUND(产出与消耗!P9*D30,0)</f>
        <v>755</v>
      </c>
      <c r="D30" s="57">
        <v>0.01</v>
      </c>
      <c r="E30" s="61">
        <f>ROUND(产出与消耗!P31*F30,0)</f>
        <v>3019</v>
      </c>
      <c r="F30" s="57">
        <v>0.03</v>
      </c>
      <c r="G30" s="61">
        <f>ROUND(产出与消耗!P53*H30,0)</f>
        <v>1258</v>
      </c>
      <c r="H30" s="57">
        <v>0.02</v>
      </c>
    </row>
    <row r="31" spans="1:29">
      <c r="B31">
        <v>7</v>
      </c>
      <c r="C31" s="61">
        <f>ROUND(产出与消耗!P10*D31,0)</f>
        <v>2128</v>
      </c>
      <c r="D31" s="57">
        <v>0.01</v>
      </c>
      <c r="E31" s="61">
        <f>ROUND(产出与消耗!P32*F31,0)</f>
        <v>8513</v>
      </c>
      <c r="F31" s="57">
        <v>0.03</v>
      </c>
      <c r="G31" s="61">
        <f>ROUND(产出与消耗!P54*H31,0)</f>
        <v>3547</v>
      </c>
      <c r="H31" s="57">
        <v>0.02</v>
      </c>
    </row>
    <row r="32" spans="1:29">
      <c r="B32">
        <v>8</v>
      </c>
      <c r="C32" s="61">
        <f>ROUND(产出与消耗!P11*D32,0)</f>
        <v>6821</v>
      </c>
      <c r="D32" s="57">
        <v>0.01</v>
      </c>
      <c r="E32" s="61">
        <f>ROUND(产出与消耗!P33*F32,0)</f>
        <v>27284</v>
      </c>
      <c r="F32" s="57">
        <v>0.03</v>
      </c>
      <c r="G32" s="61">
        <f>ROUND(产出与消耗!P55*H32,0)</f>
        <v>11369</v>
      </c>
      <c r="H32" s="57">
        <v>0.02</v>
      </c>
    </row>
    <row r="33" spans="1:29">
      <c r="B33">
        <v>9</v>
      </c>
      <c r="C33" s="61">
        <f>ROUND(产出与消耗!P12*D33,0)</f>
        <v>16203</v>
      </c>
      <c r="D33" s="57">
        <v>0.01</v>
      </c>
      <c r="E33" s="61">
        <f>ROUND(产出与消耗!P34*F33,0)</f>
        <v>64810</v>
      </c>
      <c r="F33" s="57">
        <v>0.03</v>
      </c>
      <c r="G33" s="61">
        <f>ROUND(产出与消耗!P56*H33,0)</f>
        <v>27004</v>
      </c>
      <c r="H33" s="57">
        <v>0.02</v>
      </c>
    </row>
    <row r="34" spans="1:29">
      <c r="B34">
        <v>10</v>
      </c>
      <c r="C34" s="61">
        <f>ROUND(产出与消耗!P13*D34,0)</f>
        <v>38776</v>
      </c>
      <c r="D34" s="57">
        <v>0.01</v>
      </c>
      <c r="E34" s="61">
        <f>ROUND(产出与消耗!P35*F34,0)</f>
        <v>155105</v>
      </c>
      <c r="F34" s="57">
        <v>0.03</v>
      </c>
      <c r="G34" s="61">
        <f>ROUND(产出与消耗!P57*H34,0)</f>
        <v>64627</v>
      </c>
      <c r="H34" s="57">
        <v>0.02</v>
      </c>
    </row>
    <row r="35" spans="1:29">
      <c r="B35">
        <v>11</v>
      </c>
      <c r="C35" s="61">
        <f>ROUND(产出与消耗!P14*D35,0)</f>
        <v>79362</v>
      </c>
      <c r="D35" s="57">
        <v>0.01</v>
      </c>
      <c r="E35" s="61">
        <f>ROUND(产出与消耗!P36*F35,0)</f>
        <v>317447</v>
      </c>
      <c r="F35" s="57">
        <v>0.03</v>
      </c>
      <c r="G35" s="61">
        <f>ROUND(产出与消耗!P58*H35,0)</f>
        <v>132270</v>
      </c>
      <c r="H35" s="57">
        <v>0.02</v>
      </c>
    </row>
    <row r="36" spans="1:29">
      <c r="B36">
        <v>12</v>
      </c>
      <c r="C36" s="61">
        <f>ROUND(产出与消耗!P15*D36,0)</f>
        <v>177060</v>
      </c>
      <c r="D36" s="57">
        <v>0.01</v>
      </c>
      <c r="E36" s="61">
        <f>ROUND(产出与消耗!P37*F36,0)</f>
        <v>708238</v>
      </c>
      <c r="F36" s="57">
        <v>0.03</v>
      </c>
      <c r="G36" s="61">
        <f>ROUND(产出与消耗!P59*H36,0)</f>
        <v>295099</v>
      </c>
      <c r="H36" s="57">
        <v>0.02</v>
      </c>
    </row>
    <row r="37" spans="1:29">
      <c r="B37">
        <v>13</v>
      </c>
      <c r="C37" s="61">
        <f>ROUND(产出与消耗!P16*D37,0)</f>
        <v>343388</v>
      </c>
      <c r="D37" s="57">
        <v>0.01</v>
      </c>
      <c r="E37" s="61">
        <f>ROUND(产出与消耗!P38*F37,0)</f>
        <v>1373553</v>
      </c>
      <c r="F37" s="57">
        <v>0.03</v>
      </c>
      <c r="G37" s="61">
        <f>ROUND(产出与消耗!P60*H37,0)</f>
        <v>572314</v>
      </c>
      <c r="H37" s="57">
        <v>0.02</v>
      </c>
    </row>
    <row r="38" spans="1:29">
      <c r="B38">
        <v>14</v>
      </c>
      <c r="C38" s="61">
        <f>ROUND(产出与消耗!P17*D38,0)</f>
        <v>592220</v>
      </c>
      <c r="D38" s="57">
        <v>0.01</v>
      </c>
      <c r="E38" s="61">
        <f>ROUND(产出与消耗!P39*F38,0)</f>
        <v>2368881</v>
      </c>
      <c r="F38" s="57">
        <v>0.03</v>
      </c>
      <c r="G38" s="61">
        <f>ROUND(产出与消耗!P61*H38,0)</f>
        <v>987034</v>
      </c>
      <c r="H38" s="57">
        <v>0.02</v>
      </c>
    </row>
    <row r="39" spans="1:29">
      <c r="B39">
        <v>15</v>
      </c>
      <c r="C39" s="61">
        <f>ROUND(产出与消耗!P18*D39,0)</f>
        <v>972000</v>
      </c>
      <c r="D39" s="57">
        <v>0.01</v>
      </c>
      <c r="E39" s="61">
        <f>ROUND(产出与消耗!P40*F39,0)</f>
        <v>3888000</v>
      </c>
      <c r="F39" s="57">
        <v>0.03</v>
      </c>
      <c r="G39" s="61">
        <f>ROUND(产出与消耗!P62*H39,0)</f>
        <v>1620000</v>
      </c>
      <c r="H39" s="57">
        <v>0.02</v>
      </c>
    </row>
    <row r="40" spans="1:29">
      <c r="B40">
        <v>16</v>
      </c>
      <c r="C40" s="61">
        <f>ROUND(产出与消耗!P19*D40,0)</f>
        <v>1503516</v>
      </c>
      <c r="D40" s="57">
        <v>0.01</v>
      </c>
      <c r="E40" s="61">
        <f>ROUND(产出与消耗!P41*F40,0)</f>
        <v>6014062</v>
      </c>
      <c r="F40" s="57">
        <v>0.03</v>
      </c>
      <c r="G40" s="61">
        <f>ROUND(产出与消耗!P63*H40,0)</f>
        <v>2505859</v>
      </c>
      <c r="H40" s="57">
        <v>0.02</v>
      </c>
    </row>
    <row r="41" spans="1:29">
      <c r="B41">
        <v>17</v>
      </c>
      <c r="C41" s="61">
        <f>ROUND(产出与消耗!P20*D41,0)</f>
        <v>2245507</v>
      </c>
      <c r="D41" s="57">
        <v>0.01</v>
      </c>
      <c r="E41" s="61">
        <f>ROUND(产出与消耗!P42*F41,0)</f>
        <v>8982026</v>
      </c>
      <c r="F41" s="57">
        <v>0.03</v>
      </c>
      <c r="G41" s="61">
        <f>ROUND(产出与消耗!P64*H41,0)</f>
        <v>3742511</v>
      </c>
      <c r="H41" s="57">
        <v>0.02</v>
      </c>
    </row>
    <row r="42" spans="1:29">
      <c r="B42">
        <v>18</v>
      </c>
      <c r="C42" s="61">
        <f>ROUND(产出与消耗!P21*D42,0)</f>
        <v>3265920</v>
      </c>
      <c r="D42" s="57">
        <v>0.01</v>
      </c>
      <c r="E42" s="61">
        <f>ROUND(产出与消耗!P43*F42,0)</f>
        <v>13063680</v>
      </c>
      <c r="F42" s="57">
        <v>0.03</v>
      </c>
      <c r="G42" s="61">
        <f>ROUND(产出与消耗!P65*H42,0)</f>
        <v>5443200</v>
      </c>
      <c r="H42" s="57">
        <v>0.02</v>
      </c>
    </row>
    <row r="43" spans="1:29">
      <c r="B43">
        <v>19</v>
      </c>
      <c r="C43" s="61">
        <f>ROUND(产出与消耗!P22*D43,0)</f>
        <v>4625839</v>
      </c>
      <c r="D43" s="57">
        <v>0.01</v>
      </c>
      <c r="E43" s="61">
        <f>ROUND(产出与消耗!P44*F43,0)</f>
        <v>18503355</v>
      </c>
      <c r="F43" s="57">
        <v>0.03</v>
      </c>
      <c r="G43" s="61">
        <f>ROUND(产出与消耗!P66*H43,0)</f>
        <v>7709731</v>
      </c>
      <c r="H43" s="57">
        <v>0.02</v>
      </c>
    </row>
    <row r="44" spans="1:29">
      <c r="B44">
        <v>20</v>
      </c>
      <c r="C44" s="61">
        <f>ROUND(产出与消耗!P23*D44,0)</f>
        <v>6687360</v>
      </c>
      <c r="D44" s="57">
        <v>0.01</v>
      </c>
      <c r="E44" s="61">
        <f>ROUND(产出与消耗!P45*F44,0)</f>
        <v>26749440</v>
      </c>
      <c r="F44" s="57">
        <v>0.03</v>
      </c>
      <c r="G44" s="61">
        <f>ROUND(产出与消耗!P67*H44,0)</f>
        <v>11145600</v>
      </c>
      <c r="H44" s="57">
        <v>0.02</v>
      </c>
    </row>
    <row r="45" spans="1:29" s="48" customFormat="1">
      <c r="A45" s="47" t="s">
        <v>456</v>
      </c>
      <c r="B45" s="56"/>
      <c r="C45" s="62"/>
      <c r="D45" s="58"/>
      <c r="E45" s="62"/>
      <c r="F45" s="58"/>
      <c r="G45" s="62"/>
      <c r="H45" s="58"/>
      <c r="I45" s="51"/>
      <c r="J45" s="58"/>
      <c r="K45" s="49"/>
      <c r="L45" s="49"/>
      <c r="M45" s="55"/>
      <c r="N45" s="49"/>
      <c r="R45" s="50"/>
      <c r="S45" s="51"/>
      <c r="T45" s="52"/>
      <c r="U45" s="51"/>
      <c r="W45" s="51"/>
      <c r="Y45" s="51"/>
      <c r="AA45" s="49"/>
      <c r="AC45" s="49"/>
    </row>
    <row r="46" spans="1:29">
      <c r="B46">
        <v>1</v>
      </c>
      <c r="C46" s="61">
        <f>ROUND(产出与消耗!P4*D46,0)</f>
        <v>1</v>
      </c>
      <c r="D46" s="57">
        <v>0.02</v>
      </c>
      <c r="E46" s="61">
        <f>MAX(ROUND(产出与消耗!P26*F46,0),1)</f>
        <v>1</v>
      </c>
      <c r="F46" s="57">
        <v>0.01</v>
      </c>
      <c r="G46" s="61">
        <f>ROUND(产出与消耗!P48*H46,0)</f>
        <v>1</v>
      </c>
      <c r="H46" s="57">
        <v>2.5000000000000001E-2</v>
      </c>
    </row>
    <row r="47" spans="1:29">
      <c r="B47">
        <v>2</v>
      </c>
      <c r="C47" s="61">
        <f>ROUND(产出与消耗!P5*D47,0)</f>
        <v>6</v>
      </c>
      <c r="D47" s="57">
        <v>0.02</v>
      </c>
      <c r="E47" s="61">
        <f>ROUND(产出与消耗!P27*F47,0)</f>
        <v>4</v>
      </c>
      <c r="F47" s="57">
        <v>0.01</v>
      </c>
      <c r="G47" s="61">
        <f>ROUND(产出与消耗!P49*H47,0)</f>
        <v>6</v>
      </c>
      <c r="H47" s="57">
        <v>2.5000000000000001E-2</v>
      </c>
    </row>
    <row r="48" spans="1:29">
      <c r="B48">
        <v>3</v>
      </c>
      <c r="C48" s="61">
        <f>ROUND(产出与消耗!P6*D48,0)</f>
        <v>40</v>
      </c>
      <c r="D48" s="57">
        <v>0.02</v>
      </c>
      <c r="E48" s="61">
        <f>ROUND(产出与消耗!P28*F48,0)</f>
        <v>27</v>
      </c>
      <c r="F48" s="57">
        <v>0.01</v>
      </c>
      <c r="G48" s="61">
        <f>ROUND(产出与消耗!P50*H48,0)</f>
        <v>42</v>
      </c>
      <c r="H48" s="57">
        <v>2.5000000000000001E-2</v>
      </c>
    </row>
    <row r="49" spans="2:8">
      <c r="B49">
        <v>4</v>
      </c>
      <c r="C49" s="61">
        <f>ROUND(产出与消耗!P7*D49,0)</f>
        <v>163</v>
      </c>
      <c r="D49" s="57">
        <v>0.02</v>
      </c>
      <c r="E49" s="61">
        <f>ROUND(产出与消耗!P29*F49,0)</f>
        <v>109</v>
      </c>
      <c r="F49" s="57">
        <v>0.01</v>
      </c>
      <c r="G49" s="61">
        <f>ROUND(产出与消耗!P51*H49,0)</f>
        <v>170</v>
      </c>
      <c r="H49" s="57">
        <v>2.5000000000000001E-2</v>
      </c>
    </row>
    <row r="50" spans="2:8">
      <c r="B50">
        <v>5</v>
      </c>
      <c r="C50" s="61">
        <f>ROUND(产出与消耗!P8*D50,0)</f>
        <v>529</v>
      </c>
      <c r="D50" s="57">
        <v>0.02</v>
      </c>
      <c r="E50" s="61">
        <f>ROUND(产出与消耗!P30*F50,0)</f>
        <v>353</v>
      </c>
      <c r="F50" s="57">
        <v>0.01</v>
      </c>
      <c r="G50" s="61">
        <f>ROUND(产出与消耗!P52*H50,0)</f>
        <v>551</v>
      </c>
      <c r="H50" s="57">
        <v>2.5000000000000001E-2</v>
      </c>
    </row>
    <row r="51" spans="2:8">
      <c r="B51">
        <v>6</v>
      </c>
      <c r="C51" s="61">
        <f>ROUND(产出与消耗!P9*D51,0)</f>
        <v>1510</v>
      </c>
      <c r="D51" s="57">
        <v>0.02</v>
      </c>
      <c r="E51" s="61">
        <f>ROUND(产出与消耗!P31*F51,0)</f>
        <v>1006</v>
      </c>
      <c r="F51" s="57">
        <v>0.01</v>
      </c>
      <c r="G51" s="61">
        <f>ROUND(产出与消耗!P53*H51,0)</f>
        <v>1572</v>
      </c>
      <c r="H51" s="57">
        <v>2.5000000000000001E-2</v>
      </c>
    </row>
    <row r="52" spans="2:8">
      <c r="B52">
        <v>7</v>
      </c>
      <c r="C52" s="61">
        <f>ROUND(产出与消耗!P10*D52,0)</f>
        <v>4257</v>
      </c>
      <c r="D52" s="57">
        <v>0.02</v>
      </c>
      <c r="E52" s="61">
        <f>ROUND(产出与消耗!P32*F52,0)</f>
        <v>2838</v>
      </c>
      <c r="F52" s="57">
        <v>0.01</v>
      </c>
      <c r="G52" s="61">
        <f>ROUND(产出与消耗!P54*H52,0)</f>
        <v>4434</v>
      </c>
      <c r="H52" s="57">
        <v>2.5000000000000001E-2</v>
      </c>
    </row>
    <row r="53" spans="2:8">
      <c r="B53">
        <v>8</v>
      </c>
      <c r="C53" s="61">
        <f>ROUND(产出与消耗!P11*D53,0)</f>
        <v>13642</v>
      </c>
      <c r="D53" s="57">
        <v>0.02</v>
      </c>
      <c r="E53" s="61">
        <f>ROUND(产出与消耗!P33*F53,0)</f>
        <v>9095</v>
      </c>
      <c r="F53" s="57">
        <v>0.01</v>
      </c>
      <c r="G53" s="61">
        <f>ROUND(产出与消耗!P55*H53,0)</f>
        <v>14211</v>
      </c>
      <c r="H53" s="57">
        <v>2.5000000000000001E-2</v>
      </c>
    </row>
    <row r="54" spans="2:8">
      <c r="B54">
        <v>9</v>
      </c>
      <c r="C54" s="61">
        <f>ROUND(产出与消耗!P12*D54,0)</f>
        <v>32405</v>
      </c>
      <c r="D54" s="57">
        <v>0.02</v>
      </c>
      <c r="E54" s="61">
        <f>ROUND(产出与消耗!P34*F54,0)</f>
        <v>21603</v>
      </c>
      <c r="F54" s="57">
        <v>0.01</v>
      </c>
      <c r="G54" s="61">
        <f>ROUND(产出与消耗!P56*H54,0)</f>
        <v>33755</v>
      </c>
      <c r="H54" s="57">
        <v>2.5000000000000001E-2</v>
      </c>
    </row>
    <row r="55" spans="2:8">
      <c r="B55">
        <v>10</v>
      </c>
      <c r="C55" s="61">
        <f>ROUND(产出与消耗!P13*D55,0)</f>
        <v>77553</v>
      </c>
      <c r="D55" s="57">
        <v>0.02</v>
      </c>
      <c r="E55" s="61">
        <f>ROUND(产出与消耗!P35*F55,0)</f>
        <v>51702</v>
      </c>
      <c r="F55" s="57">
        <v>0.01</v>
      </c>
      <c r="G55" s="61">
        <f>ROUND(产出与消耗!P57*H55,0)</f>
        <v>80784</v>
      </c>
      <c r="H55" s="57">
        <v>2.5000000000000001E-2</v>
      </c>
    </row>
    <row r="56" spans="2:8">
      <c r="B56">
        <v>11</v>
      </c>
      <c r="C56" s="61">
        <f>ROUND(产出与消耗!P14*D56,0)</f>
        <v>158724</v>
      </c>
      <c r="D56" s="57">
        <v>0.02</v>
      </c>
      <c r="E56" s="61">
        <f>ROUND(产出与消耗!P36*F56,0)</f>
        <v>105816</v>
      </c>
      <c r="F56" s="57">
        <v>0.01</v>
      </c>
      <c r="G56" s="61">
        <f>ROUND(产出与消耗!P58*H56,0)</f>
        <v>165337</v>
      </c>
      <c r="H56" s="57">
        <v>2.5000000000000001E-2</v>
      </c>
    </row>
    <row r="57" spans="2:8">
      <c r="B57">
        <v>12</v>
      </c>
      <c r="C57" s="61">
        <f>ROUND(产出与消耗!P15*D57,0)</f>
        <v>354119</v>
      </c>
      <c r="D57" s="57">
        <v>0.02</v>
      </c>
      <c r="E57" s="61">
        <f>ROUND(产出与消耗!P37*F57,0)</f>
        <v>236079</v>
      </c>
      <c r="F57" s="57">
        <v>0.01</v>
      </c>
      <c r="G57" s="61">
        <f>ROUND(产出与消耗!P59*H57,0)</f>
        <v>368874</v>
      </c>
      <c r="H57" s="57">
        <v>2.5000000000000001E-2</v>
      </c>
    </row>
    <row r="58" spans="2:8">
      <c r="B58">
        <v>13</v>
      </c>
      <c r="C58" s="61">
        <f>ROUND(产出与消耗!P16*D58,0)</f>
        <v>686776</v>
      </c>
      <c r="D58" s="57">
        <v>0.02</v>
      </c>
      <c r="E58" s="61">
        <f>ROUND(产出与消耗!P38*F58,0)</f>
        <v>457851</v>
      </c>
      <c r="F58" s="57">
        <v>0.01</v>
      </c>
      <c r="G58" s="61">
        <f>ROUND(产出与消耗!P60*H58,0)</f>
        <v>715392</v>
      </c>
      <c r="H58" s="57">
        <v>2.5000000000000001E-2</v>
      </c>
    </row>
    <row r="59" spans="2:8">
      <c r="B59">
        <v>14</v>
      </c>
      <c r="C59" s="61">
        <f>ROUND(产出与消耗!P17*D59,0)</f>
        <v>1184440</v>
      </c>
      <c r="D59" s="57">
        <v>0.02</v>
      </c>
      <c r="E59" s="61">
        <f>ROUND(产出与消耗!P39*F59,0)</f>
        <v>789627</v>
      </c>
      <c r="F59" s="57">
        <v>0.01</v>
      </c>
      <c r="G59" s="61">
        <f>ROUND(产出与消耗!P61*H59,0)</f>
        <v>1233792</v>
      </c>
      <c r="H59" s="57">
        <v>2.5000000000000001E-2</v>
      </c>
    </row>
    <row r="60" spans="2:8">
      <c r="B60">
        <v>15</v>
      </c>
      <c r="C60" s="61">
        <f>ROUND(产出与消耗!P18*D60,0)</f>
        <v>1944000</v>
      </c>
      <c r="D60" s="57">
        <v>0.02</v>
      </c>
      <c r="E60" s="61">
        <f>ROUND(产出与消耗!P40*F60,0)</f>
        <v>1296000</v>
      </c>
      <c r="F60" s="57">
        <v>0.01</v>
      </c>
      <c r="G60" s="61">
        <f>ROUND(产出与消耗!P62*H60,0)</f>
        <v>2025000</v>
      </c>
      <c r="H60" s="57">
        <v>2.5000000000000001E-2</v>
      </c>
    </row>
    <row r="61" spans="2:8">
      <c r="B61">
        <v>16</v>
      </c>
      <c r="C61" s="61">
        <f>ROUND(产出与消耗!P19*D61,0)</f>
        <v>3007031</v>
      </c>
      <c r="D61" s="57">
        <v>0.02</v>
      </c>
      <c r="E61" s="61">
        <f>ROUND(产出与消耗!P41*F61,0)</f>
        <v>2004687</v>
      </c>
      <c r="F61" s="57">
        <v>0.01</v>
      </c>
      <c r="G61" s="61">
        <f>ROUND(产出与消耗!P63*H61,0)</f>
        <v>3132324</v>
      </c>
      <c r="H61" s="57">
        <v>2.5000000000000001E-2</v>
      </c>
    </row>
    <row r="62" spans="2:8">
      <c r="B62">
        <v>17</v>
      </c>
      <c r="C62" s="61">
        <f>ROUND(产出与消耗!P20*D62,0)</f>
        <v>4491013</v>
      </c>
      <c r="D62" s="57">
        <v>0.02</v>
      </c>
      <c r="E62" s="61">
        <f>ROUND(产出与消耗!P42*F62,0)</f>
        <v>2994009</v>
      </c>
      <c r="F62" s="57">
        <v>0.01</v>
      </c>
      <c r="G62" s="61">
        <f>ROUND(产出与消耗!P64*H62,0)</f>
        <v>4678139</v>
      </c>
      <c r="H62" s="57">
        <v>2.5000000000000001E-2</v>
      </c>
    </row>
    <row r="63" spans="2:8">
      <c r="B63">
        <v>18</v>
      </c>
      <c r="C63" s="61">
        <f>ROUND(产出与消耗!P21*D63,0)</f>
        <v>6531840</v>
      </c>
      <c r="D63" s="57">
        <v>0.02</v>
      </c>
      <c r="E63" s="61">
        <f>ROUND(产出与消耗!P43*F63,0)</f>
        <v>4354560</v>
      </c>
      <c r="F63" s="57">
        <v>0.01</v>
      </c>
      <c r="G63" s="61">
        <f>ROUND(产出与消耗!P65*H63,0)</f>
        <v>6804000</v>
      </c>
      <c r="H63" s="57">
        <v>2.5000000000000001E-2</v>
      </c>
    </row>
    <row r="64" spans="2:8">
      <c r="B64">
        <v>19</v>
      </c>
      <c r="C64" s="61">
        <f>ROUND(产出与消耗!P22*D64,0)</f>
        <v>9251677</v>
      </c>
      <c r="D64" s="57">
        <v>0.02</v>
      </c>
      <c r="E64" s="61">
        <f>ROUND(产出与消耗!P44*F64,0)</f>
        <v>6167785</v>
      </c>
      <c r="F64" s="57">
        <v>0.01</v>
      </c>
      <c r="G64" s="61">
        <f>ROUND(产出与消耗!P66*H64,0)</f>
        <v>9637164</v>
      </c>
      <c r="H64" s="57">
        <v>2.5000000000000001E-2</v>
      </c>
    </row>
    <row r="65" spans="1:29">
      <c r="B65">
        <v>20</v>
      </c>
      <c r="C65" s="61">
        <f>ROUND(产出与消耗!P23*D65,0)</f>
        <v>13374720</v>
      </c>
      <c r="D65" s="57">
        <v>0.02</v>
      </c>
      <c r="E65" s="61">
        <f>ROUND(产出与消耗!P45*F65,0)</f>
        <v>8916480</v>
      </c>
      <c r="F65" s="57">
        <v>0.01</v>
      </c>
      <c r="G65" s="61">
        <f>ROUND(产出与消耗!P67*H65,0)</f>
        <v>13932000</v>
      </c>
      <c r="H65" s="57">
        <v>2.5000000000000001E-2</v>
      </c>
    </row>
    <row r="66" spans="1:29" s="48" customFormat="1">
      <c r="A66" s="47" t="s">
        <v>457</v>
      </c>
      <c r="B66" s="56"/>
      <c r="C66" s="62"/>
      <c r="D66" s="58"/>
      <c r="E66" s="62"/>
      <c r="F66" s="58"/>
      <c r="G66" s="62"/>
      <c r="H66" s="58"/>
      <c r="I66" s="51"/>
      <c r="J66" s="58"/>
      <c r="K66" s="49"/>
      <c r="L66" s="49"/>
      <c r="M66" s="55"/>
      <c r="N66" s="49"/>
      <c r="R66" s="50"/>
      <c r="S66" s="51"/>
      <c r="T66" s="52"/>
      <c r="U66" s="51"/>
      <c r="W66" s="51"/>
      <c r="Y66" s="51"/>
      <c r="AA66" s="49"/>
      <c r="AC66" s="49"/>
    </row>
    <row r="67" spans="1:29">
      <c r="B67">
        <v>1</v>
      </c>
      <c r="C67" s="61">
        <f>ROUND(产出与消耗!P4*D67,0)</f>
        <v>1</v>
      </c>
      <c r="D67" s="57">
        <v>3.5000000000000003E-2</v>
      </c>
      <c r="E67" s="61">
        <f>ROUND(产出与消耗!P26*F67,0)</f>
        <v>1</v>
      </c>
      <c r="F67" s="57">
        <v>0.02</v>
      </c>
      <c r="G67" s="61">
        <f>MAX(ROUND(产出与消耗!P48*H67,0),1)</f>
        <v>1</v>
      </c>
      <c r="H67" s="57">
        <v>0.01</v>
      </c>
    </row>
    <row r="68" spans="1:29">
      <c r="B68">
        <v>2</v>
      </c>
      <c r="C68" s="61">
        <f>ROUND(产出与消耗!P5*D68,0)</f>
        <v>11</v>
      </c>
      <c r="D68" s="57">
        <v>3.5000000000000003E-2</v>
      </c>
      <c r="E68" s="61">
        <f>ROUND(产出与消耗!P27*F68,0)</f>
        <v>8</v>
      </c>
      <c r="F68" s="57">
        <v>0.02</v>
      </c>
      <c r="G68" s="61">
        <f>ROUND(产出与消耗!P49*H68,0)</f>
        <v>3</v>
      </c>
      <c r="H68" s="57">
        <v>0.01</v>
      </c>
    </row>
    <row r="69" spans="1:29">
      <c r="B69">
        <v>3</v>
      </c>
      <c r="C69" s="61">
        <f>ROUND(产出与消耗!P6*D69,0)</f>
        <v>71</v>
      </c>
      <c r="D69" s="57">
        <v>3.5000000000000003E-2</v>
      </c>
      <c r="E69" s="61">
        <f>ROUND(产出与消耗!P28*F69,0)</f>
        <v>54</v>
      </c>
      <c r="F69" s="57">
        <v>0.02</v>
      </c>
      <c r="G69" s="61">
        <f>ROUND(产出与消耗!P50*H69,0)</f>
        <v>17</v>
      </c>
      <c r="H69" s="57">
        <v>0.01</v>
      </c>
    </row>
    <row r="70" spans="1:29">
      <c r="B70">
        <v>4</v>
      </c>
      <c r="C70" s="61">
        <f>ROUND(产出与消耗!P7*D70,0)</f>
        <v>286</v>
      </c>
      <c r="D70" s="57">
        <v>3.5000000000000003E-2</v>
      </c>
      <c r="E70" s="61">
        <f>ROUND(产出与消耗!P29*F70,0)</f>
        <v>218</v>
      </c>
      <c r="F70" s="57">
        <v>0.02</v>
      </c>
      <c r="G70" s="61">
        <f>ROUND(产出与消耗!P51*H70,0)</f>
        <v>68</v>
      </c>
      <c r="H70" s="57">
        <v>0.01</v>
      </c>
    </row>
    <row r="71" spans="1:29">
      <c r="B71">
        <v>5</v>
      </c>
      <c r="C71" s="61">
        <f>ROUND(产出与消耗!P8*D71,0)</f>
        <v>925</v>
      </c>
      <c r="D71" s="57">
        <v>3.5000000000000003E-2</v>
      </c>
      <c r="E71" s="61">
        <f>ROUND(产出与消耗!P30*F71,0)</f>
        <v>705</v>
      </c>
      <c r="F71" s="57">
        <v>0.02</v>
      </c>
      <c r="G71" s="61">
        <f>ROUND(产出与消耗!P52*H71,0)</f>
        <v>220</v>
      </c>
      <c r="H71" s="57">
        <v>0.01</v>
      </c>
    </row>
    <row r="72" spans="1:29">
      <c r="B72">
        <v>6</v>
      </c>
      <c r="C72" s="61">
        <f>ROUND(产出与消耗!P9*D72,0)</f>
        <v>2642</v>
      </c>
      <c r="D72" s="57">
        <v>3.5000000000000003E-2</v>
      </c>
      <c r="E72" s="61">
        <f>ROUND(产出与消耗!P31*F72,0)</f>
        <v>2013</v>
      </c>
      <c r="F72" s="57">
        <v>0.02</v>
      </c>
      <c r="G72" s="61">
        <f>ROUND(产出与消耗!P53*H72,0)</f>
        <v>629</v>
      </c>
      <c r="H72" s="57">
        <v>0.01</v>
      </c>
    </row>
    <row r="73" spans="1:29">
      <c r="B73">
        <v>7</v>
      </c>
      <c r="C73" s="61">
        <f>ROUND(产出与消耗!P10*D73,0)</f>
        <v>7449</v>
      </c>
      <c r="D73" s="57">
        <v>3.5000000000000003E-2</v>
      </c>
      <c r="E73" s="61">
        <f>ROUND(产出与消耗!P32*F73,0)</f>
        <v>5675</v>
      </c>
      <c r="F73" s="57">
        <v>0.02</v>
      </c>
      <c r="G73" s="61">
        <f>ROUND(产出与消耗!P54*H73,0)</f>
        <v>1774</v>
      </c>
      <c r="H73" s="57">
        <v>0.01</v>
      </c>
    </row>
    <row r="74" spans="1:29">
      <c r="B74">
        <v>8</v>
      </c>
      <c r="C74" s="61">
        <f>ROUND(产出与消耗!P11*D74,0)</f>
        <v>23874</v>
      </c>
      <c r="D74" s="57">
        <v>3.5000000000000003E-2</v>
      </c>
      <c r="E74" s="61">
        <f>ROUND(产出与消耗!P33*F74,0)</f>
        <v>18190</v>
      </c>
      <c r="F74" s="57">
        <v>0.02</v>
      </c>
      <c r="G74" s="61">
        <f>ROUND(产出与消耗!P55*H74,0)</f>
        <v>5684</v>
      </c>
      <c r="H74" s="57">
        <v>0.01</v>
      </c>
    </row>
    <row r="75" spans="1:29">
      <c r="B75">
        <v>9</v>
      </c>
      <c r="C75" s="61">
        <f>ROUND(产出与消耗!P12*D75,0)</f>
        <v>56709</v>
      </c>
      <c r="D75" s="57">
        <v>3.5000000000000003E-2</v>
      </c>
      <c r="E75" s="61">
        <f>ROUND(产出与消耗!P34*F75,0)</f>
        <v>43207</v>
      </c>
      <c r="F75" s="57">
        <v>0.02</v>
      </c>
      <c r="G75" s="61">
        <f>ROUND(产出与消耗!P56*H75,0)</f>
        <v>13502</v>
      </c>
      <c r="H75" s="57">
        <v>0.01</v>
      </c>
    </row>
    <row r="76" spans="1:29">
      <c r="B76">
        <v>10</v>
      </c>
      <c r="C76" s="61">
        <f>ROUND(产出与消耗!P13*D76,0)</f>
        <v>135717</v>
      </c>
      <c r="D76" s="57">
        <v>3.5000000000000003E-2</v>
      </c>
      <c r="E76" s="61">
        <f>ROUND(产出与消耗!P35*F76,0)</f>
        <v>103404</v>
      </c>
      <c r="F76" s="57">
        <v>0.02</v>
      </c>
      <c r="G76" s="61">
        <f>ROUND(产出与消耗!P57*H76,0)</f>
        <v>32314</v>
      </c>
      <c r="H76" s="57">
        <v>0.01</v>
      </c>
    </row>
    <row r="77" spans="1:29">
      <c r="B77">
        <v>11</v>
      </c>
      <c r="C77" s="61">
        <f>ROUND(产出与消耗!P14*D77,0)</f>
        <v>277767</v>
      </c>
      <c r="D77" s="57">
        <v>3.5000000000000003E-2</v>
      </c>
      <c r="E77" s="61">
        <f>ROUND(产出与消耗!P36*F77,0)</f>
        <v>211632</v>
      </c>
      <c r="F77" s="57">
        <v>0.02</v>
      </c>
      <c r="G77" s="61">
        <f>ROUND(产出与消耗!P58*H77,0)</f>
        <v>66135</v>
      </c>
      <c r="H77" s="57">
        <v>0.01</v>
      </c>
    </row>
    <row r="78" spans="1:29">
      <c r="B78">
        <v>12</v>
      </c>
      <c r="C78" s="61">
        <f>ROUND(产出与消耗!P15*D78,0)</f>
        <v>619708</v>
      </c>
      <c r="D78" s="57">
        <v>3.5000000000000003E-2</v>
      </c>
      <c r="E78" s="61">
        <f>ROUND(产出与消耗!P37*F78,0)</f>
        <v>472159</v>
      </c>
      <c r="F78" s="57">
        <v>0.02</v>
      </c>
      <c r="G78" s="61">
        <f>ROUND(产出与消耗!P59*H78,0)</f>
        <v>147550</v>
      </c>
      <c r="H78" s="57">
        <v>0.01</v>
      </c>
    </row>
    <row r="79" spans="1:29">
      <c r="B79">
        <v>13</v>
      </c>
      <c r="C79" s="61">
        <f>ROUND(产出与消耗!P16*D79,0)</f>
        <v>1201859</v>
      </c>
      <c r="D79" s="57">
        <v>3.5000000000000003E-2</v>
      </c>
      <c r="E79" s="61">
        <f>ROUND(产出与消耗!P38*F79,0)</f>
        <v>915702</v>
      </c>
      <c r="F79" s="57">
        <v>0.02</v>
      </c>
      <c r="G79" s="61">
        <f>ROUND(产出与消耗!P60*H79,0)</f>
        <v>286157</v>
      </c>
      <c r="H79" s="57">
        <v>0.01</v>
      </c>
    </row>
    <row r="80" spans="1:29">
      <c r="B80">
        <v>14</v>
      </c>
      <c r="C80" s="61">
        <f>ROUND(产出与消耗!P17*D80,0)</f>
        <v>2072771</v>
      </c>
      <c r="D80" s="57">
        <v>3.5000000000000003E-2</v>
      </c>
      <c r="E80" s="61">
        <f>ROUND(产出与消耗!P39*F80,0)</f>
        <v>1579254</v>
      </c>
      <c r="F80" s="57">
        <v>0.02</v>
      </c>
      <c r="G80" s="61">
        <f>ROUND(产出与消耗!P61*H80,0)</f>
        <v>493517</v>
      </c>
      <c r="H80" s="57">
        <v>0.01</v>
      </c>
    </row>
    <row r="81" spans="1:10">
      <c r="B81">
        <v>15</v>
      </c>
      <c r="C81" s="61">
        <f>ROUND(产出与消耗!P18*D81,0)</f>
        <v>3402000</v>
      </c>
      <c r="D81" s="57">
        <v>3.5000000000000003E-2</v>
      </c>
      <c r="E81" s="61">
        <f>ROUND(产出与消耗!P40*F81,0)</f>
        <v>2592000</v>
      </c>
      <c r="F81" s="57">
        <v>0.02</v>
      </c>
      <c r="G81" s="61">
        <f>ROUND(产出与消耗!P62*H81,0)</f>
        <v>810000</v>
      </c>
      <c r="H81" s="57">
        <v>0.01</v>
      </c>
    </row>
    <row r="82" spans="1:10">
      <c r="B82">
        <v>16</v>
      </c>
      <c r="C82" s="61">
        <f>ROUND(产出与消耗!P19*D82,0)</f>
        <v>5262304</v>
      </c>
      <c r="D82" s="57">
        <v>3.5000000000000003E-2</v>
      </c>
      <c r="E82" s="61">
        <f>ROUND(产出与消耗!P41*F82,0)</f>
        <v>4009375</v>
      </c>
      <c r="F82" s="57">
        <v>0.02</v>
      </c>
      <c r="G82" s="61">
        <f>ROUND(产出与消耗!P63*H82,0)</f>
        <v>1252930</v>
      </c>
      <c r="H82" s="57">
        <v>0.01</v>
      </c>
    </row>
    <row r="83" spans="1:10">
      <c r="B83">
        <v>17</v>
      </c>
      <c r="C83" s="61">
        <f>ROUND(产出与消耗!P20*D83,0)</f>
        <v>7859273</v>
      </c>
      <c r="D83" s="57">
        <v>3.5000000000000003E-2</v>
      </c>
      <c r="E83" s="61">
        <f>ROUND(产出与消耗!P42*F83,0)</f>
        <v>5988018</v>
      </c>
      <c r="F83" s="57">
        <v>0.02</v>
      </c>
      <c r="G83" s="61">
        <f>ROUND(产出与消耗!P64*H83,0)</f>
        <v>1871256</v>
      </c>
      <c r="H83" s="57">
        <v>0.01</v>
      </c>
    </row>
    <row r="84" spans="1:10">
      <c r="B84">
        <v>18</v>
      </c>
      <c r="C84" s="61">
        <f>ROUND(产出与消耗!P21*D84,0)</f>
        <v>11430720</v>
      </c>
      <c r="D84" s="57">
        <v>3.5000000000000003E-2</v>
      </c>
      <c r="E84" s="61">
        <f>ROUND(产出与消耗!P43*F84,0)</f>
        <v>8709120</v>
      </c>
      <c r="F84" s="57">
        <v>0.02</v>
      </c>
      <c r="G84" s="61">
        <f>ROUND(产出与消耗!P65*H84,0)</f>
        <v>2721600</v>
      </c>
      <c r="H84" s="57">
        <v>0.01</v>
      </c>
    </row>
    <row r="85" spans="1:10">
      <c r="B85">
        <v>19</v>
      </c>
      <c r="C85" s="61">
        <f>ROUND(产出与消耗!P22*D85,0)</f>
        <v>16190436</v>
      </c>
      <c r="D85" s="57">
        <v>3.5000000000000003E-2</v>
      </c>
      <c r="E85" s="61">
        <f>ROUND(产出与消耗!P44*F85,0)</f>
        <v>12335570</v>
      </c>
      <c r="F85" s="57">
        <v>0.02</v>
      </c>
      <c r="G85" s="61">
        <f>ROUND(产出与消耗!P66*H85,0)</f>
        <v>3854866</v>
      </c>
      <c r="H85" s="57">
        <v>0.01</v>
      </c>
    </row>
    <row r="86" spans="1:10">
      <c r="B86">
        <v>20</v>
      </c>
      <c r="C86" s="61">
        <f>ROUND(产出与消耗!P23*D86,0)</f>
        <v>23405760</v>
      </c>
      <c r="D86" s="57">
        <v>3.5000000000000003E-2</v>
      </c>
      <c r="E86" s="61">
        <f>ROUND(产出与消耗!P45*F86,0)</f>
        <v>17832960</v>
      </c>
      <c r="F86" s="57">
        <v>0.02</v>
      </c>
      <c r="G86" s="61">
        <f>ROUND(产出与消耗!P67*H86,0)</f>
        <v>8359200</v>
      </c>
      <c r="H86" s="57">
        <v>1.4999999999999999E-2</v>
      </c>
    </row>
    <row r="87" spans="1:10" s="47" customFormat="1">
      <c r="A87" s="47" t="s">
        <v>265</v>
      </c>
      <c r="C87" s="61"/>
      <c r="D87" s="58"/>
      <c r="E87" s="61"/>
      <c r="F87" s="58"/>
      <c r="G87" s="61"/>
      <c r="H87" s="58"/>
      <c r="I87" s="60"/>
      <c r="J87" s="58"/>
    </row>
    <row r="88" spans="1:10">
      <c r="B88">
        <v>1</v>
      </c>
      <c r="C88" s="61">
        <f>ROUND(产出与消耗!P4*D88,0)</f>
        <v>2</v>
      </c>
      <c r="D88" s="57">
        <v>7.0000000000000007E-2</v>
      </c>
      <c r="E88" s="61">
        <f>ROUND(产出与消耗!P26*F88,0)</f>
        <v>4</v>
      </c>
      <c r="F88" s="57">
        <v>0.1</v>
      </c>
      <c r="G88" s="61">
        <f>ROUND(产出与消耗!P48*H88,0)</f>
        <v>1</v>
      </c>
      <c r="H88" s="57">
        <v>0.03</v>
      </c>
    </row>
    <row r="89" spans="1:10">
      <c r="B89">
        <v>2</v>
      </c>
      <c r="C89" s="61">
        <f>ROUND(产出与消耗!P5*D89,0)</f>
        <v>22</v>
      </c>
      <c r="D89" s="57">
        <v>7.0000000000000007E-2</v>
      </c>
      <c r="E89" s="61">
        <f>ROUND(产出与消耗!P27*F89,0)</f>
        <v>42</v>
      </c>
      <c r="F89" s="57">
        <v>0.1</v>
      </c>
      <c r="G89" s="61">
        <f>ROUND(产出与消耗!P49*H89,0)</f>
        <v>8</v>
      </c>
      <c r="H89" s="57">
        <v>0.03</v>
      </c>
    </row>
    <row r="90" spans="1:10">
      <c r="B90">
        <v>3</v>
      </c>
      <c r="C90" s="61">
        <f>ROUND(产出与消耗!P6*D90,0)</f>
        <v>142</v>
      </c>
      <c r="D90" s="57">
        <v>7.0000000000000007E-2</v>
      </c>
      <c r="E90" s="61">
        <f>ROUND(产出与消耗!P28*F90,0)</f>
        <v>270</v>
      </c>
      <c r="F90" s="57">
        <v>0.1</v>
      </c>
      <c r="G90" s="61">
        <f>ROUND(产出与消耗!P50*H90,0)</f>
        <v>51</v>
      </c>
      <c r="H90" s="57">
        <v>0.03</v>
      </c>
    </row>
    <row r="91" spans="1:10">
      <c r="B91">
        <v>4</v>
      </c>
      <c r="C91" s="61">
        <f>ROUND(产出与消耗!P7*D91,0)</f>
        <v>572</v>
      </c>
      <c r="D91" s="57">
        <v>7.0000000000000007E-2</v>
      </c>
      <c r="E91" s="61">
        <f>ROUND(产出与消耗!P29*F91,0)</f>
        <v>1089</v>
      </c>
      <c r="F91" s="57">
        <v>0.1</v>
      </c>
      <c r="G91" s="61">
        <f>ROUND(产出与消耗!P51*H91,0)</f>
        <v>204</v>
      </c>
      <c r="H91" s="57">
        <v>0.03</v>
      </c>
    </row>
    <row r="92" spans="1:10">
      <c r="B92">
        <v>5</v>
      </c>
      <c r="C92" s="61">
        <f>ROUND(产出与消耗!P8*D92,0)</f>
        <v>1851</v>
      </c>
      <c r="D92" s="57">
        <v>7.0000000000000007E-2</v>
      </c>
      <c r="E92" s="61">
        <f>ROUND(产出与消耗!P30*F92,0)</f>
        <v>3525</v>
      </c>
      <c r="F92" s="57">
        <v>0.1</v>
      </c>
      <c r="G92" s="61">
        <f>ROUND(产出与消耗!P52*H92,0)</f>
        <v>661</v>
      </c>
      <c r="H92" s="57">
        <v>0.03</v>
      </c>
    </row>
    <row r="93" spans="1:10">
      <c r="B93">
        <v>6</v>
      </c>
      <c r="C93" s="61">
        <f>ROUND(产出与消耗!P9*D93,0)</f>
        <v>5284</v>
      </c>
      <c r="D93" s="57">
        <v>7.0000000000000007E-2</v>
      </c>
      <c r="E93" s="61">
        <f>ROUND(产出与消耗!P31*F93,0)</f>
        <v>10064</v>
      </c>
      <c r="F93" s="57">
        <v>0.1</v>
      </c>
      <c r="G93" s="61">
        <f>ROUND(产出与消耗!P53*H93,0)</f>
        <v>1887</v>
      </c>
      <c r="H93" s="57">
        <v>0.03</v>
      </c>
    </row>
    <row r="94" spans="1:10">
      <c r="B94">
        <v>7</v>
      </c>
      <c r="C94" s="61">
        <f>ROUND(产出与消耗!P10*D94,0)</f>
        <v>14898</v>
      </c>
      <c r="D94" s="57">
        <v>7.0000000000000007E-2</v>
      </c>
      <c r="E94" s="61">
        <f>ROUND(产出与消耗!P32*F94,0)</f>
        <v>28377</v>
      </c>
      <c r="F94" s="57">
        <v>0.1</v>
      </c>
      <c r="G94" s="61">
        <f>ROUND(产出与消耗!P54*H94,0)</f>
        <v>5321</v>
      </c>
      <c r="H94" s="57">
        <v>0.03</v>
      </c>
    </row>
    <row r="95" spans="1:10">
      <c r="B95">
        <v>8</v>
      </c>
      <c r="C95" s="61">
        <f>ROUND(产出与消耗!P11*D95,0)</f>
        <v>47748</v>
      </c>
      <c r="D95" s="57">
        <v>7.0000000000000007E-2</v>
      </c>
      <c r="E95" s="61">
        <f>ROUND(产出与消耗!P33*F95,0)</f>
        <v>90948</v>
      </c>
      <c r="F95" s="57">
        <v>0.1</v>
      </c>
      <c r="G95" s="61">
        <f>ROUND(产出与消耗!P55*H95,0)</f>
        <v>17053</v>
      </c>
      <c r="H95" s="57">
        <v>0.03</v>
      </c>
    </row>
    <row r="96" spans="1:10">
      <c r="B96">
        <v>9</v>
      </c>
      <c r="C96" s="61">
        <f>ROUND(产出与消耗!P12*D96,0)</f>
        <v>113418</v>
      </c>
      <c r="D96" s="57">
        <v>7.0000000000000007E-2</v>
      </c>
      <c r="E96" s="61">
        <f>ROUND(产出与消耗!P34*F96,0)</f>
        <v>216035</v>
      </c>
      <c r="F96" s="57">
        <v>0.1</v>
      </c>
      <c r="G96" s="61">
        <f>ROUND(产出与消耗!P56*H96,0)</f>
        <v>40506</v>
      </c>
      <c r="H96" s="57">
        <v>0.03</v>
      </c>
    </row>
    <row r="97" spans="1:10">
      <c r="B97">
        <v>10</v>
      </c>
      <c r="C97" s="61">
        <f>ROUND(产出与消耗!P13*D97,0)</f>
        <v>271434</v>
      </c>
      <c r="D97" s="57">
        <v>7.0000000000000007E-2</v>
      </c>
      <c r="E97" s="61">
        <f>ROUND(产出与消耗!P35*F97,0)</f>
        <v>517018</v>
      </c>
      <c r="F97" s="57">
        <v>0.1</v>
      </c>
      <c r="G97" s="61">
        <f>ROUND(产出与消耗!P57*H97,0)</f>
        <v>96941</v>
      </c>
      <c r="H97" s="57">
        <v>0.03</v>
      </c>
    </row>
    <row r="98" spans="1:10">
      <c r="B98">
        <v>11</v>
      </c>
      <c r="C98" s="61">
        <f>ROUND(产出与消耗!P14*D98,0)</f>
        <v>555533</v>
      </c>
      <c r="D98" s="57">
        <v>7.0000000000000007E-2</v>
      </c>
      <c r="E98" s="61">
        <f>ROUND(产出与消耗!P36*F98,0)</f>
        <v>1058158</v>
      </c>
      <c r="F98" s="57">
        <v>0.1</v>
      </c>
      <c r="G98" s="61">
        <f>ROUND(产出与消耗!P58*H98,0)</f>
        <v>198405</v>
      </c>
      <c r="H98" s="57">
        <v>0.03</v>
      </c>
    </row>
    <row r="99" spans="1:10">
      <c r="B99">
        <v>12</v>
      </c>
      <c r="C99" s="61">
        <f>ROUND(产出与消耗!P15*D99,0)</f>
        <v>1239417</v>
      </c>
      <c r="D99" s="57">
        <v>7.0000000000000007E-2</v>
      </c>
      <c r="E99" s="61">
        <f>ROUND(产出与消耗!P37*F99,0)</f>
        <v>2360794</v>
      </c>
      <c r="F99" s="57">
        <v>0.1</v>
      </c>
      <c r="G99" s="61">
        <f>ROUND(产出与消耗!P59*H99,0)</f>
        <v>442649</v>
      </c>
      <c r="H99" s="57">
        <v>0.03</v>
      </c>
    </row>
    <row r="100" spans="1:10">
      <c r="B100">
        <v>13</v>
      </c>
      <c r="C100" s="61">
        <f>ROUND(产出与消耗!P16*D100,0)</f>
        <v>2403717</v>
      </c>
      <c r="D100" s="57">
        <v>7.0000000000000007E-2</v>
      </c>
      <c r="E100" s="61">
        <f>ROUND(产出与消耗!P38*F100,0)</f>
        <v>4578509</v>
      </c>
      <c r="F100" s="57">
        <v>0.1</v>
      </c>
      <c r="G100" s="61">
        <f>ROUND(产出与消耗!P60*H100,0)</f>
        <v>858470</v>
      </c>
      <c r="H100" s="57">
        <v>0.03</v>
      </c>
    </row>
    <row r="101" spans="1:10">
      <c r="B101">
        <v>14</v>
      </c>
      <c r="C101" s="61">
        <f>ROUND(产出与消耗!P17*D101,0)</f>
        <v>4145541</v>
      </c>
      <c r="D101" s="57">
        <v>7.0000000000000007E-2</v>
      </c>
      <c r="E101" s="61">
        <f>ROUND(产出与消耗!P39*F101,0)</f>
        <v>7896269</v>
      </c>
      <c r="F101" s="57">
        <v>0.1</v>
      </c>
      <c r="G101" s="61">
        <f>ROUND(产出与消耗!P61*H101,0)</f>
        <v>1480550</v>
      </c>
      <c r="H101" s="57">
        <v>0.03</v>
      </c>
    </row>
    <row r="102" spans="1:10">
      <c r="B102">
        <v>15</v>
      </c>
      <c r="C102" s="61">
        <f>ROUND(产出与消耗!P18*D102,0)</f>
        <v>6804000</v>
      </c>
      <c r="D102" s="57">
        <v>7.0000000000000007E-2</v>
      </c>
      <c r="E102" s="61">
        <f>ROUND(产出与消耗!P40*F102,0)</f>
        <v>12960000</v>
      </c>
      <c r="F102" s="57">
        <v>0.1</v>
      </c>
      <c r="G102" s="61">
        <f>ROUND(产出与消耗!P62*H102,0)</f>
        <v>2430000</v>
      </c>
      <c r="H102" s="57">
        <v>0.03</v>
      </c>
    </row>
    <row r="103" spans="1:10">
      <c r="B103">
        <v>16</v>
      </c>
      <c r="C103" s="61">
        <f>ROUND(产出与消耗!P19*D103,0)</f>
        <v>10524609</v>
      </c>
      <c r="D103" s="57">
        <v>7.0000000000000007E-2</v>
      </c>
      <c r="E103" s="61">
        <f>ROUND(产出与消耗!P41*F103,0)</f>
        <v>20046874</v>
      </c>
      <c r="F103" s="57">
        <v>0.1</v>
      </c>
      <c r="G103" s="61">
        <f>ROUND(产出与消耗!P63*H103,0)</f>
        <v>3758789</v>
      </c>
      <c r="H103" s="57">
        <v>0.03</v>
      </c>
    </row>
    <row r="104" spans="1:10">
      <c r="B104">
        <v>17</v>
      </c>
      <c r="C104" s="61">
        <f>ROUND(产出与消耗!P20*D104,0)</f>
        <v>15718546</v>
      </c>
      <c r="D104" s="57">
        <v>7.0000000000000007E-2</v>
      </c>
      <c r="E104" s="61">
        <f>ROUND(产出与消耗!P42*F104,0)</f>
        <v>29940088</v>
      </c>
      <c r="F104" s="57">
        <v>0.1</v>
      </c>
      <c r="G104" s="61">
        <f>ROUND(产出与消耗!P64*H104,0)</f>
        <v>5613767</v>
      </c>
      <c r="H104" s="57">
        <v>0.03</v>
      </c>
    </row>
    <row r="105" spans="1:10">
      <c r="B105">
        <v>18</v>
      </c>
      <c r="C105" s="61">
        <f>ROUND(产出与消耗!P21*D105,0)</f>
        <v>22861440</v>
      </c>
      <c r="D105" s="57">
        <v>7.0000000000000007E-2</v>
      </c>
      <c r="E105" s="61">
        <f>ROUND(产出与消耗!P43*F105,0)</f>
        <v>43545600</v>
      </c>
      <c r="F105" s="57">
        <v>0.1</v>
      </c>
      <c r="G105" s="61">
        <f>ROUND(产出与消耗!P65*H105,0)</f>
        <v>8164800</v>
      </c>
      <c r="H105" s="57">
        <v>0.03</v>
      </c>
    </row>
    <row r="106" spans="1:10">
      <c r="B106">
        <v>19</v>
      </c>
      <c r="C106" s="61">
        <f>ROUND(产出与消耗!P22*D106,0)</f>
        <v>32380871</v>
      </c>
      <c r="D106" s="57">
        <v>7.0000000000000007E-2</v>
      </c>
      <c r="E106" s="61">
        <f>ROUND(产出与消耗!P44*F106,0)</f>
        <v>61677850</v>
      </c>
      <c r="F106" s="57">
        <v>0.1</v>
      </c>
      <c r="G106" s="61">
        <f>ROUND(产出与消耗!P66*H106,0)</f>
        <v>11564597</v>
      </c>
      <c r="H106" s="57">
        <v>0.03</v>
      </c>
    </row>
    <row r="107" spans="1:10">
      <c r="B107">
        <v>20</v>
      </c>
      <c r="C107" s="61">
        <f>ROUND(产出与消耗!P23*D107,0)</f>
        <v>46811520</v>
      </c>
      <c r="D107" s="57">
        <v>7.0000000000000007E-2</v>
      </c>
      <c r="E107" s="61">
        <f>ROUND(产出与消耗!P45*F107,0)</f>
        <v>89164800</v>
      </c>
      <c r="F107" s="57">
        <v>0.1</v>
      </c>
      <c r="G107" s="61">
        <f>ROUND(产出与消耗!P67*H107,0)</f>
        <v>16718400</v>
      </c>
      <c r="H107" s="57">
        <v>0.03</v>
      </c>
    </row>
    <row r="108" spans="1:10" s="47" customFormat="1">
      <c r="A108" s="47" t="s">
        <v>184</v>
      </c>
      <c r="C108" s="61"/>
      <c r="D108" s="58"/>
      <c r="E108" s="61"/>
      <c r="F108" s="58"/>
      <c r="G108" s="61"/>
      <c r="H108" s="58"/>
      <c r="I108" s="60"/>
      <c r="J108" s="58"/>
    </row>
    <row r="109" spans="1:10">
      <c r="B109">
        <v>1</v>
      </c>
      <c r="C109" s="61">
        <f>ROUND(产出与消耗!P4*D109,0)</f>
        <v>1</v>
      </c>
      <c r="D109" s="57">
        <v>0.05</v>
      </c>
      <c r="E109" s="61">
        <f>ROUND(产出与消耗!P26*F109,0)</f>
        <v>1</v>
      </c>
      <c r="F109" s="57">
        <v>0.02</v>
      </c>
      <c r="G109" s="61">
        <f>ROUND(产出与消耗!P48*H109,0)</f>
        <v>2</v>
      </c>
      <c r="H109" s="57">
        <v>7.0000000000000007E-2</v>
      </c>
    </row>
    <row r="110" spans="1:10">
      <c r="B110">
        <v>2</v>
      </c>
      <c r="C110" s="61">
        <f>ROUND(产出与消耗!P5*D110,0)</f>
        <v>16</v>
      </c>
      <c r="D110" s="57">
        <v>0.05</v>
      </c>
      <c r="E110" s="61">
        <f>ROUND(产出与消耗!P27*F110,0)</f>
        <v>8</v>
      </c>
      <c r="F110" s="57">
        <v>0.02</v>
      </c>
      <c r="G110" s="61">
        <f>ROUND(产出与消耗!P49*H110,0)</f>
        <v>18</v>
      </c>
      <c r="H110" s="57">
        <v>7.0000000000000007E-2</v>
      </c>
    </row>
    <row r="111" spans="1:10">
      <c r="B111">
        <v>3</v>
      </c>
      <c r="C111" s="61">
        <f>ROUND(产出与消耗!P6*D111,0)</f>
        <v>101</v>
      </c>
      <c r="D111" s="57">
        <v>0.05</v>
      </c>
      <c r="E111" s="61">
        <f>ROUND(产出与消耗!P28*F111,0)</f>
        <v>54</v>
      </c>
      <c r="F111" s="57">
        <v>0.02</v>
      </c>
      <c r="G111" s="61">
        <f>ROUND(产出与消耗!P50*H111,0)</f>
        <v>118</v>
      </c>
      <c r="H111" s="57">
        <v>7.0000000000000007E-2</v>
      </c>
    </row>
    <row r="112" spans="1:10">
      <c r="B112">
        <v>4</v>
      </c>
      <c r="C112" s="61">
        <f>ROUND(产出与消耗!P7*D112,0)</f>
        <v>408</v>
      </c>
      <c r="D112" s="57">
        <v>0.05</v>
      </c>
      <c r="E112" s="61">
        <f>ROUND(产出与消耗!P29*F112,0)</f>
        <v>218</v>
      </c>
      <c r="F112" s="57">
        <v>0.02</v>
      </c>
      <c r="G112" s="61">
        <f>ROUND(产出与消耗!P51*H112,0)</f>
        <v>476</v>
      </c>
      <c r="H112" s="57">
        <v>7.0000000000000007E-2</v>
      </c>
    </row>
    <row r="113" spans="2:8">
      <c r="B113">
        <v>5</v>
      </c>
      <c r="C113" s="61">
        <f>ROUND(产出与消耗!P8*D113,0)</f>
        <v>1322</v>
      </c>
      <c r="D113" s="57">
        <v>0.05</v>
      </c>
      <c r="E113" s="61">
        <f>ROUND(产出与消耗!P30*F113,0)</f>
        <v>705</v>
      </c>
      <c r="F113" s="57">
        <v>0.02</v>
      </c>
      <c r="G113" s="61">
        <f>ROUND(产出与消耗!P52*H113,0)</f>
        <v>1542</v>
      </c>
      <c r="H113" s="57">
        <v>7.0000000000000007E-2</v>
      </c>
    </row>
    <row r="114" spans="2:8">
      <c r="B114">
        <v>6</v>
      </c>
      <c r="C114" s="61">
        <f>ROUND(产出与消耗!P9*D114,0)</f>
        <v>3774</v>
      </c>
      <c r="D114" s="57">
        <v>0.05</v>
      </c>
      <c r="E114" s="61">
        <f>ROUND(产出与消耗!P31*F114,0)</f>
        <v>2013</v>
      </c>
      <c r="F114" s="57">
        <v>0.02</v>
      </c>
      <c r="G114" s="61">
        <f>ROUND(产出与消耗!P53*H114,0)</f>
        <v>4403</v>
      </c>
      <c r="H114" s="57">
        <v>7.0000000000000007E-2</v>
      </c>
    </row>
    <row r="115" spans="2:8">
      <c r="B115">
        <v>7</v>
      </c>
      <c r="C115" s="61">
        <f>ROUND(产出与消耗!P10*D115,0)</f>
        <v>10641</v>
      </c>
      <c r="D115" s="57">
        <v>0.05</v>
      </c>
      <c r="E115" s="61">
        <f>ROUND(产出与消耗!P32*F115,0)</f>
        <v>5675</v>
      </c>
      <c r="F115" s="57">
        <v>0.02</v>
      </c>
      <c r="G115" s="61">
        <f>ROUND(产出与消耗!P54*H115,0)</f>
        <v>12415</v>
      </c>
      <c r="H115" s="57">
        <v>7.0000000000000007E-2</v>
      </c>
    </row>
    <row r="116" spans="2:8">
      <c r="B116">
        <v>8</v>
      </c>
      <c r="C116" s="61">
        <f>ROUND(产出与消耗!P11*D116,0)</f>
        <v>34106</v>
      </c>
      <c r="D116" s="57">
        <v>0.05</v>
      </c>
      <c r="E116" s="61">
        <f>ROUND(产出与消耗!P33*F116,0)</f>
        <v>18190</v>
      </c>
      <c r="F116" s="57">
        <v>0.02</v>
      </c>
      <c r="G116" s="61">
        <f>ROUND(产出与消耗!P55*H116,0)</f>
        <v>39790</v>
      </c>
      <c r="H116" s="57">
        <v>7.0000000000000007E-2</v>
      </c>
    </row>
    <row r="117" spans="2:8">
      <c r="B117">
        <v>9</v>
      </c>
      <c r="C117" s="61">
        <f>ROUND(产出与消耗!P12*D117,0)</f>
        <v>81013</v>
      </c>
      <c r="D117" s="57">
        <v>0.05</v>
      </c>
      <c r="E117" s="61">
        <f>ROUND(产出与消耗!P34*F117,0)</f>
        <v>43207</v>
      </c>
      <c r="F117" s="57">
        <v>0.02</v>
      </c>
      <c r="G117" s="61">
        <f>ROUND(产出与消耗!P56*H117,0)</f>
        <v>94515</v>
      </c>
      <c r="H117" s="57">
        <v>7.0000000000000007E-2</v>
      </c>
    </row>
    <row r="118" spans="2:8">
      <c r="B118">
        <v>10</v>
      </c>
      <c r="C118" s="61">
        <f>ROUND(产出与消耗!P13*D118,0)</f>
        <v>193882</v>
      </c>
      <c r="D118" s="57">
        <v>0.05</v>
      </c>
      <c r="E118" s="61">
        <f>ROUND(产出与消耗!P35*F118,0)</f>
        <v>103404</v>
      </c>
      <c r="F118" s="57">
        <v>0.02</v>
      </c>
      <c r="G118" s="61">
        <f>ROUND(产出与消耗!P57*H118,0)</f>
        <v>226195</v>
      </c>
      <c r="H118" s="57">
        <v>7.0000000000000007E-2</v>
      </c>
    </row>
    <row r="119" spans="2:8">
      <c r="B119">
        <v>11</v>
      </c>
      <c r="C119" s="61">
        <f>ROUND(产出与消耗!P14*D119,0)</f>
        <v>396809</v>
      </c>
      <c r="D119" s="57">
        <v>0.05</v>
      </c>
      <c r="E119" s="61">
        <f>ROUND(产出与消耗!P36*F119,0)</f>
        <v>211632</v>
      </c>
      <c r="F119" s="57">
        <v>0.02</v>
      </c>
      <c r="G119" s="61">
        <f>ROUND(产出与消耗!P58*H119,0)</f>
        <v>462944</v>
      </c>
      <c r="H119" s="57">
        <v>7.0000000000000007E-2</v>
      </c>
    </row>
    <row r="120" spans="2:8">
      <c r="B120">
        <v>12</v>
      </c>
      <c r="C120" s="61">
        <f>ROUND(产出与消耗!P15*D120,0)</f>
        <v>885298</v>
      </c>
      <c r="D120" s="57">
        <v>0.05</v>
      </c>
      <c r="E120" s="61">
        <f>ROUND(产出与消耗!P37*F120,0)</f>
        <v>472159</v>
      </c>
      <c r="F120" s="57">
        <v>0.02</v>
      </c>
      <c r="G120" s="61">
        <f>ROUND(产出与消耗!P59*H120,0)</f>
        <v>1032847</v>
      </c>
      <c r="H120" s="57">
        <v>7.0000000000000007E-2</v>
      </c>
    </row>
    <row r="121" spans="2:8">
      <c r="B121">
        <v>13</v>
      </c>
      <c r="C121" s="61">
        <f>ROUND(产出与消耗!P16*D121,0)</f>
        <v>1716941</v>
      </c>
      <c r="D121" s="57">
        <v>0.05</v>
      </c>
      <c r="E121" s="61">
        <f>ROUND(产出与消耗!P38*F121,0)</f>
        <v>915702</v>
      </c>
      <c r="F121" s="57">
        <v>0.02</v>
      </c>
      <c r="G121" s="61">
        <f>ROUND(产出与消耗!P60*H121,0)</f>
        <v>2003098</v>
      </c>
      <c r="H121" s="57">
        <v>7.0000000000000007E-2</v>
      </c>
    </row>
    <row r="122" spans="2:8">
      <c r="B122">
        <v>14</v>
      </c>
      <c r="C122" s="61">
        <f>ROUND(产出与消耗!P17*D122,0)</f>
        <v>2961101</v>
      </c>
      <c r="D122" s="57">
        <v>0.05</v>
      </c>
      <c r="E122" s="61">
        <f>ROUND(产出与消耗!P39*F122,0)</f>
        <v>1579254</v>
      </c>
      <c r="F122" s="57">
        <v>0.02</v>
      </c>
      <c r="G122" s="61">
        <f>ROUND(产出与消耗!P61*H122,0)</f>
        <v>3454618</v>
      </c>
      <c r="H122" s="57">
        <v>7.0000000000000007E-2</v>
      </c>
    </row>
    <row r="123" spans="2:8">
      <c r="B123">
        <v>15</v>
      </c>
      <c r="C123" s="61">
        <f>ROUND(产出与消耗!P18*D123,0)</f>
        <v>4860000</v>
      </c>
      <c r="D123" s="57">
        <v>0.05</v>
      </c>
      <c r="E123" s="61">
        <f>ROUND(产出与消耗!P40*F123,0)</f>
        <v>2592000</v>
      </c>
      <c r="F123" s="57">
        <v>0.02</v>
      </c>
      <c r="G123" s="61">
        <f>ROUND(产出与消耗!P62*H123,0)</f>
        <v>5670000</v>
      </c>
      <c r="H123" s="57">
        <v>7.0000000000000007E-2</v>
      </c>
    </row>
    <row r="124" spans="2:8">
      <c r="B124">
        <v>16</v>
      </c>
      <c r="C124" s="61">
        <f>ROUND(产出与消耗!P19*D124,0)</f>
        <v>7517578</v>
      </c>
      <c r="D124" s="57">
        <v>0.05</v>
      </c>
      <c r="E124" s="61">
        <f>ROUND(产出与消耗!P41*F124,0)</f>
        <v>4009375</v>
      </c>
      <c r="F124" s="57">
        <v>0.02</v>
      </c>
      <c r="G124" s="61">
        <f>ROUND(产出与消耗!P63*H124,0)</f>
        <v>8770507</v>
      </c>
      <c r="H124" s="57">
        <v>7.0000000000000007E-2</v>
      </c>
    </row>
    <row r="125" spans="2:8">
      <c r="B125">
        <v>17</v>
      </c>
      <c r="C125" s="61">
        <f>ROUND(产出与消耗!P20*D125,0)</f>
        <v>11227533</v>
      </c>
      <c r="D125" s="57">
        <v>0.05</v>
      </c>
      <c r="E125" s="61">
        <f>ROUND(产出与消耗!P42*F125,0)</f>
        <v>5988018</v>
      </c>
      <c r="F125" s="57">
        <v>0.02</v>
      </c>
      <c r="G125" s="61">
        <f>ROUND(产出与消耗!P64*H125,0)</f>
        <v>13098789</v>
      </c>
      <c r="H125" s="57">
        <v>7.0000000000000007E-2</v>
      </c>
    </row>
    <row r="126" spans="2:8">
      <c r="B126">
        <v>18</v>
      </c>
      <c r="C126" s="61">
        <f>ROUND(产出与消耗!P21*D126,0)</f>
        <v>16329600</v>
      </c>
      <c r="D126" s="57">
        <v>0.05</v>
      </c>
      <c r="E126" s="61">
        <f>ROUND(产出与消耗!P43*F126,0)</f>
        <v>8709120</v>
      </c>
      <c r="F126" s="57">
        <v>0.02</v>
      </c>
      <c r="G126" s="61">
        <f>ROUND(产出与消耗!P65*H126,0)</f>
        <v>19051200</v>
      </c>
      <c r="H126" s="57">
        <v>7.0000000000000007E-2</v>
      </c>
    </row>
    <row r="127" spans="2:8">
      <c r="B127">
        <v>19</v>
      </c>
      <c r="C127" s="61">
        <f>ROUND(产出与消耗!P22*D127,0)</f>
        <v>23129194</v>
      </c>
      <c r="D127" s="57">
        <v>0.05</v>
      </c>
      <c r="E127" s="61">
        <f>ROUND(产出与消耗!P44*F127,0)</f>
        <v>12335570</v>
      </c>
      <c r="F127" s="57">
        <v>0.02</v>
      </c>
      <c r="G127" s="61">
        <f>ROUND(产出与消耗!P66*H127,0)</f>
        <v>26984059</v>
      </c>
      <c r="H127" s="57">
        <v>7.0000000000000007E-2</v>
      </c>
    </row>
    <row r="128" spans="2:8">
      <c r="B128">
        <v>20</v>
      </c>
      <c r="C128" s="61">
        <f>ROUND(产出与消耗!P23*D128,0)</f>
        <v>33436800</v>
      </c>
      <c r="D128" s="57">
        <v>0.05</v>
      </c>
      <c r="E128" s="61">
        <f>ROUND(产出与消耗!P45*F128,0)</f>
        <v>17832960</v>
      </c>
      <c r="F128" s="57">
        <v>0.02</v>
      </c>
      <c r="G128" s="61">
        <f>ROUND(产出与消耗!P67*H128,0)</f>
        <v>39009600</v>
      </c>
      <c r="H128" s="57">
        <v>7.0000000000000007E-2</v>
      </c>
    </row>
    <row r="129" spans="1:10" s="47" customFormat="1">
      <c r="A129" s="47" t="s">
        <v>458</v>
      </c>
      <c r="C129" s="61"/>
      <c r="D129" s="58"/>
      <c r="E129" s="61"/>
      <c r="F129" s="58"/>
      <c r="G129" s="61"/>
      <c r="H129" s="58"/>
      <c r="I129" s="60"/>
      <c r="J129" s="58"/>
    </row>
    <row r="130" spans="1:10">
      <c r="B130">
        <v>1</v>
      </c>
      <c r="C130" s="61">
        <f>ROUND(产出与消耗!P4*D130,0)</f>
        <v>2</v>
      </c>
      <c r="D130" s="57">
        <v>0.06</v>
      </c>
      <c r="E130" s="61">
        <f>ROUND(产出与消耗!P26*F130,0)</f>
        <v>2</v>
      </c>
      <c r="F130" s="57">
        <v>0.04</v>
      </c>
      <c r="G130" s="61">
        <f>ROUND(产出与消耗!P48*H130,0)</f>
        <v>0</v>
      </c>
      <c r="H130" s="57">
        <v>0.02</v>
      </c>
    </row>
    <row r="131" spans="1:10">
      <c r="B131">
        <v>2</v>
      </c>
      <c r="C131" s="61">
        <f>ROUND(产出与消耗!P5*D131,0)</f>
        <v>19</v>
      </c>
      <c r="D131" s="57">
        <v>0.06</v>
      </c>
      <c r="E131" s="61">
        <f>ROUND(产出与消耗!P27*F131,0)</f>
        <v>17</v>
      </c>
      <c r="F131" s="57">
        <v>0.04</v>
      </c>
      <c r="G131" s="61">
        <f>ROUND(产出与消耗!P49*H131,0)</f>
        <v>5</v>
      </c>
      <c r="H131" s="57">
        <v>0.02</v>
      </c>
    </row>
    <row r="132" spans="1:10">
      <c r="B132">
        <v>3</v>
      </c>
      <c r="C132" s="61">
        <f>ROUND(产出与消耗!P6*D132,0)</f>
        <v>121</v>
      </c>
      <c r="D132" s="57">
        <v>0.06</v>
      </c>
      <c r="E132" s="61">
        <f>ROUND(产出与消耗!P28*F132,0)</f>
        <v>108</v>
      </c>
      <c r="F132" s="57">
        <v>0.04</v>
      </c>
      <c r="G132" s="61">
        <f>ROUND(产出与消耗!P50*H132,0)</f>
        <v>34</v>
      </c>
      <c r="H132" s="57">
        <v>0.02</v>
      </c>
    </row>
    <row r="133" spans="1:10">
      <c r="B133">
        <v>4</v>
      </c>
      <c r="C133" s="61">
        <f>ROUND(产出与消耗!P7*D133,0)</f>
        <v>490</v>
      </c>
      <c r="D133" s="57">
        <v>0.06</v>
      </c>
      <c r="E133" s="61">
        <f>ROUND(产出与消耗!P29*F133,0)</f>
        <v>435</v>
      </c>
      <c r="F133" s="57">
        <v>0.04</v>
      </c>
      <c r="G133" s="61">
        <f>ROUND(产出与消耗!P51*H133,0)</f>
        <v>136</v>
      </c>
      <c r="H133" s="57">
        <v>0.02</v>
      </c>
    </row>
    <row r="134" spans="1:10">
      <c r="B134">
        <v>5</v>
      </c>
      <c r="C134" s="61">
        <f>ROUND(产出与消耗!P8*D134,0)</f>
        <v>1586</v>
      </c>
      <c r="D134" s="57">
        <v>0.06</v>
      </c>
      <c r="E134" s="61">
        <f>ROUND(产出与消耗!P30*F134,0)</f>
        <v>1410</v>
      </c>
      <c r="F134" s="57">
        <v>0.04</v>
      </c>
      <c r="G134" s="61">
        <f>ROUND(产出与消耗!P52*H134,0)</f>
        <v>441</v>
      </c>
      <c r="H134" s="57">
        <v>0.02</v>
      </c>
    </row>
    <row r="135" spans="1:10">
      <c r="B135">
        <v>6</v>
      </c>
      <c r="C135" s="61">
        <f>ROUND(产出与消耗!P9*D135,0)</f>
        <v>4529</v>
      </c>
      <c r="D135" s="57">
        <v>0.06</v>
      </c>
      <c r="E135" s="61">
        <f>ROUND(产出与消耗!P31*F135,0)</f>
        <v>4026</v>
      </c>
      <c r="F135" s="57">
        <v>0.04</v>
      </c>
      <c r="G135" s="61">
        <f>ROUND(产出与消耗!P53*H135,0)</f>
        <v>1258</v>
      </c>
      <c r="H135" s="57">
        <v>0.02</v>
      </c>
    </row>
    <row r="136" spans="1:10">
      <c r="B136">
        <v>7</v>
      </c>
      <c r="C136" s="61">
        <f>ROUND(产出与消耗!P10*D136,0)</f>
        <v>12770</v>
      </c>
      <c r="D136" s="57">
        <v>0.06</v>
      </c>
      <c r="E136" s="61">
        <f>ROUND(产出与消耗!P32*F136,0)</f>
        <v>11351</v>
      </c>
      <c r="F136" s="57">
        <v>0.04</v>
      </c>
      <c r="G136" s="61">
        <f>ROUND(产出与消耗!P54*H136,0)</f>
        <v>3547</v>
      </c>
      <c r="H136" s="57">
        <v>0.02</v>
      </c>
    </row>
    <row r="137" spans="1:10">
      <c r="B137">
        <v>8</v>
      </c>
      <c r="C137" s="61">
        <f>ROUND(产出与消耗!P11*D137,0)</f>
        <v>40927</v>
      </c>
      <c r="D137" s="57">
        <v>0.06</v>
      </c>
      <c r="E137" s="61">
        <f>ROUND(产出与消耗!P33*F137,0)</f>
        <v>36379</v>
      </c>
      <c r="F137" s="57">
        <v>0.04</v>
      </c>
      <c r="G137" s="61">
        <f>ROUND(产出与消耗!P55*H137,0)</f>
        <v>11369</v>
      </c>
      <c r="H137" s="57">
        <v>0.02</v>
      </c>
    </row>
    <row r="138" spans="1:10">
      <c r="B138">
        <v>9</v>
      </c>
      <c r="C138" s="61">
        <f>ROUND(产出与消耗!P12*D138,0)</f>
        <v>97216</v>
      </c>
      <c r="D138" s="57">
        <v>0.06</v>
      </c>
      <c r="E138" s="61">
        <f>ROUND(产出与消耗!P34*F138,0)</f>
        <v>86414</v>
      </c>
      <c r="F138" s="57">
        <v>0.04</v>
      </c>
      <c r="G138" s="61">
        <f>ROUND(产出与消耗!P56*H138,0)</f>
        <v>27004</v>
      </c>
      <c r="H138" s="57">
        <v>0.02</v>
      </c>
    </row>
    <row r="139" spans="1:10">
      <c r="B139">
        <v>10</v>
      </c>
      <c r="C139" s="61">
        <f>ROUND(产出与消耗!P13*D139,0)</f>
        <v>232658</v>
      </c>
      <c r="D139" s="57">
        <v>0.06</v>
      </c>
      <c r="E139" s="61">
        <f>ROUND(产出与消耗!P35*F139,0)</f>
        <v>206807</v>
      </c>
      <c r="F139" s="57">
        <v>0.04</v>
      </c>
      <c r="G139" s="61">
        <f>ROUND(产出与消耗!P57*H139,0)</f>
        <v>64627</v>
      </c>
      <c r="H139" s="57">
        <v>0.02</v>
      </c>
    </row>
    <row r="140" spans="1:10">
      <c r="B140">
        <v>11</v>
      </c>
      <c r="C140" s="61">
        <f>ROUND(产出与消耗!P14*D140,0)</f>
        <v>476171</v>
      </c>
      <c r="D140" s="57">
        <v>0.06</v>
      </c>
      <c r="E140" s="61">
        <f>ROUND(产出与消耗!P36*F140,0)</f>
        <v>423263</v>
      </c>
      <c r="F140" s="57">
        <v>0.04</v>
      </c>
      <c r="G140" s="61">
        <f>ROUND(产出与消耗!P58*H140,0)</f>
        <v>132270</v>
      </c>
      <c r="H140" s="57">
        <v>0.02</v>
      </c>
    </row>
    <row r="141" spans="1:10">
      <c r="B141">
        <v>12</v>
      </c>
      <c r="C141" s="61">
        <f>ROUND(产出与消耗!P15*D141,0)</f>
        <v>1062357</v>
      </c>
      <c r="D141" s="57">
        <v>0.06</v>
      </c>
      <c r="E141" s="61">
        <f>ROUND(产出与消耗!P37*F141,0)</f>
        <v>944317</v>
      </c>
      <c r="F141" s="57">
        <v>0.04</v>
      </c>
      <c r="G141" s="61">
        <f>ROUND(产出与消耗!P59*H141,0)</f>
        <v>295099</v>
      </c>
      <c r="H141" s="57">
        <v>0.02</v>
      </c>
    </row>
    <row r="142" spans="1:10">
      <c r="B142">
        <v>13</v>
      </c>
      <c r="C142" s="61">
        <f>ROUND(产出与消耗!P16*D142,0)</f>
        <v>2060329</v>
      </c>
      <c r="D142" s="57">
        <v>0.06</v>
      </c>
      <c r="E142" s="61">
        <f>ROUND(产出与消耗!P38*F142,0)</f>
        <v>1831404</v>
      </c>
      <c r="F142" s="57">
        <v>0.04</v>
      </c>
      <c r="G142" s="61">
        <f>ROUND(产出与消耗!P60*H142,0)</f>
        <v>572314</v>
      </c>
      <c r="H142" s="57">
        <v>0.02</v>
      </c>
    </row>
    <row r="143" spans="1:10">
      <c r="B143">
        <v>14</v>
      </c>
      <c r="C143" s="61">
        <f>ROUND(产出与消耗!P17*D143,0)</f>
        <v>3553321</v>
      </c>
      <c r="D143" s="57">
        <v>0.06</v>
      </c>
      <c r="E143" s="61">
        <f>ROUND(产出与消耗!P39*F143,0)</f>
        <v>3158508</v>
      </c>
      <c r="F143" s="57">
        <v>0.04</v>
      </c>
      <c r="G143" s="61">
        <f>ROUND(产出与消耗!P61*H143,0)</f>
        <v>987034</v>
      </c>
      <c r="H143" s="57">
        <v>0.02</v>
      </c>
    </row>
    <row r="144" spans="1:10">
      <c r="B144">
        <v>15</v>
      </c>
      <c r="C144" s="61">
        <f>ROUND(产出与消耗!P18*D144,0)</f>
        <v>5832000</v>
      </c>
      <c r="D144" s="57">
        <v>0.06</v>
      </c>
      <c r="E144" s="61">
        <f>ROUND(产出与消耗!P40*F144,0)</f>
        <v>5184000</v>
      </c>
      <c r="F144" s="57">
        <v>0.04</v>
      </c>
      <c r="G144" s="61">
        <f>ROUND(产出与消耗!P62*H144,0)</f>
        <v>1620000</v>
      </c>
      <c r="H144" s="57">
        <v>0.02</v>
      </c>
    </row>
    <row r="145" spans="1:10">
      <c r="B145">
        <v>16</v>
      </c>
      <c r="C145" s="61">
        <f>ROUND(产出与消耗!P19*D145,0)</f>
        <v>9021093</v>
      </c>
      <c r="D145" s="57">
        <v>0.06</v>
      </c>
      <c r="E145" s="61">
        <f>ROUND(产出与消耗!P41*F145,0)</f>
        <v>8018749</v>
      </c>
      <c r="F145" s="57">
        <v>0.04</v>
      </c>
      <c r="G145" s="61">
        <f>ROUND(产出与消耗!P63*H145,0)</f>
        <v>2505859</v>
      </c>
      <c r="H145" s="57">
        <v>0.02</v>
      </c>
    </row>
    <row r="146" spans="1:10">
      <c r="B146">
        <v>17</v>
      </c>
      <c r="C146" s="61">
        <f>ROUND(产出与消耗!P20*D146,0)</f>
        <v>13473040</v>
      </c>
      <c r="D146" s="57">
        <v>0.06</v>
      </c>
      <c r="E146" s="61">
        <f>ROUND(产出与消耗!P42*F146,0)</f>
        <v>11976035</v>
      </c>
      <c r="F146" s="57">
        <v>0.04</v>
      </c>
      <c r="G146" s="61">
        <f>ROUND(产出与消耗!P64*H146,0)</f>
        <v>3742511</v>
      </c>
      <c r="H146" s="57">
        <v>0.02</v>
      </c>
    </row>
    <row r="147" spans="1:10">
      <c r="B147">
        <v>18</v>
      </c>
      <c r="C147" s="61">
        <f>ROUND(产出与消耗!P21*D147,0)</f>
        <v>19595520</v>
      </c>
      <c r="D147" s="57">
        <v>0.06</v>
      </c>
      <c r="E147" s="61">
        <f>ROUND(产出与消耗!P43*F147,0)</f>
        <v>17418240</v>
      </c>
      <c r="F147" s="57">
        <v>0.04</v>
      </c>
      <c r="G147" s="61">
        <f>ROUND(产出与消耗!P65*H147,0)</f>
        <v>5443200</v>
      </c>
      <c r="H147" s="57">
        <v>0.02</v>
      </c>
    </row>
    <row r="148" spans="1:10">
      <c r="B148">
        <v>19</v>
      </c>
      <c r="C148" s="61">
        <f>ROUND(产出与消耗!P22*D148,0)</f>
        <v>27755032</v>
      </c>
      <c r="D148" s="57">
        <v>0.06</v>
      </c>
      <c r="E148" s="61">
        <f>ROUND(产出与消耗!P44*F148,0)</f>
        <v>24671140</v>
      </c>
      <c r="F148" s="57">
        <v>0.04</v>
      </c>
      <c r="G148" s="61">
        <f>ROUND(产出与消耗!P66*H148,0)</f>
        <v>7709731</v>
      </c>
      <c r="H148" s="57">
        <v>0.02</v>
      </c>
    </row>
    <row r="149" spans="1:10">
      <c r="B149">
        <v>20</v>
      </c>
      <c r="C149" s="61">
        <f>ROUND(产出与消耗!P23*D149,0)</f>
        <v>40124160</v>
      </c>
      <c r="D149" s="57">
        <v>0.06</v>
      </c>
      <c r="E149" s="61">
        <f>ROUND(产出与消耗!P45*F149,0)</f>
        <v>35665920</v>
      </c>
      <c r="F149" s="57">
        <v>0.04</v>
      </c>
      <c r="G149" s="61">
        <f>ROUND(产出与消耗!P67*H149,0)</f>
        <v>11145600</v>
      </c>
      <c r="H149" s="57">
        <v>0.02</v>
      </c>
    </row>
    <row r="150" spans="1:10" s="47" customFormat="1">
      <c r="A150" s="47" t="s">
        <v>482</v>
      </c>
      <c r="C150" s="61"/>
      <c r="D150" s="58"/>
      <c r="E150" s="61"/>
      <c r="F150" s="58"/>
      <c r="G150" s="61"/>
      <c r="H150" s="58"/>
      <c r="I150" s="60"/>
      <c r="J150" s="58"/>
    </row>
    <row r="151" spans="1:10">
      <c r="B151">
        <v>1</v>
      </c>
      <c r="C151" s="61">
        <f>ROUND(产出与消耗!P4*D151,0)</f>
        <v>0</v>
      </c>
      <c r="D151" s="57">
        <v>1.4999999999999999E-2</v>
      </c>
      <c r="E151" s="61">
        <f>ROUND(产出与消耗!P26*F151,0)</f>
        <v>1</v>
      </c>
      <c r="F151" s="57">
        <v>0.03</v>
      </c>
      <c r="G151" s="61">
        <f>ROUND(产出与消耗!P48*H151,0)</f>
        <v>1</v>
      </c>
      <c r="H151" s="57">
        <v>4.4999999999999998E-2</v>
      </c>
    </row>
    <row r="152" spans="1:10">
      <c r="B152">
        <v>2</v>
      </c>
      <c r="C152" s="61">
        <f>ROUND(产出与消耗!P5*D152,0)</f>
        <v>5</v>
      </c>
      <c r="D152" s="57">
        <v>1.4999999999999999E-2</v>
      </c>
      <c r="E152" s="61">
        <f>ROUND(产出与消耗!P27*F152,0)</f>
        <v>12</v>
      </c>
      <c r="F152" s="57">
        <v>0.03</v>
      </c>
      <c r="G152" s="61">
        <f>ROUND(产出与消耗!P49*H152,0)</f>
        <v>12</v>
      </c>
      <c r="H152" s="57">
        <v>4.4999999999999998E-2</v>
      </c>
    </row>
    <row r="153" spans="1:10">
      <c r="B153">
        <v>3</v>
      </c>
      <c r="C153" s="61">
        <f>ROUND(产出与消耗!P6*D153,0)</f>
        <v>30</v>
      </c>
      <c r="D153" s="57">
        <v>1.4999999999999999E-2</v>
      </c>
      <c r="E153" s="61">
        <f>ROUND(产出与消耗!P28*F153,0)</f>
        <v>81</v>
      </c>
      <c r="F153" s="57">
        <v>0.03</v>
      </c>
      <c r="G153" s="61">
        <f>ROUND(产出与消耗!P50*H153,0)</f>
        <v>76</v>
      </c>
      <c r="H153" s="57">
        <v>4.4999999999999998E-2</v>
      </c>
    </row>
    <row r="154" spans="1:10">
      <c r="B154">
        <v>4</v>
      </c>
      <c r="C154" s="61">
        <f>ROUND(产出与消耗!P7*D154,0)</f>
        <v>122</v>
      </c>
      <c r="D154" s="57">
        <v>1.4999999999999999E-2</v>
      </c>
      <c r="E154" s="61">
        <f>ROUND(产出与消耗!P29*F154,0)</f>
        <v>327</v>
      </c>
      <c r="F154" s="57">
        <v>0.03</v>
      </c>
      <c r="G154" s="61">
        <f>ROUND(产出与消耗!P51*H154,0)</f>
        <v>306</v>
      </c>
      <c r="H154" s="57">
        <v>4.4999999999999998E-2</v>
      </c>
    </row>
    <row r="155" spans="1:10">
      <c r="B155">
        <v>5</v>
      </c>
      <c r="C155" s="61">
        <f>ROUND(产出与消耗!P8*D155,0)</f>
        <v>397</v>
      </c>
      <c r="D155" s="57">
        <v>1.4999999999999999E-2</v>
      </c>
      <c r="E155" s="61">
        <f>ROUND(产出与消耗!P30*F155,0)</f>
        <v>1058</v>
      </c>
      <c r="F155" s="57">
        <v>0.03</v>
      </c>
      <c r="G155" s="61">
        <f>ROUND(产出与消耗!P52*H155,0)</f>
        <v>991</v>
      </c>
      <c r="H155" s="57">
        <v>4.4999999999999998E-2</v>
      </c>
    </row>
    <row r="156" spans="1:10">
      <c r="B156">
        <v>6</v>
      </c>
      <c r="C156" s="61">
        <f>ROUND(产出与消耗!P9*D156,0)</f>
        <v>1132</v>
      </c>
      <c r="D156" s="57">
        <v>1.4999999999999999E-2</v>
      </c>
      <c r="E156" s="61">
        <f>ROUND(产出与消耗!P31*F156,0)</f>
        <v>3019</v>
      </c>
      <c r="F156" s="57">
        <v>0.03</v>
      </c>
      <c r="G156" s="61">
        <f>ROUND(产出与消耗!P53*H156,0)</f>
        <v>2830</v>
      </c>
      <c r="H156" s="57">
        <v>4.4999999999999998E-2</v>
      </c>
    </row>
    <row r="157" spans="1:10">
      <c r="B157">
        <v>7</v>
      </c>
      <c r="C157" s="61">
        <f>ROUND(产出与消耗!P10*D157,0)</f>
        <v>3192</v>
      </c>
      <c r="D157" s="57">
        <v>1.4999999999999999E-2</v>
      </c>
      <c r="E157" s="61">
        <f>ROUND(产出与消耗!P32*F157,0)</f>
        <v>8513</v>
      </c>
      <c r="F157" s="57">
        <v>0.03</v>
      </c>
      <c r="G157" s="61">
        <f>ROUND(产出与消耗!P54*H157,0)</f>
        <v>7981</v>
      </c>
      <c r="H157" s="57">
        <v>4.4999999999999998E-2</v>
      </c>
    </row>
    <row r="158" spans="1:10">
      <c r="B158">
        <v>8</v>
      </c>
      <c r="C158" s="61">
        <f>ROUND(产出与消耗!P11*D158,0)</f>
        <v>10232</v>
      </c>
      <c r="D158" s="57">
        <v>1.4999999999999999E-2</v>
      </c>
      <c r="E158" s="61">
        <f>ROUND(产出与消耗!P33*F158,0)</f>
        <v>27284</v>
      </c>
      <c r="F158" s="57">
        <v>0.03</v>
      </c>
      <c r="G158" s="61">
        <f>ROUND(产出与消耗!P55*H158,0)</f>
        <v>25579</v>
      </c>
      <c r="H158" s="57">
        <v>4.4999999999999998E-2</v>
      </c>
    </row>
    <row r="159" spans="1:10">
      <c r="B159">
        <v>9</v>
      </c>
      <c r="C159" s="61">
        <f>ROUND(产出与消耗!P12*D159,0)</f>
        <v>24304</v>
      </c>
      <c r="D159" s="57">
        <v>1.4999999999999999E-2</v>
      </c>
      <c r="E159" s="61">
        <f>ROUND(产出与消耗!P34*F159,0)</f>
        <v>64810</v>
      </c>
      <c r="F159" s="57">
        <v>0.03</v>
      </c>
      <c r="G159" s="61">
        <f>ROUND(产出与消耗!P56*H159,0)</f>
        <v>60760</v>
      </c>
      <c r="H159" s="57">
        <v>4.4999999999999998E-2</v>
      </c>
    </row>
    <row r="160" spans="1:10">
      <c r="B160">
        <v>10</v>
      </c>
      <c r="C160" s="61">
        <f>ROUND(产出与消耗!P13*D160,0)</f>
        <v>58164</v>
      </c>
      <c r="D160" s="57">
        <v>1.4999999999999999E-2</v>
      </c>
      <c r="E160" s="61">
        <f>ROUND(产出与消耗!P35*F160,0)</f>
        <v>155105</v>
      </c>
      <c r="F160" s="57">
        <v>0.03</v>
      </c>
      <c r="G160" s="61">
        <f>ROUND(产出与消耗!P57*H160,0)</f>
        <v>145411</v>
      </c>
      <c r="H160" s="57">
        <v>4.4999999999999998E-2</v>
      </c>
    </row>
    <row r="161" spans="1:10">
      <c r="B161">
        <v>11</v>
      </c>
      <c r="C161" s="61">
        <f>ROUND(产出与消耗!P14*D161,0)</f>
        <v>119043</v>
      </c>
      <c r="D161" s="57">
        <v>1.4999999999999999E-2</v>
      </c>
      <c r="E161" s="61">
        <f>ROUND(产出与消耗!P36*F161,0)</f>
        <v>317447</v>
      </c>
      <c r="F161" s="57">
        <v>0.03</v>
      </c>
      <c r="G161" s="61">
        <f>ROUND(产出与消耗!P58*H161,0)</f>
        <v>297607</v>
      </c>
      <c r="H161" s="57">
        <v>4.4999999999999998E-2</v>
      </c>
    </row>
    <row r="162" spans="1:10">
      <c r="B162">
        <v>12</v>
      </c>
      <c r="C162" s="61">
        <f>ROUND(产出与消耗!P15*D162,0)</f>
        <v>265589</v>
      </c>
      <c r="D162" s="57">
        <v>1.4999999999999999E-2</v>
      </c>
      <c r="E162" s="61">
        <f>ROUND(产出与消耗!P37*F162,0)</f>
        <v>708238</v>
      </c>
      <c r="F162" s="57">
        <v>0.03</v>
      </c>
      <c r="G162" s="61">
        <f>ROUND(产出与消耗!P59*H162,0)</f>
        <v>663973</v>
      </c>
      <c r="H162" s="57">
        <v>4.4999999999999998E-2</v>
      </c>
    </row>
    <row r="163" spans="1:10">
      <c r="B163">
        <v>13</v>
      </c>
      <c r="C163" s="61">
        <f>ROUND(产出与消耗!P16*D163,0)</f>
        <v>515082</v>
      </c>
      <c r="D163" s="57">
        <v>1.4999999999999999E-2</v>
      </c>
      <c r="E163" s="61">
        <f>ROUND(产出与消耗!P38*F163,0)</f>
        <v>1373553</v>
      </c>
      <c r="F163" s="57">
        <v>0.03</v>
      </c>
      <c r="G163" s="61">
        <f>ROUND(产出与消耗!P60*H163,0)</f>
        <v>1287706</v>
      </c>
      <c r="H163" s="57">
        <v>4.4999999999999998E-2</v>
      </c>
    </row>
    <row r="164" spans="1:10">
      <c r="B164">
        <v>14</v>
      </c>
      <c r="C164" s="61">
        <f>ROUND(产出与消耗!P17*D164,0)</f>
        <v>888330</v>
      </c>
      <c r="D164" s="57">
        <v>1.4999999999999999E-2</v>
      </c>
      <c r="E164" s="61">
        <f>ROUND(产出与消耗!P39*F164,0)</f>
        <v>2368881</v>
      </c>
      <c r="F164" s="57">
        <v>0.03</v>
      </c>
      <c r="G164" s="61">
        <f>ROUND(产出与消耗!P61*H164,0)</f>
        <v>2220826</v>
      </c>
      <c r="H164" s="57">
        <v>4.4999999999999998E-2</v>
      </c>
    </row>
    <row r="165" spans="1:10">
      <c r="B165">
        <v>15</v>
      </c>
      <c r="C165" s="61">
        <f>ROUND(产出与消耗!P18*D165,0)</f>
        <v>1458000</v>
      </c>
      <c r="D165" s="57">
        <v>1.4999999999999999E-2</v>
      </c>
      <c r="E165" s="61">
        <f>ROUND(产出与消耗!P40*F165,0)</f>
        <v>3888000</v>
      </c>
      <c r="F165" s="57">
        <v>0.03</v>
      </c>
      <c r="G165" s="61">
        <f>ROUND(产出与消耗!P62*H165,0)</f>
        <v>3645000</v>
      </c>
      <c r="H165" s="57">
        <v>4.4999999999999998E-2</v>
      </c>
    </row>
    <row r="166" spans="1:10">
      <c r="B166">
        <v>16</v>
      </c>
      <c r="C166" s="61">
        <f>ROUND(产出与消耗!P19*D166,0)</f>
        <v>2255273</v>
      </c>
      <c r="D166" s="57">
        <v>1.4999999999999999E-2</v>
      </c>
      <c r="E166" s="61">
        <f>ROUND(产出与消耗!P41*F166,0)</f>
        <v>6014062</v>
      </c>
      <c r="F166" s="57">
        <v>0.03</v>
      </c>
      <c r="G166" s="61">
        <f>ROUND(产出与消耗!P63*H166,0)</f>
        <v>5638183</v>
      </c>
      <c r="H166" s="57">
        <v>4.4999999999999998E-2</v>
      </c>
    </row>
    <row r="167" spans="1:10">
      <c r="B167">
        <v>17</v>
      </c>
      <c r="C167" s="61">
        <f>ROUND(产出与消耗!P20*D167,0)</f>
        <v>3368260</v>
      </c>
      <c r="D167" s="57">
        <v>1.4999999999999999E-2</v>
      </c>
      <c r="E167" s="61">
        <f>ROUND(产出与消耗!P42*F167,0)</f>
        <v>8982026</v>
      </c>
      <c r="F167" s="57">
        <v>0.03</v>
      </c>
      <c r="G167" s="61">
        <f>ROUND(产出与消耗!P64*H167,0)</f>
        <v>8420650</v>
      </c>
      <c r="H167" s="57">
        <v>4.4999999999999998E-2</v>
      </c>
    </row>
    <row r="168" spans="1:10">
      <c r="B168">
        <v>18</v>
      </c>
      <c r="C168" s="61">
        <f>ROUND(产出与消耗!P21*D168,0)</f>
        <v>4898880</v>
      </c>
      <c r="D168" s="57">
        <v>1.4999999999999999E-2</v>
      </c>
      <c r="E168" s="61">
        <f>ROUND(产出与消耗!P43*F168,0)</f>
        <v>13063680</v>
      </c>
      <c r="F168" s="57">
        <v>0.03</v>
      </c>
      <c r="G168" s="61">
        <f>ROUND(产出与消耗!P65*H168,0)</f>
        <v>12247200</v>
      </c>
      <c r="H168" s="57">
        <v>4.4999999999999998E-2</v>
      </c>
    </row>
    <row r="169" spans="1:10">
      <c r="B169">
        <v>19</v>
      </c>
      <c r="C169" s="61">
        <f>ROUND(产出与消耗!P22*D169,0)</f>
        <v>6938758</v>
      </c>
      <c r="D169" s="57">
        <v>1.4999999999999999E-2</v>
      </c>
      <c r="E169" s="61">
        <f>ROUND(产出与消耗!P44*F169,0)</f>
        <v>18503355</v>
      </c>
      <c r="F169" s="57">
        <v>0.03</v>
      </c>
      <c r="G169" s="61">
        <f>ROUND(产出与消耗!P66*H169,0)</f>
        <v>17346895</v>
      </c>
      <c r="H169" s="57">
        <v>4.4999999999999998E-2</v>
      </c>
    </row>
    <row r="170" spans="1:10">
      <c r="B170">
        <v>20</v>
      </c>
      <c r="C170" s="61">
        <f>ROUND(产出与消耗!P23*D170,0)</f>
        <v>10031040</v>
      </c>
      <c r="D170" s="57">
        <v>1.4999999999999999E-2</v>
      </c>
      <c r="E170" s="61">
        <f>ROUND(产出与消耗!P45*F170,0)</f>
        <v>26749440</v>
      </c>
      <c r="F170" s="57">
        <v>0.03</v>
      </c>
      <c r="G170" s="61">
        <f>ROUND(产出与消耗!P67*H170,0)</f>
        <v>25077600</v>
      </c>
      <c r="H170" s="57">
        <v>4.4999999999999998E-2</v>
      </c>
    </row>
    <row r="171" spans="1:10" s="47" customFormat="1">
      <c r="A171" s="47" t="s">
        <v>185</v>
      </c>
      <c r="C171" s="61"/>
      <c r="D171" s="58"/>
      <c r="E171" s="61"/>
      <c r="F171" s="58"/>
      <c r="G171" s="61"/>
      <c r="H171" s="58"/>
      <c r="I171" s="60"/>
      <c r="J171" s="58"/>
    </row>
    <row r="172" spans="1:10">
      <c r="B172">
        <v>1</v>
      </c>
      <c r="C172" s="61">
        <f>ROUND(产出与消耗!P4*D172,0)</f>
        <v>4</v>
      </c>
      <c r="D172" s="57">
        <v>0.14000000000000001</v>
      </c>
      <c r="E172" s="61">
        <f>ROUND(产出与消耗!P26*F172,0)</f>
        <v>5</v>
      </c>
      <c r="F172" s="57">
        <v>0.13</v>
      </c>
      <c r="G172" s="61">
        <f>ROUND(产出与消耗!P48*H172,0)</f>
        <v>2</v>
      </c>
      <c r="H172" s="57">
        <v>0.1</v>
      </c>
    </row>
    <row r="173" spans="1:10">
      <c r="B173">
        <v>2</v>
      </c>
      <c r="C173" s="61">
        <f>ROUND(产出与消耗!P5*D173,0)</f>
        <v>44</v>
      </c>
      <c r="D173" s="57">
        <v>0.14000000000000001</v>
      </c>
      <c r="E173" s="61">
        <f>ROUND(产出与消耗!P27*F173,0)</f>
        <v>54</v>
      </c>
      <c r="F173" s="57">
        <v>0.13</v>
      </c>
      <c r="G173" s="61">
        <f>ROUND(产出与消耗!P49*H173,0)</f>
        <v>26</v>
      </c>
      <c r="H173" s="57">
        <v>0.1</v>
      </c>
    </row>
    <row r="174" spans="1:10">
      <c r="B174">
        <v>3</v>
      </c>
      <c r="C174" s="61">
        <f>ROUND(产出与消耗!P6*D174,0)</f>
        <v>283</v>
      </c>
      <c r="D174" s="57">
        <v>0.14000000000000001</v>
      </c>
      <c r="E174" s="61">
        <f>ROUND(产出与消耗!P28*F174,0)</f>
        <v>350</v>
      </c>
      <c r="F174" s="57">
        <v>0.13</v>
      </c>
      <c r="G174" s="61">
        <f>ROUND(产出与消耗!P50*H174,0)</f>
        <v>169</v>
      </c>
      <c r="H174" s="57">
        <v>0.1</v>
      </c>
    </row>
    <row r="175" spans="1:10">
      <c r="B175">
        <v>4</v>
      </c>
      <c r="C175" s="61">
        <f>ROUND(产出与消耗!P7*D175,0)</f>
        <v>1143</v>
      </c>
      <c r="D175" s="57">
        <v>0.14000000000000001</v>
      </c>
      <c r="E175" s="61">
        <f>ROUND(产出与消耗!P29*F175,0)</f>
        <v>1415</v>
      </c>
      <c r="F175" s="57">
        <v>0.13</v>
      </c>
      <c r="G175" s="61">
        <f>ROUND(产出与消耗!P51*H175,0)</f>
        <v>680</v>
      </c>
      <c r="H175" s="57">
        <v>0.1</v>
      </c>
    </row>
    <row r="176" spans="1:10">
      <c r="B176">
        <v>5</v>
      </c>
      <c r="C176" s="61">
        <f>ROUND(产出与消耗!P8*D176,0)</f>
        <v>3701</v>
      </c>
      <c r="D176" s="57">
        <v>0.14000000000000001</v>
      </c>
      <c r="E176" s="61">
        <f>ROUND(产出与消耗!P30*F176,0)</f>
        <v>4583</v>
      </c>
      <c r="F176" s="57">
        <v>0.13</v>
      </c>
      <c r="G176" s="61">
        <f>ROUND(产出与消耗!P52*H176,0)</f>
        <v>2203</v>
      </c>
      <c r="H176" s="57">
        <v>0.1</v>
      </c>
    </row>
    <row r="177" spans="1:10">
      <c r="B177">
        <v>6</v>
      </c>
      <c r="C177" s="61">
        <f>ROUND(产出与消耗!P9*D177,0)</f>
        <v>10567</v>
      </c>
      <c r="D177" s="57">
        <v>0.14000000000000001</v>
      </c>
      <c r="E177" s="61">
        <f>ROUND(产出与消耗!P31*F177,0)</f>
        <v>13083</v>
      </c>
      <c r="F177" s="57">
        <v>0.13</v>
      </c>
      <c r="G177" s="61">
        <f>ROUND(产出与消耗!P53*H177,0)</f>
        <v>6290</v>
      </c>
      <c r="H177" s="57">
        <v>0.1</v>
      </c>
    </row>
    <row r="178" spans="1:10">
      <c r="B178">
        <v>7</v>
      </c>
      <c r="C178" s="61">
        <f>ROUND(产出与消耗!P10*D178,0)</f>
        <v>29796</v>
      </c>
      <c r="D178" s="57">
        <v>0.14000000000000001</v>
      </c>
      <c r="E178" s="61">
        <f>ROUND(产出与消耗!P32*F178,0)</f>
        <v>36890</v>
      </c>
      <c r="F178" s="57">
        <v>0.13</v>
      </c>
      <c r="G178" s="61">
        <f>ROUND(产出与消耗!P54*H178,0)</f>
        <v>17736</v>
      </c>
      <c r="H178" s="57">
        <v>0.1</v>
      </c>
    </row>
    <row r="179" spans="1:10">
      <c r="B179">
        <v>8</v>
      </c>
      <c r="C179" s="61">
        <f>ROUND(产出与消耗!P11*D179,0)</f>
        <v>95496</v>
      </c>
      <c r="D179" s="57">
        <v>0.14000000000000001</v>
      </c>
      <c r="E179" s="61">
        <f>ROUND(产出与消耗!P33*F179,0)</f>
        <v>118233</v>
      </c>
      <c r="F179" s="57">
        <v>0.13</v>
      </c>
      <c r="G179" s="61">
        <f>ROUND(产出与消耗!P55*H179,0)</f>
        <v>56843</v>
      </c>
      <c r="H179" s="57">
        <v>0.1</v>
      </c>
    </row>
    <row r="180" spans="1:10">
      <c r="B180">
        <v>9</v>
      </c>
      <c r="C180" s="61">
        <f>ROUND(产出与消耗!P12*D180,0)</f>
        <v>226836</v>
      </c>
      <c r="D180" s="57">
        <v>0.14000000000000001</v>
      </c>
      <c r="E180" s="61">
        <f>ROUND(产出与消耗!P34*F180,0)</f>
        <v>280845</v>
      </c>
      <c r="F180" s="57">
        <v>0.13</v>
      </c>
      <c r="G180" s="61">
        <f>ROUND(产出与消耗!P56*H180,0)</f>
        <v>135022</v>
      </c>
      <c r="H180" s="57">
        <v>0.1</v>
      </c>
    </row>
    <row r="181" spans="1:10">
      <c r="B181">
        <v>10</v>
      </c>
      <c r="C181" s="61">
        <f>ROUND(产出与消耗!P13*D181,0)</f>
        <v>542868</v>
      </c>
      <c r="D181" s="57">
        <v>0.14000000000000001</v>
      </c>
      <c r="E181" s="61">
        <f>ROUND(产出与消耗!P35*F181,0)</f>
        <v>672123</v>
      </c>
      <c r="F181" s="57">
        <v>0.13</v>
      </c>
      <c r="G181" s="61">
        <f>ROUND(产出与消耗!P57*H181,0)</f>
        <v>323136</v>
      </c>
      <c r="H181" s="57">
        <v>0.1</v>
      </c>
    </row>
    <row r="182" spans="1:10">
      <c r="B182">
        <v>11</v>
      </c>
      <c r="C182" s="61">
        <f>ROUND(产出与消耗!P14*D182,0)</f>
        <v>1111066</v>
      </c>
      <c r="D182" s="57">
        <v>0.14000000000000001</v>
      </c>
      <c r="E182" s="61">
        <f>ROUND(产出与消耗!P36*F182,0)</f>
        <v>1375606</v>
      </c>
      <c r="F182" s="57">
        <v>0.13</v>
      </c>
      <c r="G182" s="61">
        <f>ROUND(产出与消耗!P58*H182,0)</f>
        <v>661349</v>
      </c>
      <c r="H182" s="57">
        <v>0.1</v>
      </c>
    </row>
    <row r="183" spans="1:10">
      <c r="B183">
        <v>12</v>
      </c>
      <c r="C183" s="61">
        <f>ROUND(产出与消耗!P15*D183,0)</f>
        <v>2478833</v>
      </c>
      <c r="D183" s="57">
        <v>0.14000000000000001</v>
      </c>
      <c r="E183" s="61">
        <f>ROUND(产出与消耗!P37*F183,0)</f>
        <v>3069032</v>
      </c>
      <c r="F183" s="57">
        <v>0.13</v>
      </c>
      <c r="G183" s="61">
        <f>ROUND(产出与消耗!P59*H183,0)</f>
        <v>1475496</v>
      </c>
      <c r="H183" s="57">
        <v>0.1</v>
      </c>
    </row>
    <row r="184" spans="1:10">
      <c r="B184">
        <v>13</v>
      </c>
      <c r="C184" s="61">
        <f>ROUND(产出与消耗!P16*D184,0)</f>
        <v>4807434</v>
      </c>
      <c r="D184" s="57">
        <v>0.14000000000000001</v>
      </c>
      <c r="E184" s="61">
        <f>ROUND(产出与消耗!P38*F184,0)</f>
        <v>5952061</v>
      </c>
      <c r="F184" s="57">
        <v>0.13</v>
      </c>
      <c r="G184" s="61">
        <f>ROUND(产出与消耗!P60*H184,0)</f>
        <v>2861568</v>
      </c>
      <c r="H184" s="57">
        <v>0.1</v>
      </c>
    </row>
    <row r="185" spans="1:10">
      <c r="B185">
        <v>14</v>
      </c>
      <c r="C185" s="61">
        <f>ROUND(产出与消耗!P17*D185,0)</f>
        <v>8291082</v>
      </c>
      <c r="D185" s="57">
        <v>0.14000000000000001</v>
      </c>
      <c r="E185" s="61">
        <f>ROUND(产出与消耗!P39*F185,0)</f>
        <v>10265149</v>
      </c>
      <c r="F185" s="57">
        <v>0.13</v>
      </c>
      <c r="G185" s="61">
        <f>ROUND(产出与消耗!P61*H185,0)</f>
        <v>4935168</v>
      </c>
      <c r="H185" s="57">
        <v>0.1</v>
      </c>
    </row>
    <row r="186" spans="1:10">
      <c r="B186">
        <v>15</v>
      </c>
      <c r="C186" s="61">
        <f>ROUND(产出与消耗!P18*D186,0)</f>
        <v>13608000</v>
      </c>
      <c r="D186" s="57">
        <v>0.14000000000000001</v>
      </c>
      <c r="E186" s="61">
        <f>ROUND(产出与消耗!P40*F186,0)</f>
        <v>16848000</v>
      </c>
      <c r="F186" s="57">
        <v>0.13</v>
      </c>
      <c r="G186" s="61">
        <f>ROUND(产出与消耗!P62*H186,0)</f>
        <v>8100000</v>
      </c>
      <c r="H186" s="57">
        <v>0.1</v>
      </c>
    </row>
    <row r="187" spans="1:10">
      <c r="B187">
        <v>16</v>
      </c>
      <c r="C187" s="61">
        <f>ROUND(产出与消耗!P19*D187,0)</f>
        <v>21049217</v>
      </c>
      <c r="D187" s="57">
        <v>0.14000000000000001</v>
      </c>
      <c r="E187" s="61">
        <f>ROUND(产出与消耗!P41*F187,0)</f>
        <v>26060936</v>
      </c>
      <c r="F187" s="57">
        <v>0.13</v>
      </c>
      <c r="G187" s="61">
        <f>ROUND(产出与消耗!P63*H187,0)</f>
        <v>12529296</v>
      </c>
      <c r="H187" s="57">
        <v>0.1</v>
      </c>
    </row>
    <row r="188" spans="1:10">
      <c r="B188">
        <v>17</v>
      </c>
      <c r="C188" s="61">
        <f>ROUND(产出与消耗!P20*D188,0)</f>
        <v>31437093</v>
      </c>
      <c r="D188" s="57">
        <v>0.14000000000000001</v>
      </c>
      <c r="E188" s="61">
        <f>ROUND(产出与消耗!P42*F188,0)</f>
        <v>38922115</v>
      </c>
      <c r="F188" s="57">
        <v>0.13</v>
      </c>
      <c r="G188" s="61">
        <f>ROUND(产出与消耗!P64*H188,0)</f>
        <v>18712555</v>
      </c>
      <c r="H188" s="57">
        <v>0.1</v>
      </c>
    </row>
    <row r="189" spans="1:10">
      <c r="B189">
        <v>18</v>
      </c>
      <c r="C189" s="61">
        <f>ROUND(产出与消耗!P21*D189,0)</f>
        <v>45722880</v>
      </c>
      <c r="D189" s="57">
        <v>0.14000000000000001</v>
      </c>
      <c r="E189" s="61">
        <f>ROUND(产出与消耗!P43*F189,0)</f>
        <v>56609280</v>
      </c>
      <c r="F189" s="57">
        <v>0.13</v>
      </c>
      <c r="G189" s="61">
        <f>ROUND(产出与消耗!P65*H189,0)</f>
        <v>27216000</v>
      </c>
      <c r="H189" s="57">
        <v>0.1</v>
      </c>
    </row>
    <row r="190" spans="1:10">
      <c r="B190">
        <v>19</v>
      </c>
      <c r="C190" s="61">
        <f>ROUND(产出与消耗!P22*D190,0)</f>
        <v>64761742</v>
      </c>
      <c r="D190" s="57">
        <v>0.14000000000000001</v>
      </c>
      <c r="E190" s="61">
        <f>ROUND(产出与消耗!P44*F190,0)</f>
        <v>80181204</v>
      </c>
      <c r="F190" s="57">
        <v>0.13</v>
      </c>
      <c r="G190" s="61">
        <f>ROUND(产出与消耗!P66*H190,0)</f>
        <v>38548656</v>
      </c>
      <c r="H190" s="57">
        <v>0.1</v>
      </c>
    </row>
    <row r="191" spans="1:10">
      <c r="B191">
        <v>20</v>
      </c>
      <c r="C191" s="61">
        <f>ROUND(产出与消耗!P23*D191,0)</f>
        <v>93623040</v>
      </c>
      <c r="D191" s="57">
        <v>0.14000000000000001</v>
      </c>
      <c r="E191" s="61">
        <f>ROUND(产出与消耗!P45*F191,0)</f>
        <v>142663680</v>
      </c>
      <c r="F191" s="57">
        <v>0.16</v>
      </c>
      <c r="G191" s="61">
        <f>ROUND(产出与消耗!P67*H191,0)</f>
        <v>55728000</v>
      </c>
      <c r="H191" s="57">
        <v>0.1</v>
      </c>
    </row>
    <row r="192" spans="1:10" s="47" customFormat="1">
      <c r="A192" s="47" t="s">
        <v>187</v>
      </c>
      <c r="C192" s="61"/>
      <c r="D192" s="58"/>
      <c r="E192" s="61"/>
      <c r="F192" s="58"/>
      <c r="G192" s="61"/>
      <c r="H192" s="58"/>
      <c r="I192" s="60"/>
      <c r="J192" s="58"/>
    </row>
    <row r="193" spans="2:8">
      <c r="B193">
        <v>1</v>
      </c>
      <c r="C193" s="61">
        <f>ROUND(产出与消耗!P4*D193,0)</f>
        <v>2</v>
      </c>
      <c r="D193" s="57">
        <v>7.0000000000000007E-2</v>
      </c>
      <c r="E193" s="61">
        <f>ROUND(产出与消耗!P26*F193,0)</f>
        <v>3</v>
      </c>
      <c r="F193" s="57">
        <v>0.09</v>
      </c>
      <c r="G193" s="61">
        <f>ROUND(产出与消耗!P48*H193,0)</f>
        <v>3</v>
      </c>
      <c r="H193" s="57">
        <v>0.11</v>
      </c>
    </row>
    <row r="194" spans="2:8">
      <c r="B194">
        <v>2</v>
      </c>
      <c r="C194" s="61">
        <f>ROUND(产出与消耗!P5*D194,0)</f>
        <v>22</v>
      </c>
      <c r="D194" s="57">
        <v>7.0000000000000007E-2</v>
      </c>
      <c r="E194" s="61">
        <f>ROUND(产出与消耗!P27*F194,0)</f>
        <v>37</v>
      </c>
      <c r="F194" s="57">
        <v>0.09</v>
      </c>
      <c r="G194" s="61">
        <f>ROUND(产出与消耗!P49*H194,0)</f>
        <v>28</v>
      </c>
      <c r="H194" s="57">
        <v>0.11</v>
      </c>
    </row>
    <row r="195" spans="2:8">
      <c r="B195">
        <v>3</v>
      </c>
      <c r="C195" s="61">
        <f>ROUND(产出与消耗!P6*D195,0)</f>
        <v>142</v>
      </c>
      <c r="D195" s="57">
        <v>7.0000000000000007E-2</v>
      </c>
      <c r="E195" s="61">
        <f>ROUND(产出与消耗!P28*F195,0)</f>
        <v>243</v>
      </c>
      <c r="F195" s="57">
        <v>0.09</v>
      </c>
      <c r="G195" s="61">
        <f>ROUND(产出与消耗!P50*H195,0)</f>
        <v>185</v>
      </c>
      <c r="H195" s="57">
        <v>0.11</v>
      </c>
    </row>
    <row r="196" spans="2:8">
      <c r="B196">
        <v>4</v>
      </c>
      <c r="C196" s="61">
        <f>ROUND(产出与消耗!P7*D196,0)</f>
        <v>572</v>
      </c>
      <c r="D196" s="57">
        <v>7.0000000000000007E-2</v>
      </c>
      <c r="E196" s="61">
        <f>ROUND(产出与消耗!P29*F196,0)</f>
        <v>980</v>
      </c>
      <c r="F196" s="57">
        <v>0.09</v>
      </c>
      <c r="G196" s="61">
        <f>ROUND(产出与消耗!P51*H196,0)</f>
        <v>748</v>
      </c>
      <c r="H196" s="57">
        <v>0.11</v>
      </c>
    </row>
    <row r="197" spans="2:8">
      <c r="B197">
        <v>5</v>
      </c>
      <c r="C197" s="61">
        <f>ROUND(产出与消耗!P8*D197,0)</f>
        <v>1851</v>
      </c>
      <c r="D197" s="57">
        <v>7.0000000000000007E-2</v>
      </c>
      <c r="E197" s="61">
        <f>ROUND(产出与消耗!P30*F197,0)</f>
        <v>3173</v>
      </c>
      <c r="F197" s="57">
        <v>0.09</v>
      </c>
      <c r="G197" s="61">
        <f>ROUND(产出与消耗!P52*H197,0)</f>
        <v>2424</v>
      </c>
      <c r="H197" s="57">
        <v>0.11</v>
      </c>
    </row>
    <row r="198" spans="2:8">
      <c r="B198">
        <v>6</v>
      </c>
      <c r="C198" s="61">
        <f>ROUND(产出与消耗!P9*D198,0)</f>
        <v>5284</v>
      </c>
      <c r="D198" s="57">
        <v>7.0000000000000007E-2</v>
      </c>
      <c r="E198" s="61">
        <f>ROUND(产出与消耗!P31*F198,0)</f>
        <v>9058</v>
      </c>
      <c r="F198" s="57">
        <v>0.09</v>
      </c>
      <c r="G198" s="61">
        <f>ROUND(产出与消耗!P53*H198,0)</f>
        <v>6919</v>
      </c>
      <c r="H198" s="57">
        <v>0.11</v>
      </c>
    </row>
    <row r="199" spans="2:8">
      <c r="B199">
        <v>7</v>
      </c>
      <c r="C199" s="61">
        <f>ROUND(产出与消耗!P10*D199,0)</f>
        <v>14898</v>
      </c>
      <c r="D199" s="57">
        <v>7.0000000000000007E-2</v>
      </c>
      <c r="E199" s="61">
        <f>ROUND(产出与消耗!P32*F199,0)</f>
        <v>25539</v>
      </c>
      <c r="F199" s="57">
        <v>0.09</v>
      </c>
      <c r="G199" s="61">
        <f>ROUND(产出与消耗!P54*H199,0)</f>
        <v>19509</v>
      </c>
      <c r="H199" s="57">
        <v>0.11</v>
      </c>
    </row>
    <row r="200" spans="2:8">
      <c r="B200">
        <v>8</v>
      </c>
      <c r="C200" s="61">
        <f>ROUND(产出与消耗!P11*D200,0)</f>
        <v>47748</v>
      </c>
      <c r="D200" s="57">
        <v>7.0000000000000007E-2</v>
      </c>
      <c r="E200" s="61">
        <f>ROUND(产出与消耗!P33*F200,0)</f>
        <v>81853</v>
      </c>
      <c r="F200" s="57">
        <v>0.09</v>
      </c>
      <c r="G200" s="61">
        <f>ROUND(产出与消耗!P55*H200,0)</f>
        <v>62527</v>
      </c>
      <c r="H200" s="57">
        <v>0.11</v>
      </c>
    </row>
    <row r="201" spans="2:8">
      <c r="B201">
        <v>9</v>
      </c>
      <c r="C201" s="61">
        <f>ROUND(产出与消耗!P12*D201,0)</f>
        <v>113418</v>
      </c>
      <c r="D201" s="57">
        <v>7.0000000000000007E-2</v>
      </c>
      <c r="E201" s="61">
        <f>ROUND(产出与消耗!P34*F201,0)</f>
        <v>194431</v>
      </c>
      <c r="F201" s="57">
        <v>0.09</v>
      </c>
      <c r="G201" s="61">
        <f>ROUND(产出与消耗!P56*H201,0)</f>
        <v>148524</v>
      </c>
      <c r="H201" s="57">
        <v>0.11</v>
      </c>
    </row>
    <row r="202" spans="2:8">
      <c r="B202">
        <v>10</v>
      </c>
      <c r="C202" s="61">
        <f>ROUND(产出与消耗!P13*D202,0)</f>
        <v>271434</v>
      </c>
      <c r="D202" s="57">
        <v>7.0000000000000007E-2</v>
      </c>
      <c r="E202" s="61">
        <f>ROUND(产出与消耗!P35*F202,0)</f>
        <v>465316</v>
      </c>
      <c r="F202" s="57">
        <v>0.09</v>
      </c>
      <c r="G202" s="61">
        <f>ROUND(产出与消耗!P57*H202,0)</f>
        <v>355450</v>
      </c>
      <c r="H202" s="57">
        <v>0.11</v>
      </c>
    </row>
    <row r="203" spans="2:8">
      <c r="B203">
        <v>11</v>
      </c>
      <c r="C203" s="61">
        <f>ROUND(产出与消耗!P14*D203,0)</f>
        <v>555533</v>
      </c>
      <c r="D203" s="57">
        <v>7.0000000000000007E-2</v>
      </c>
      <c r="E203" s="61">
        <f>ROUND(产出与消耗!P36*F203,0)</f>
        <v>952342</v>
      </c>
      <c r="F203" s="57">
        <v>0.09</v>
      </c>
      <c r="G203" s="61">
        <f>ROUND(产出与消耗!P58*H203,0)</f>
        <v>727484</v>
      </c>
      <c r="H203" s="57">
        <v>0.11</v>
      </c>
    </row>
    <row r="204" spans="2:8">
      <c r="B204">
        <v>12</v>
      </c>
      <c r="C204" s="61">
        <f>ROUND(产出与消耗!P15*D204,0)</f>
        <v>1239417</v>
      </c>
      <c r="D204" s="57">
        <v>7.0000000000000007E-2</v>
      </c>
      <c r="E204" s="61">
        <f>ROUND(产出与消耗!P37*F204,0)</f>
        <v>2124714</v>
      </c>
      <c r="F204" s="57">
        <v>0.09</v>
      </c>
      <c r="G204" s="61">
        <f>ROUND(产出与消耗!P59*H204,0)</f>
        <v>1623046</v>
      </c>
      <c r="H204" s="57">
        <v>0.11</v>
      </c>
    </row>
    <row r="205" spans="2:8">
      <c r="B205">
        <v>13</v>
      </c>
      <c r="C205" s="61">
        <f>ROUND(产出与消耗!P16*D205,0)</f>
        <v>2403717</v>
      </c>
      <c r="D205" s="57">
        <v>7.0000000000000007E-2</v>
      </c>
      <c r="E205" s="61">
        <f>ROUND(产出与消耗!P38*F205,0)</f>
        <v>4120658</v>
      </c>
      <c r="F205" s="57">
        <v>0.09</v>
      </c>
      <c r="G205" s="61">
        <f>ROUND(产出与消耗!P60*H205,0)</f>
        <v>3147725</v>
      </c>
      <c r="H205" s="57">
        <v>0.11</v>
      </c>
    </row>
    <row r="206" spans="2:8">
      <c r="B206">
        <v>14</v>
      </c>
      <c r="C206" s="61">
        <f>ROUND(产出与消耗!P17*D206,0)</f>
        <v>4145541</v>
      </c>
      <c r="D206" s="57">
        <v>7.0000000000000007E-2</v>
      </c>
      <c r="E206" s="61">
        <f>ROUND(产出与消耗!P39*F206,0)</f>
        <v>7106642</v>
      </c>
      <c r="F206" s="57">
        <v>0.09</v>
      </c>
      <c r="G206" s="61">
        <f>ROUND(产出与消耗!P61*H206,0)</f>
        <v>5428685</v>
      </c>
      <c r="H206" s="57">
        <v>0.11</v>
      </c>
    </row>
    <row r="207" spans="2:8">
      <c r="B207">
        <v>15</v>
      </c>
      <c r="C207" s="61">
        <f>ROUND(产出与消耗!P18*D207,0)</f>
        <v>6804000</v>
      </c>
      <c r="D207" s="57">
        <v>7.0000000000000007E-2</v>
      </c>
      <c r="E207" s="61">
        <f>ROUND(产出与消耗!P40*F207,0)</f>
        <v>11664000</v>
      </c>
      <c r="F207" s="57">
        <v>0.09</v>
      </c>
      <c r="G207" s="61">
        <f>ROUND(产出与消耗!P62*H207,0)</f>
        <v>8910000</v>
      </c>
      <c r="H207" s="57">
        <v>0.11</v>
      </c>
    </row>
    <row r="208" spans="2:8">
      <c r="B208">
        <v>16</v>
      </c>
      <c r="C208" s="61">
        <f>ROUND(产出与消耗!P19*D208,0)</f>
        <v>10524609</v>
      </c>
      <c r="D208" s="57">
        <v>7.0000000000000007E-2</v>
      </c>
      <c r="E208" s="61">
        <f>ROUND(产出与消耗!P41*F208,0)</f>
        <v>18042186</v>
      </c>
      <c r="F208" s="57">
        <v>0.09</v>
      </c>
      <c r="G208" s="61">
        <f>ROUND(产出与消耗!P63*H208,0)</f>
        <v>13782226</v>
      </c>
      <c r="H208" s="57">
        <v>0.11</v>
      </c>
    </row>
    <row r="209" spans="1:10">
      <c r="B209">
        <v>17</v>
      </c>
      <c r="C209" s="61">
        <f>ROUND(产出与消耗!P20*D209,0)</f>
        <v>15718546</v>
      </c>
      <c r="D209" s="57">
        <v>7.0000000000000007E-2</v>
      </c>
      <c r="E209" s="61">
        <f>ROUND(产出与消耗!P42*F209,0)</f>
        <v>26946079</v>
      </c>
      <c r="F209" s="57">
        <v>0.09</v>
      </c>
      <c r="G209" s="61">
        <f>ROUND(产出与消耗!P64*H209,0)</f>
        <v>20583811</v>
      </c>
      <c r="H209" s="57">
        <v>0.11</v>
      </c>
    </row>
    <row r="210" spans="1:10">
      <c r="B210">
        <v>18</v>
      </c>
      <c r="C210" s="61">
        <f>ROUND(产出与消耗!P21*D210,0)</f>
        <v>22861440</v>
      </c>
      <c r="D210" s="57">
        <v>7.0000000000000007E-2</v>
      </c>
      <c r="E210" s="61">
        <f>ROUND(产出与消耗!P43*F210,0)</f>
        <v>39191040</v>
      </c>
      <c r="F210" s="57">
        <v>0.09</v>
      </c>
      <c r="G210" s="61">
        <f>ROUND(产出与消耗!P65*H210,0)</f>
        <v>29937600</v>
      </c>
      <c r="H210" s="57">
        <v>0.11</v>
      </c>
    </row>
    <row r="211" spans="1:10">
      <c r="B211">
        <v>19</v>
      </c>
      <c r="C211" s="61">
        <f>ROUND(产出与消耗!P22*D211,0)</f>
        <v>32380871</v>
      </c>
      <c r="D211" s="57">
        <v>7.0000000000000007E-2</v>
      </c>
      <c r="E211" s="61">
        <f>ROUND(产出与消耗!P44*F211,0)</f>
        <v>55510065</v>
      </c>
      <c r="F211" s="57">
        <v>0.09</v>
      </c>
      <c r="G211" s="61">
        <f>ROUND(产出与消耗!P66*H211,0)</f>
        <v>42403522</v>
      </c>
      <c r="H211" s="57">
        <v>0.11</v>
      </c>
    </row>
    <row r="212" spans="1:10">
      <c r="B212">
        <v>20</v>
      </c>
      <c r="C212" s="61">
        <f>ROUND(产出与消耗!P23*D212,0)</f>
        <v>46811520</v>
      </c>
      <c r="D212" s="57">
        <v>7.0000000000000007E-2</v>
      </c>
      <c r="E212" s="61">
        <f>ROUND(产出与消耗!P45*F212,0)</f>
        <v>80248320</v>
      </c>
      <c r="F212" s="57">
        <v>0.09</v>
      </c>
      <c r="G212" s="61">
        <f>ROUND(产出与消耗!P67*H212,0)</f>
        <v>61300800</v>
      </c>
      <c r="H212" s="57">
        <v>0.11</v>
      </c>
    </row>
    <row r="213" spans="1:10" s="47" customFormat="1">
      <c r="A213" s="47" t="s">
        <v>461</v>
      </c>
      <c r="C213" s="61"/>
      <c r="D213" s="58"/>
      <c r="E213" s="61"/>
      <c r="F213" s="58"/>
      <c r="G213" s="61"/>
      <c r="H213" s="58"/>
      <c r="I213" s="60"/>
      <c r="J213" s="58"/>
    </row>
    <row r="214" spans="1:10">
      <c r="A214" s="7"/>
      <c r="B214">
        <v>1</v>
      </c>
      <c r="C214" s="61">
        <f>ROUND(产出与消耗!P4*D214,0)</f>
        <v>1</v>
      </c>
      <c r="D214" s="57">
        <v>0.04</v>
      </c>
      <c r="E214" s="61">
        <f>ROUND(产出与消耗!P26*F214,0)</f>
        <v>2</v>
      </c>
      <c r="F214" s="57">
        <v>0.05</v>
      </c>
      <c r="G214" s="61">
        <f>ROUND(产出与消耗!P48*H214,0)</f>
        <v>1</v>
      </c>
      <c r="H214" s="57">
        <v>0.03</v>
      </c>
    </row>
    <row r="215" spans="1:10">
      <c r="A215" s="7"/>
      <c r="B215">
        <v>2</v>
      </c>
      <c r="C215" s="61">
        <f>ROUND(产出与消耗!P5*D215,0)</f>
        <v>12</v>
      </c>
      <c r="D215" s="57">
        <v>0.04</v>
      </c>
      <c r="E215" s="61">
        <f>ROUND(产出与消耗!P27*F215,0)</f>
        <v>21</v>
      </c>
      <c r="F215" s="57">
        <v>0.05</v>
      </c>
      <c r="G215" s="61">
        <f>ROUND(产出与消耗!P49*H215,0)</f>
        <v>8</v>
      </c>
      <c r="H215" s="57">
        <v>0.03</v>
      </c>
    </row>
    <row r="216" spans="1:10">
      <c r="A216" s="7"/>
      <c r="B216">
        <v>3</v>
      </c>
      <c r="C216" s="61">
        <f>ROUND(产出与消耗!P6*D216,0)</f>
        <v>81</v>
      </c>
      <c r="D216" s="57">
        <v>0.04</v>
      </c>
      <c r="E216" s="61">
        <f>ROUND(产出与消耗!P28*F216,0)</f>
        <v>135</v>
      </c>
      <c r="F216" s="57">
        <v>0.05</v>
      </c>
      <c r="G216" s="61">
        <f>ROUND(产出与消耗!P50*H216,0)</f>
        <v>51</v>
      </c>
      <c r="H216" s="57">
        <v>0.03</v>
      </c>
    </row>
    <row r="217" spans="1:10">
      <c r="A217" s="7"/>
      <c r="B217">
        <v>4</v>
      </c>
      <c r="C217" s="61">
        <f>ROUND(产出与消耗!P7*D217,0)</f>
        <v>327</v>
      </c>
      <c r="D217" s="57">
        <v>0.04</v>
      </c>
      <c r="E217" s="61">
        <f>ROUND(产出与消耗!P29*F217,0)</f>
        <v>544</v>
      </c>
      <c r="F217" s="57">
        <v>0.05</v>
      </c>
      <c r="G217" s="61">
        <f>ROUND(产出与消耗!P51*H217,0)</f>
        <v>204</v>
      </c>
      <c r="H217" s="57">
        <v>0.03</v>
      </c>
    </row>
    <row r="218" spans="1:10">
      <c r="A218" s="7"/>
      <c r="B218">
        <v>5</v>
      </c>
      <c r="C218" s="61">
        <f>ROUND(产出与消耗!P8*D218,0)</f>
        <v>1058</v>
      </c>
      <c r="D218" s="57">
        <v>0.04</v>
      </c>
      <c r="E218" s="61">
        <f>ROUND(产出与消耗!P30*F218,0)</f>
        <v>1763</v>
      </c>
      <c r="F218" s="57">
        <v>0.05</v>
      </c>
      <c r="G218" s="61">
        <f>ROUND(产出与消耗!P52*H218,0)</f>
        <v>661</v>
      </c>
      <c r="H218" s="57">
        <v>0.03</v>
      </c>
    </row>
    <row r="219" spans="1:10">
      <c r="A219" s="7"/>
      <c r="B219">
        <v>6</v>
      </c>
      <c r="C219" s="61">
        <f>ROUND(产出与消耗!P9*D219,0)</f>
        <v>3019</v>
      </c>
      <c r="D219" s="57">
        <v>0.04</v>
      </c>
      <c r="E219" s="61">
        <f>ROUND(产出与消耗!P31*F219,0)</f>
        <v>5032</v>
      </c>
      <c r="F219" s="57">
        <v>0.05</v>
      </c>
      <c r="G219" s="61">
        <f>ROUND(产出与消耗!P53*H219,0)</f>
        <v>1887</v>
      </c>
      <c r="H219" s="57">
        <v>0.03</v>
      </c>
    </row>
    <row r="220" spans="1:10">
      <c r="A220" s="7"/>
      <c r="B220">
        <v>7</v>
      </c>
      <c r="C220" s="61">
        <f>ROUND(产出与消耗!P10*D220,0)</f>
        <v>8513</v>
      </c>
      <c r="D220" s="57">
        <v>0.04</v>
      </c>
      <c r="E220" s="61">
        <f>ROUND(产出与消耗!P32*F220,0)</f>
        <v>14189</v>
      </c>
      <c r="F220" s="57">
        <v>0.05</v>
      </c>
      <c r="G220" s="61">
        <f>ROUND(产出与消耗!P54*H220,0)</f>
        <v>5321</v>
      </c>
      <c r="H220" s="57">
        <v>0.03</v>
      </c>
    </row>
    <row r="221" spans="1:10">
      <c r="A221" s="7"/>
      <c r="B221">
        <v>8</v>
      </c>
      <c r="C221" s="61">
        <f>ROUND(产出与消耗!P11*D221,0)</f>
        <v>27284</v>
      </c>
      <c r="D221" s="57">
        <v>0.04</v>
      </c>
      <c r="E221" s="61">
        <f>ROUND(产出与消耗!P33*F221,0)</f>
        <v>45474</v>
      </c>
      <c r="F221" s="57">
        <v>0.05</v>
      </c>
      <c r="G221" s="61">
        <f>ROUND(产出与消耗!P55*H221,0)</f>
        <v>17053</v>
      </c>
      <c r="H221" s="57">
        <v>0.03</v>
      </c>
    </row>
    <row r="222" spans="1:10">
      <c r="A222" s="7"/>
      <c r="B222">
        <v>9</v>
      </c>
      <c r="C222" s="61">
        <f>ROUND(产出与消耗!P12*D222,0)</f>
        <v>64810</v>
      </c>
      <c r="D222" s="57">
        <v>0.04</v>
      </c>
      <c r="E222" s="61">
        <f>ROUND(产出与消耗!P34*F222,0)</f>
        <v>108017</v>
      </c>
      <c r="F222" s="57">
        <v>0.05</v>
      </c>
      <c r="G222" s="61">
        <f>ROUND(产出与消耗!P56*H222,0)</f>
        <v>40506</v>
      </c>
      <c r="H222" s="57">
        <v>0.03</v>
      </c>
    </row>
    <row r="223" spans="1:10">
      <c r="A223" s="7"/>
      <c r="B223">
        <v>10</v>
      </c>
      <c r="C223" s="61">
        <f>ROUND(产出与消耗!P13*D223,0)</f>
        <v>155105</v>
      </c>
      <c r="D223" s="57">
        <v>0.04</v>
      </c>
      <c r="E223" s="61">
        <f>ROUND(产出与消耗!P35*F223,0)</f>
        <v>258509</v>
      </c>
      <c r="F223" s="57">
        <v>0.05</v>
      </c>
      <c r="G223" s="61">
        <f>ROUND(产出与消耗!P57*H223,0)</f>
        <v>96941</v>
      </c>
      <c r="H223" s="57">
        <v>0.03</v>
      </c>
    </row>
    <row r="224" spans="1:10">
      <c r="A224" s="7"/>
      <c r="B224">
        <v>11</v>
      </c>
      <c r="C224" s="61">
        <f>ROUND(产出与消耗!P14*D224,0)</f>
        <v>317447</v>
      </c>
      <c r="D224" s="57">
        <v>0.04</v>
      </c>
      <c r="E224" s="61">
        <f>ROUND(产出与消耗!P36*F224,0)</f>
        <v>529079</v>
      </c>
      <c r="F224" s="57">
        <v>0.05</v>
      </c>
      <c r="G224" s="61">
        <f>ROUND(产出与消耗!P58*H224,0)</f>
        <v>198405</v>
      </c>
      <c r="H224" s="57">
        <v>0.03</v>
      </c>
    </row>
    <row r="225" spans="1:10">
      <c r="A225" s="7"/>
      <c r="B225">
        <v>12</v>
      </c>
      <c r="C225" s="61">
        <f>ROUND(产出与消耗!P15*D225,0)</f>
        <v>708238</v>
      </c>
      <c r="D225" s="57">
        <v>0.04</v>
      </c>
      <c r="E225" s="61">
        <f>ROUND(产出与消耗!P37*F225,0)</f>
        <v>1180397</v>
      </c>
      <c r="F225" s="57">
        <v>0.05</v>
      </c>
      <c r="G225" s="61">
        <f>ROUND(产出与消耗!P59*H225,0)</f>
        <v>442649</v>
      </c>
      <c r="H225" s="57">
        <v>0.03</v>
      </c>
    </row>
    <row r="226" spans="1:10">
      <c r="A226" s="7"/>
      <c r="B226">
        <v>13</v>
      </c>
      <c r="C226" s="61">
        <f>ROUND(产出与消耗!P16*D226,0)</f>
        <v>1373553</v>
      </c>
      <c r="D226" s="57">
        <v>0.04</v>
      </c>
      <c r="E226" s="61">
        <f>ROUND(产出与消耗!P38*F226,0)</f>
        <v>2289254</v>
      </c>
      <c r="F226" s="57">
        <v>0.05</v>
      </c>
      <c r="G226" s="61">
        <f>ROUND(产出与消耗!P60*H226,0)</f>
        <v>858470</v>
      </c>
      <c r="H226" s="57">
        <v>0.03</v>
      </c>
    </row>
    <row r="227" spans="1:10">
      <c r="A227" s="7"/>
      <c r="B227">
        <v>14</v>
      </c>
      <c r="C227" s="61">
        <f>ROUND(产出与消耗!P17*D227,0)</f>
        <v>2368881</v>
      </c>
      <c r="D227" s="57">
        <v>0.04</v>
      </c>
      <c r="E227" s="61">
        <f>ROUND(产出与消耗!P39*F227,0)</f>
        <v>3948134</v>
      </c>
      <c r="F227" s="57">
        <v>0.05</v>
      </c>
      <c r="G227" s="61">
        <f>ROUND(产出与消耗!P61*H227,0)</f>
        <v>1480550</v>
      </c>
      <c r="H227" s="57">
        <v>0.03</v>
      </c>
    </row>
    <row r="228" spans="1:10">
      <c r="A228" s="7"/>
      <c r="B228">
        <v>15</v>
      </c>
      <c r="C228" s="61">
        <f>ROUND(产出与消耗!P18*D228,0)</f>
        <v>3888000</v>
      </c>
      <c r="D228" s="57">
        <v>0.04</v>
      </c>
      <c r="E228" s="61">
        <f>ROUND(产出与消耗!P40*F228,0)</f>
        <v>6480000</v>
      </c>
      <c r="F228" s="57">
        <v>0.05</v>
      </c>
      <c r="G228" s="61">
        <f>ROUND(产出与消耗!P62*H228,0)</f>
        <v>2430000</v>
      </c>
      <c r="H228" s="57">
        <v>0.03</v>
      </c>
    </row>
    <row r="229" spans="1:10">
      <c r="A229" s="7"/>
      <c r="B229">
        <v>16</v>
      </c>
      <c r="C229" s="61">
        <f>ROUND(产出与消耗!P19*D229,0)</f>
        <v>6014062</v>
      </c>
      <c r="D229" s="57">
        <v>0.04</v>
      </c>
      <c r="E229" s="61">
        <f>ROUND(产出与消耗!P41*F229,0)</f>
        <v>10023437</v>
      </c>
      <c r="F229" s="57">
        <v>0.05</v>
      </c>
      <c r="G229" s="61">
        <f>ROUND(产出与消耗!P63*H229,0)</f>
        <v>3758789</v>
      </c>
      <c r="H229" s="57">
        <v>0.03</v>
      </c>
    </row>
    <row r="230" spans="1:10">
      <c r="A230" s="7"/>
      <c r="B230">
        <v>17</v>
      </c>
      <c r="C230" s="61">
        <f>ROUND(产出与消耗!P20*D230,0)</f>
        <v>8982026</v>
      </c>
      <c r="D230" s="57">
        <v>0.04</v>
      </c>
      <c r="E230" s="61">
        <f>ROUND(产出与消耗!P42*F230,0)</f>
        <v>14970044</v>
      </c>
      <c r="F230" s="57">
        <v>0.05</v>
      </c>
      <c r="G230" s="61">
        <f>ROUND(产出与消耗!P64*H230,0)</f>
        <v>5613767</v>
      </c>
      <c r="H230" s="57">
        <v>0.03</v>
      </c>
    </row>
    <row r="231" spans="1:10">
      <c r="A231" s="7"/>
      <c r="B231">
        <v>18</v>
      </c>
      <c r="C231" s="61">
        <f>ROUND(产出与消耗!P21*D231,0)</f>
        <v>13063680</v>
      </c>
      <c r="D231" s="57">
        <v>0.04</v>
      </c>
      <c r="E231" s="61">
        <f>ROUND(产出与消耗!P43*F231,0)</f>
        <v>21772800</v>
      </c>
      <c r="F231" s="57">
        <v>0.05</v>
      </c>
      <c r="G231" s="61">
        <f>ROUND(产出与消耗!P65*H231,0)</f>
        <v>8164800</v>
      </c>
      <c r="H231" s="57">
        <v>0.03</v>
      </c>
    </row>
    <row r="232" spans="1:10">
      <c r="A232" s="7"/>
      <c r="B232">
        <v>19</v>
      </c>
      <c r="C232" s="61">
        <f>ROUND(产出与消耗!P22*D232,0)</f>
        <v>18503355</v>
      </c>
      <c r="D232" s="57">
        <v>0.04</v>
      </c>
      <c r="E232" s="61">
        <f>ROUND(产出与消耗!P44*F232,0)</f>
        <v>30838925</v>
      </c>
      <c r="F232" s="57">
        <v>0.05</v>
      </c>
      <c r="G232" s="61">
        <f>ROUND(产出与消耗!P66*H232,0)</f>
        <v>11564597</v>
      </c>
      <c r="H232" s="57">
        <v>0.03</v>
      </c>
    </row>
    <row r="233" spans="1:10">
      <c r="A233" s="7"/>
      <c r="B233">
        <v>20</v>
      </c>
      <c r="C233" s="61">
        <f>ROUND(产出与消耗!P23*D233,0)</f>
        <v>26749440</v>
      </c>
      <c r="D233" s="57">
        <v>0.04</v>
      </c>
      <c r="E233" s="61">
        <f>ROUND(产出与消耗!P45*F233,0)</f>
        <v>44582400</v>
      </c>
      <c r="F233" s="57">
        <v>0.05</v>
      </c>
      <c r="G233" s="61">
        <f>ROUND(产出与消耗!P67*H233,0)</f>
        <v>16718400</v>
      </c>
      <c r="H233" s="57">
        <v>0.03</v>
      </c>
    </row>
    <row r="234" spans="1:10" s="47" customFormat="1">
      <c r="A234" s="47" t="s">
        <v>465</v>
      </c>
      <c r="C234" s="61"/>
      <c r="D234" s="58"/>
      <c r="E234" s="61"/>
      <c r="F234" s="58"/>
      <c r="G234" s="61"/>
      <c r="H234" s="58"/>
      <c r="I234" s="60"/>
      <c r="J234" s="58"/>
    </row>
    <row r="235" spans="1:10">
      <c r="A235" s="7"/>
      <c r="B235">
        <v>1</v>
      </c>
      <c r="C235" s="61">
        <f>ROUND(产出与消耗!P4*D235,0)</f>
        <v>1</v>
      </c>
      <c r="D235" s="57">
        <v>0.02</v>
      </c>
      <c r="E235" s="61">
        <f>ROUND(产出与消耗!P26*F235,0)</f>
        <v>1</v>
      </c>
      <c r="F235" s="57">
        <v>0.03</v>
      </c>
      <c r="G235" s="61">
        <f>ROUND(产出与消耗!P48*H235,0)</f>
        <v>1</v>
      </c>
      <c r="H235" s="57">
        <v>0.05</v>
      </c>
    </row>
    <row r="236" spans="1:10">
      <c r="A236" s="7"/>
      <c r="B236">
        <v>2</v>
      </c>
      <c r="C236" s="61">
        <f>ROUND(产出与消耗!P5*D236,0)</f>
        <v>6</v>
      </c>
      <c r="D236" s="57">
        <v>0.02</v>
      </c>
      <c r="E236" s="61">
        <f>ROUND(产出与消耗!P27*F236,0)</f>
        <v>12</v>
      </c>
      <c r="F236" s="57">
        <v>0.03</v>
      </c>
      <c r="G236" s="61">
        <f>ROUND(产出与消耗!P49*H236,0)</f>
        <v>13</v>
      </c>
      <c r="H236" s="57">
        <v>0.05</v>
      </c>
    </row>
    <row r="237" spans="1:10">
      <c r="A237" s="7"/>
      <c r="B237">
        <v>3</v>
      </c>
      <c r="C237" s="61">
        <f>ROUND(产出与消耗!P6*D237,0)</f>
        <v>40</v>
      </c>
      <c r="D237" s="57">
        <v>0.02</v>
      </c>
      <c r="E237" s="61">
        <f>ROUND(产出与消耗!P28*F237,0)</f>
        <v>81</v>
      </c>
      <c r="F237" s="57">
        <v>0.03</v>
      </c>
      <c r="G237" s="61">
        <f>ROUND(产出与消耗!P50*H237,0)</f>
        <v>84</v>
      </c>
      <c r="H237" s="57">
        <v>0.05</v>
      </c>
    </row>
    <row r="238" spans="1:10">
      <c r="A238" s="7"/>
      <c r="B238">
        <v>4</v>
      </c>
      <c r="C238" s="61">
        <f>ROUND(产出与消耗!P7*D238,0)</f>
        <v>163</v>
      </c>
      <c r="D238" s="57">
        <v>0.02</v>
      </c>
      <c r="E238" s="61">
        <f>ROUND(产出与消耗!P29*F238,0)</f>
        <v>327</v>
      </c>
      <c r="F238" s="57">
        <v>0.03</v>
      </c>
      <c r="G238" s="61">
        <f>ROUND(产出与消耗!P51*H238,0)</f>
        <v>340</v>
      </c>
      <c r="H238" s="57">
        <v>0.05</v>
      </c>
    </row>
    <row r="239" spans="1:10">
      <c r="A239" s="7"/>
      <c r="B239">
        <v>5</v>
      </c>
      <c r="C239" s="61">
        <f>ROUND(产出与消耗!P8*D239,0)</f>
        <v>529</v>
      </c>
      <c r="D239" s="57">
        <v>0.02</v>
      </c>
      <c r="E239" s="61">
        <f>ROUND(产出与消耗!P30*F239,0)</f>
        <v>1058</v>
      </c>
      <c r="F239" s="57">
        <v>0.03</v>
      </c>
      <c r="G239" s="61">
        <f>ROUND(产出与消耗!P52*H239,0)</f>
        <v>1102</v>
      </c>
      <c r="H239" s="57">
        <v>0.05</v>
      </c>
    </row>
    <row r="240" spans="1:10">
      <c r="A240" s="7"/>
      <c r="B240">
        <v>6</v>
      </c>
      <c r="C240" s="61">
        <f>ROUND(产出与消耗!P9*D240,0)</f>
        <v>1510</v>
      </c>
      <c r="D240" s="57">
        <v>0.02</v>
      </c>
      <c r="E240" s="61">
        <f>ROUND(产出与消耗!P31*F240,0)</f>
        <v>3019</v>
      </c>
      <c r="F240" s="57">
        <v>0.03</v>
      </c>
      <c r="G240" s="61">
        <f>ROUND(产出与消耗!P53*H240,0)</f>
        <v>3145</v>
      </c>
      <c r="H240" s="57">
        <v>0.05</v>
      </c>
    </row>
    <row r="241" spans="1:10">
      <c r="A241" s="7"/>
      <c r="B241">
        <v>7</v>
      </c>
      <c r="C241" s="61">
        <f>ROUND(产出与消耗!P10*D241,0)</f>
        <v>4257</v>
      </c>
      <c r="D241" s="57">
        <v>0.02</v>
      </c>
      <c r="E241" s="61">
        <f>ROUND(产出与消耗!P32*F241,0)</f>
        <v>8513</v>
      </c>
      <c r="F241" s="57">
        <v>0.03</v>
      </c>
      <c r="G241" s="61">
        <f>ROUND(产出与消耗!P54*H241,0)</f>
        <v>8868</v>
      </c>
      <c r="H241" s="57">
        <v>0.05</v>
      </c>
    </row>
    <row r="242" spans="1:10">
      <c r="A242" s="7"/>
      <c r="B242">
        <v>8</v>
      </c>
      <c r="C242" s="61">
        <f>ROUND(产出与消耗!P11*D242,0)</f>
        <v>13642</v>
      </c>
      <c r="D242" s="57">
        <v>0.02</v>
      </c>
      <c r="E242" s="61">
        <f>ROUND(产出与消耗!P33*F242,0)</f>
        <v>27284</v>
      </c>
      <c r="F242" s="57">
        <v>0.03</v>
      </c>
      <c r="G242" s="61">
        <f>ROUND(产出与消耗!P55*H242,0)</f>
        <v>28421</v>
      </c>
      <c r="H242" s="57">
        <v>0.05</v>
      </c>
    </row>
    <row r="243" spans="1:10">
      <c r="A243" s="7"/>
      <c r="B243">
        <v>9</v>
      </c>
      <c r="C243" s="61">
        <f>ROUND(产出与消耗!P12*D243,0)</f>
        <v>32405</v>
      </c>
      <c r="D243" s="57">
        <v>0.02</v>
      </c>
      <c r="E243" s="61">
        <f>ROUND(产出与消耗!P34*F243,0)</f>
        <v>64810</v>
      </c>
      <c r="F243" s="57">
        <v>0.03</v>
      </c>
      <c r="G243" s="61">
        <f>ROUND(产出与消耗!P56*H243,0)</f>
        <v>67511</v>
      </c>
      <c r="H243" s="57">
        <v>0.05</v>
      </c>
    </row>
    <row r="244" spans="1:10">
      <c r="A244" s="7"/>
      <c r="B244">
        <v>10</v>
      </c>
      <c r="C244" s="61">
        <f>ROUND(产出与消耗!P13*D244,0)</f>
        <v>77553</v>
      </c>
      <c r="D244" s="57">
        <v>0.02</v>
      </c>
      <c r="E244" s="61">
        <f>ROUND(产出与消耗!P35*F244,0)</f>
        <v>155105</v>
      </c>
      <c r="F244" s="57">
        <v>0.03</v>
      </c>
      <c r="G244" s="61">
        <f>ROUND(产出与消耗!P57*H244,0)</f>
        <v>161568</v>
      </c>
      <c r="H244" s="57">
        <v>0.05</v>
      </c>
    </row>
    <row r="245" spans="1:10">
      <c r="A245" s="7"/>
      <c r="B245">
        <v>11</v>
      </c>
      <c r="C245" s="61">
        <f>ROUND(产出与消耗!P14*D245,0)</f>
        <v>158724</v>
      </c>
      <c r="D245" s="57">
        <v>0.02</v>
      </c>
      <c r="E245" s="61">
        <f>ROUND(产出与消耗!P36*F245,0)</f>
        <v>317447</v>
      </c>
      <c r="F245" s="57">
        <v>0.03</v>
      </c>
      <c r="G245" s="61">
        <f>ROUND(产出与消耗!P58*H245,0)</f>
        <v>330674</v>
      </c>
      <c r="H245" s="57">
        <v>0.05</v>
      </c>
    </row>
    <row r="246" spans="1:10">
      <c r="A246" s="7"/>
      <c r="B246">
        <v>12</v>
      </c>
      <c r="C246" s="61">
        <f>ROUND(产出与消耗!P15*D246,0)</f>
        <v>354119</v>
      </c>
      <c r="D246" s="57">
        <v>0.02</v>
      </c>
      <c r="E246" s="61">
        <f>ROUND(产出与消耗!P37*F246,0)</f>
        <v>708238</v>
      </c>
      <c r="F246" s="57">
        <v>0.03</v>
      </c>
      <c r="G246" s="61">
        <f>ROUND(产出与消耗!P59*H246,0)</f>
        <v>737748</v>
      </c>
      <c r="H246" s="57">
        <v>0.05</v>
      </c>
    </row>
    <row r="247" spans="1:10">
      <c r="A247" s="7"/>
      <c r="B247">
        <v>13</v>
      </c>
      <c r="C247" s="61">
        <f>ROUND(产出与消耗!P16*D247,0)</f>
        <v>686776</v>
      </c>
      <c r="D247" s="57">
        <v>0.02</v>
      </c>
      <c r="E247" s="61">
        <f>ROUND(产出与消耗!P38*F247,0)</f>
        <v>1373553</v>
      </c>
      <c r="F247" s="57">
        <v>0.03</v>
      </c>
      <c r="G247" s="61">
        <f>ROUND(产出与消耗!P60*H247,0)</f>
        <v>1430784</v>
      </c>
      <c r="H247" s="57">
        <v>0.05</v>
      </c>
    </row>
    <row r="248" spans="1:10">
      <c r="A248" s="7"/>
      <c r="B248">
        <v>14</v>
      </c>
      <c r="C248" s="61">
        <f>ROUND(产出与消耗!P17*D248,0)</f>
        <v>1184440</v>
      </c>
      <c r="D248" s="57">
        <v>0.02</v>
      </c>
      <c r="E248" s="61">
        <f>ROUND(产出与消耗!P39*F248,0)</f>
        <v>2368881</v>
      </c>
      <c r="F248" s="57">
        <v>0.03</v>
      </c>
      <c r="G248" s="61">
        <f>ROUND(产出与消耗!P61*H248,0)</f>
        <v>2467584</v>
      </c>
      <c r="H248" s="57">
        <v>0.05</v>
      </c>
    </row>
    <row r="249" spans="1:10">
      <c r="A249" s="7"/>
      <c r="B249">
        <v>15</v>
      </c>
      <c r="C249" s="61">
        <f>ROUND(产出与消耗!P18*D249,0)</f>
        <v>1944000</v>
      </c>
      <c r="D249" s="57">
        <v>0.02</v>
      </c>
      <c r="E249" s="61">
        <f>ROUND(产出与消耗!P40*F249,0)</f>
        <v>3888000</v>
      </c>
      <c r="F249" s="57">
        <v>0.03</v>
      </c>
      <c r="G249" s="61">
        <f>ROUND(产出与消耗!P62*H249,0)</f>
        <v>4050000</v>
      </c>
      <c r="H249" s="57">
        <v>0.05</v>
      </c>
    </row>
    <row r="250" spans="1:10">
      <c r="A250" s="7"/>
      <c r="B250">
        <v>16</v>
      </c>
      <c r="C250" s="61">
        <f>ROUND(产出与消耗!P19*D250,0)</f>
        <v>3007031</v>
      </c>
      <c r="D250" s="57">
        <v>0.02</v>
      </c>
      <c r="E250" s="61">
        <f>ROUND(产出与消耗!P41*F250,0)</f>
        <v>6014062</v>
      </c>
      <c r="F250" s="57">
        <v>0.03</v>
      </c>
      <c r="G250" s="61">
        <f>ROUND(产出与消耗!P63*H250,0)</f>
        <v>6264648</v>
      </c>
      <c r="H250" s="57">
        <v>0.05</v>
      </c>
    </row>
    <row r="251" spans="1:10">
      <c r="A251" s="7"/>
      <c r="B251">
        <v>17</v>
      </c>
      <c r="C251" s="61">
        <f>ROUND(产出与消耗!P20*D251,0)</f>
        <v>4491013</v>
      </c>
      <c r="D251" s="57">
        <v>0.02</v>
      </c>
      <c r="E251" s="61">
        <f>ROUND(产出与消耗!P42*F251,0)</f>
        <v>8982026</v>
      </c>
      <c r="F251" s="57">
        <v>0.03</v>
      </c>
      <c r="G251" s="61">
        <f>ROUND(产出与消耗!P64*H251,0)</f>
        <v>9356278</v>
      </c>
      <c r="H251" s="57">
        <v>0.05</v>
      </c>
    </row>
    <row r="252" spans="1:10">
      <c r="A252" s="7"/>
      <c r="B252">
        <v>18</v>
      </c>
      <c r="C252" s="61">
        <f>ROUND(产出与消耗!P21*D252,0)</f>
        <v>6531840</v>
      </c>
      <c r="D252" s="57">
        <v>0.02</v>
      </c>
      <c r="E252" s="61">
        <f>ROUND(产出与消耗!P43*F252,0)</f>
        <v>13063680</v>
      </c>
      <c r="F252" s="57">
        <v>0.03</v>
      </c>
      <c r="G252" s="61">
        <f>ROUND(产出与消耗!P65*H252,0)</f>
        <v>13608000</v>
      </c>
      <c r="H252" s="57">
        <v>0.05</v>
      </c>
    </row>
    <row r="253" spans="1:10">
      <c r="A253" s="7"/>
      <c r="B253">
        <v>19</v>
      </c>
      <c r="C253" s="61">
        <f>ROUND(产出与消耗!P22*D253,0)</f>
        <v>9251677</v>
      </c>
      <c r="D253" s="57">
        <v>0.02</v>
      </c>
      <c r="E253" s="61">
        <f>ROUND(产出与消耗!P44*F253,0)</f>
        <v>18503355</v>
      </c>
      <c r="F253" s="57">
        <v>0.03</v>
      </c>
      <c r="G253" s="61">
        <f>ROUND(产出与消耗!P66*H253,0)</f>
        <v>19274328</v>
      </c>
      <c r="H253" s="57">
        <v>0.05</v>
      </c>
    </row>
    <row r="254" spans="1:10">
      <c r="A254" s="7"/>
      <c r="B254">
        <v>20</v>
      </c>
      <c r="C254" s="61">
        <f>ROUND(产出与消耗!P23*D254,0)</f>
        <v>13374720</v>
      </c>
      <c r="D254" s="57">
        <v>0.02</v>
      </c>
      <c r="E254" s="61">
        <f>ROUND(产出与消耗!P45*F254,0)</f>
        <v>26749440</v>
      </c>
      <c r="F254" s="57">
        <v>0.03</v>
      </c>
      <c r="G254" s="61">
        <f>ROUND(产出与消耗!P67*H254,0)</f>
        <v>27864000</v>
      </c>
      <c r="H254" s="57">
        <v>0.05</v>
      </c>
    </row>
    <row r="255" spans="1:10" s="47" customFormat="1">
      <c r="A255" s="47" t="s">
        <v>466</v>
      </c>
      <c r="C255" s="61"/>
      <c r="D255" s="58"/>
      <c r="E255" s="61"/>
      <c r="F255" s="58"/>
      <c r="G255" s="61"/>
      <c r="H255" s="58"/>
      <c r="I255" s="60"/>
      <c r="J255" s="58"/>
    </row>
    <row r="256" spans="1:10">
      <c r="A256" s="7"/>
      <c r="B256">
        <v>1</v>
      </c>
      <c r="C256" s="61">
        <f>ROUND(产出与消耗!P4*D256,0)</f>
        <v>2</v>
      </c>
      <c r="D256" s="57">
        <v>0.06</v>
      </c>
      <c r="E256" s="61">
        <f>ROUND(产出与消耗!P26*F256,0)</f>
        <v>1</v>
      </c>
      <c r="F256" s="57">
        <v>0.02</v>
      </c>
      <c r="G256" s="61">
        <f>ROUND(产出与消耗!P48*H256,0)</f>
        <v>1</v>
      </c>
      <c r="H256" s="57">
        <v>0.03</v>
      </c>
    </row>
    <row r="257" spans="1:8">
      <c r="A257" s="7"/>
      <c r="B257">
        <v>2</v>
      </c>
      <c r="C257" s="61">
        <f>ROUND(产出与消耗!P5*D257,0)</f>
        <v>19</v>
      </c>
      <c r="D257" s="57">
        <v>0.06</v>
      </c>
      <c r="E257" s="61">
        <f>ROUND(产出与消耗!P27*F257,0)</f>
        <v>8</v>
      </c>
      <c r="F257" s="57">
        <v>0.02</v>
      </c>
      <c r="G257" s="61">
        <f>ROUND(产出与消耗!P49*H257,0)</f>
        <v>8</v>
      </c>
      <c r="H257" s="57">
        <v>0.03</v>
      </c>
    </row>
    <row r="258" spans="1:8">
      <c r="A258" s="7"/>
      <c r="B258">
        <v>3</v>
      </c>
      <c r="C258" s="61">
        <f>ROUND(产出与消耗!P6*D258,0)</f>
        <v>121</v>
      </c>
      <c r="D258" s="57">
        <v>0.06</v>
      </c>
      <c r="E258" s="61">
        <f>ROUND(产出与消耗!P28*F258,0)</f>
        <v>54</v>
      </c>
      <c r="F258" s="57">
        <v>0.02</v>
      </c>
      <c r="G258" s="61">
        <f>ROUND(产出与消耗!P50*H258,0)</f>
        <v>51</v>
      </c>
      <c r="H258" s="57">
        <v>0.03</v>
      </c>
    </row>
    <row r="259" spans="1:8">
      <c r="A259" s="7"/>
      <c r="B259">
        <v>4</v>
      </c>
      <c r="C259" s="61">
        <f>ROUND(产出与消耗!P7*D259,0)</f>
        <v>490</v>
      </c>
      <c r="D259" s="57">
        <v>0.06</v>
      </c>
      <c r="E259" s="61">
        <f>ROUND(产出与消耗!P29*F259,0)</f>
        <v>218</v>
      </c>
      <c r="F259" s="57">
        <v>0.02</v>
      </c>
      <c r="G259" s="61">
        <f>ROUND(产出与消耗!P51*H259,0)</f>
        <v>204</v>
      </c>
      <c r="H259" s="57">
        <v>0.03</v>
      </c>
    </row>
    <row r="260" spans="1:8">
      <c r="A260" s="7"/>
      <c r="B260">
        <v>5</v>
      </c>
      <c r="C260" s="61">
        <f>ROUND(产出与消耗!P8*D260,0)</f>
        <v>1586</v>
      </c>
      <c r="D260" s="57">
        <v>0.06</v>
      </c>
      <c r="E260" s="61">
        <f>ROUND(产出与消耗!P30*F260,0)</f>
        <v>705</v>
      </c>
      <c r="F260" s="57">
        <v>0.02</v>
      </c>
      <c r="G260" s="61">
        <f>ROUND(产出与消耗!P52*H260,0)</f>
        <v>661</v>
      </c>
      <c r="H260" s="57">
        <v>0.03</v>
      </c>
    </row>
    <row r="261" spans="1:8">
      <c r="A261" s="7"/>
      <c r="B261">
        <v>6</v>
      </c>
      <c r="C261" s="61">
        <f>ROUND(产出与消耗!P9*D261,0)</f>
        <v>4529</v>
      </c>
      <c r="D261" s="57">
        <v>0.06</v>
      </c>
      <c r="E261" s="61">
        <f>ROUND(产出与消耗!P31*F261,0)</f>
        <v>2013</v>
      </c>
      <c r="F261" s="57">
        <v>0.02</v>
      </c>
      <c r="G261" s="61">
        <f>ROUND(产出与消耗!P53*H261,0)</f>
        <v>1887</v>
      </c>
      <c r="H261" s="57">
        <v>0.03</v>
      </c>
    </row>
    <row r="262" spans="1:8">
      <c r="A262" s="7"/>
      <c r="B262">
        <v>7</v>
      </c>
      <c r="C262" s="61">
        <f>ROUND(产出与消耗!P10*D262,0)</f>
        <v>12770</v>
      </c>
      <c r="D262" s="57">
        <v>0.06</v>
      </c>
      <c r="E262" s="61">
        <f>ROUND(产出与消耗!P32*F262,0)</f>
        <v>5675</v>
      </c>
      <c r="F262" s="57">
        <v>0.02</v>
      </c>
      <c r="G262" s="61">
        <f>ROUND(产出与消耗!P54*H262,0)</f>
        <v>5321</v>
      </c>
      <c r="H262" s="57">
        <v>0.03</v>
      </c>
    </row>
    <row r="263" spans="1:8">
      <c r="A263" s="7"/>
      <c r="B263">
        <v>8</v>
      </c>
      <c r="C263" s="61">
        <f>ROUND(产出与消耗!P11*D263,0)</f>
        <v>40927</v>
      </c>
      <c r="D263" s="57">
        <v>0.06</v>
      </c>
      <c r="E263" s="61">
        <f>ROUND(产出与消耗!P33*F263,0)</f>
        <v>18190</v>
      </c>
      <c r="F263" s="57">
        <v>0.02</v>
      </c>
      <c r="G263" s="61">
        <f>ROUND(产出与消耗!P55*H263,0)</f>
        <v>17053</v>
      </c>
      <c r="H263" s="57">
        <v>0.03</v>
      </c>
    </row>
    <row r="264" spans="1:8">
      <c r="A264" s="7"/>
      <c r="B264">
        <v>9</v>
      </c>
      <c r="C264" s="61">
        <f>ROUND(产出与消耗!P12*D264,0)</f>
        <v>97216</v>
      </c>
      <c r="D264" s="57">
        <v>0.06</v>
      </c>
      <c r="E264" s="61">
        <f>ROUND(产出与消耗!P34*F264,0)</f>
        <v>43207</v>
      </c>
      <c r="F264" s="57">
        <v>0.02</v>
      </c>
      <c r="G264" s="61">
        <f>ROUND(产出与消耗!P56*H264,0)</f>
        <v>40506</v>
      </c>
      <c r="H264" s="57">
        <v>0.03</v>
      </c>
    </row>
    <row r="265" spans="1:8">
      <c r="A265" s="7"/>
      <c r="B265">
        <v>10</v>
      </c>
      <c r="C265" s="61">
        <f>ROUND(产出与消耗!P13*D265,0)</f>
        <v>232658</v>
      </c>
      <c r="D265" s="57">
        <v>0.06</v>
      </c>
      <c r="E265" s="61">
        <f>ROUND(产出与消耗!P35*F265,0)</f>
        <v>103404</v>
      </c>
      <c r="F265" s="57">
        <v>0.02</v>
      </c>
      <c r="G265" s="61">
        <f>ROUND(产出与消耗!P57*H265,0)</f>
        <v>96941</v>
      </c>
      <c r="H265" s="57">
        <v>0.03</v>
      </c>
    </row>
    <row r="266" spans="1:8">
      <c r="A266" s="7"/>
      <c r="B266">
        <v>11</v>
      </c>
      <c r="C266" s="61">
        <f>ROUND(产出与消耗!P14*D266,0)</f>
        <v>476171</v>
      </c>
      <c r="D266" s="57">
        <v>0.06</v>
      </c>
      <c r="E266" s="61">
        <f>ROUND(产出与消耗!P36*F266,0)</f>
        <v>211632</v>
      </c>
      <c r="F266" s="57">
        <v>0.02</v>
      </c>
      <c r="G266" s="61">
        <f>ROUND(产出与消耗!P58*H266,0)</f>
        <v>198405</v>
      </c>
      <c r="H266" s="57">
        <v>0.03</v>
      </c>
    </row>
    <row r="267" spans="1:8">
      <c r="A267" s="7"/>
      <c r="B267">
        <v>12</v>
      </c>
      <c r="C267" s="61">
        <f>ROUND(产出与消耗!P15*D267,0)</f>
        <v>1062357</v>
      </c>
      <c r="D267" s="57">
        <v>0.06</v>
      </c>
      <c r="E267" s="61">
        <f>ROUND(产出与消耗!P37*F267,0)</f>
        <v>472159</v>
      </c>
      <c r="F267" s="57">
        <v>0.02</v>
      </c>
      <c r="G267" s="61">
        <f>ROUND(产出与消耗!P59*H267,0)</f>
        <v>442649</v>
      </c>
      <c r="H267" s="57">
        <v>0.03</v>
      </c>
    </row>
    <row r="268" spans="1:8">
      <c r="A268" s="7"/>
      <c r="B268">
        <v>13</v>
      </c>
      <c r="C268" s="61">
        <f>ROUND(产出与消耗!P16*D268,0)</f>
        <v>2060329</v>
      </c>
      <c r="D268" s="57">
        <v>0.06</v>
      </c>
      <c r="E268" s="61">
        <f>ROUND(产出与消耗!P38*F268,0)</f>
        <v>915702</v>
      </c>
      <c r="F268" s="57">
        <v>0.02</v>
      </c>
      <c r="G268" s="61">
        <f>ROUND(产出与消耗!P60*H268,0)</f>
        <v>858470</v>
      </c>
      <c r="H268" s="57">
        <v>0.03</v>
      </c>
    </row>
    <row r="269" spans="1:8">
      <c r="A269" s="7"/>
      <c r="B269">
        <v>14</v>
      </c>
      <c r="C269" s="61">
        <f>ROUND(产出与消耗!P17*D269,0)</f>
        <v>3553321</v>
      </c>
      <c r="D269" s="57">
        <v>0.06</v>
      </c>
      <c r="E269" s="61">
        <f>ROUND(产出与消耗!P39*F269,0)</f>
        <v>1579254</v>
      </c>
      <c r="F269" s="57">
        <v>0.02</v>
      </c>
      <c r="G269" s="61">
        <f>ROUND(产出与消耗!P61*H269,0)</f>
        <v>1480550</v>
      </c>
      <c r="H269" s="57">
        <v>0.03</v>
      </c>
    </row>
    <row r="270" spans="1:8">
      <c r="A270" s="7"/>
      <c r="B270">
        <v>15</v>
      </c>
      <c r="C270" s="61">
        <f>ROUND(产出与消耗!P18*D270,0)</f>
        <v>5832000</v>
      </c>
      <c r="D270" s="57">
        <v>0.06</v>
      </c>
      <c r="E270" s="61">
        <f>ROUND(产出与消耗!P40*F270,0)</f>
        <v>2592000</v>
      </c>
      <c r="F270" s="57">
        <v>0.02</v>
      </c>
      <c r="G270" s="61">
        <f>ROUND(产出与消耗!P62*H270,0)</f>
        <v>2430000</v>
      </c>
      <c r="H270" s="57">
        <v>0.03</v>
      </c>
    </row>
    <row r="271" spans="1:8">
      <c r="A271" s="7"/>
      <c r="B271">
        <v>16</v>
      </c>
      <c r="C271" s="61">
        <f>ROUND(产出与消耗!P19*D271,0)</f>
        <v>9021093</v>
      </c>
      <c r="D271" s="57">
        <v>0.06</v>
      </c>
      <c r="E271" s="61">
        <f>ROUND(产出与消耗!P41*F271,0)</f>
        <v>4009375</v>
      </c>
      <c r="F271" s="57">
        <v>0.02</v>
      </c>
      <c r="G271" s="61">
        <f>ROUND(产出与消耗!P63*H271,0)</f>
        <v>3758789</v>
      </c>
      <c r="H271" s="57">
        <v>0.03</v>
      </c>
    </row>
    <row r="272" spans="1:8">
      <c r="A272" s="7"/>
      <c r="B272">
        <v>17</v>
      </c>
      <c r="C272" s="61">
        <f>ROUND(产出与消耗!P20*D272,0)</f>
        <v>13473040</v>
      </c>
      <c r="D272" s="57">
        <v>0.06</v>
      </c>
      <c r="E272" s="61">
        <f>ROUND(产出与消耗!P42*F272,0)</f>
        <v>5988018</v>
      </c>
      <c r="F272" s="57">
        <v>0.02</v>
      </c>
      <c r="G272" s="61">
        <f>ROUND(产出与消耗!P64*H272,0)</f>
        <v>5613767</v>
      </c>
      <c r="H272" s="57">
        <v>0.03</v>
      </c>
    </row>
    <row r="273" spans="1:10">
      <c r="A273" s="7"/>
      <c r="B273">
        <v>18</v>
      </c>
      <c r="C273" s="61">
        <f>ROUND(产出与消耗!P21*D273,0)</f>
        <v>19595520</v>
      </c>
      <c r="D273" s="57">
        <v>0.06</v>
      </c>
      <c r="E273" s="61">
        <f>ROUND(产出与消耗!P43*F273,0)</f>
        <v>8709120</v>
      </c>
      <c r="F273" s="57">
        <v>0.02</v>
      </c>
      <c r="G273" s="61">
        <f>ROUND(产出与消耗!P65*H273,0)</f>
        <v>8164800</v>
      </c>
      <c r="H273" s="57">
        <v>0.03</v>
      </c>
    </row>
    <row r="274" spans="1:10">
      <c r="A274" s="7"/>
      <c r="B274">
        <v>19</v>
      </c>
      <c r="C274" s="61">
        <f>ROUND(产出与消耗!P22*D274,0)</f>
        <v>27755032</v>
      </c>
      <c r="D274" s="57">
        <v>0.06</v>
      </c>
      <c r="E274" s="61">
        <f>ROUND(产出与消耗!P44*F274,0)</f>
        <v>12335570</v>
      </c>
      <c r="F274" s="57">
        <v>0.02</v>
      </c>
      <c r="G274" s="61">
        <f>ROUND(产出与消耗!P66*H274,0)</f>
        <v>11564597</v>
      </c>
      <c r="H274" s="57">
        <v>0.03</v>
      </c>
    </row>
    <row r="275" spans="1:10">
      <c r="A275" s="7"/>
      <c r="B275">
        <v>20</v>
      </c>
      <c r="C275" s="61">
        <f>ROUND(产出与消耗!P23*D275,0)</f>
        <v>40124160</v>
      </c>
      <c r="D275" s="57">
        <v>0.06</v>
      </c>
      <c r="E275" s="61">
        <f>ROUND(产出与消耗!P45*F275,0)</f>
        <v>17832960</v>
      </c>
      <c r="F275" s="57">
        <v>0.02</v>
      </c>
      <c r="G275" s="61">
        <f>ROUND(产出与消耗!P67*H275,0)</f>
        <v>16718400</v>
      </c>
      <c r="H275" s="57">
        <v>0.03</v>
      </c>
    </row>
    <row r="276" spans="1:10" s="47" customFormat="1">
      <c r="A276" s="47" t="s">
        <v>469</v>
      </c>
      <c r="C276" s="61"/>
      <c r="D276" s="58"/>
      <c r="E276" s="61"/>
      <c r="F276" s="58"/>
      <c r="G276" s="61"/>
      <c r="H276" s="58"/>
      <c r="I276" s="60"/>
      <c r="J276" s="58"/>
    </row>
    <row r="277" spans="1:10">
      <c r="A277" s="7"/>
      <c r="B277">
        <v>1</v>
      </c>
      <c r="C277" s="61">
        <f>ROUND(产出与消耗!P4*D277,0)</f>
        <v>1</v>
      </c>
      <c r="D277" s="57">
        <v>0.03</v>
      </c>
      <c r="E277" s="61">
        <f>ROUND(产出与消耗!P26*F277,0)</f>
        <v>1</v>
      </c>
      <c r="F277" s="57">
        <v>0.02</v>
      </c>
      <c r="G277" s="61">
        <f>ROUND(产出与消耗!P48*H277,0)</f>
        <v>1</v>
      </c>
      <c r="H277" s="57">
        <v>0.04</v>
      </c>
    </row>
    <row r="278" spans="1:10">
      <c r="A278" s="7"/>
      <c r="B278">
        <v>2</v>
      </c>
      <c r="C278" s="61">
        <f>ROUND(产出与消耗!P5*D278,0)</f>
        <v>9</v>
      </c>
      <c r="D278" s="57">
        <v>0.03</v>
      </c>
      <c r="E278" s="61">
        <f>ROUND(产出与消耗!P27*F278,0)</f>
        <v>8</v>
      </c>
      <c r="F278" s="57">
        <v>0.02</v>
      </c>
      <c r="G278" s="61">
        <f>ROUND(产出与消耗!P49*H278,0)</f>
        <v>10</v>
      </c>
      <c r="H278" s="57">
        <v>0.04</v>
      </c>
    </row>
    <row r="279" spans="1:10">
      <c r="A279" s="7"/>
      <c r="B279">
        <v>3</v>
      </c>
      <c r="C279" s="61">
        <f>ROUND(产出与消耗!P6*D279,0)</f>
        <v>61</v>
      </c>
      <c r="D279" s="57">
        <v>0.03</v>
      </c>
      <c r="E279" s="61">
        <f>ROUND(产出与消耗!P28*F279,0)</f>
        <v>54</v>
      </c>
      <c r="F279" s="57">
        <v>0.02</v>
      </c>
      <c r="G279" s="61">
        <f>ROUND(产出与消耗!P50*H279,0)</f>
        <v>67</v>
      </c>
      <c r="H279" s="57">
        <v>0.04</v>
      </c>
    </row>
    <row r="280" spans="1:10">
      <c r="A280" s="7"/>
      <c r="B280">
        <v>4</v>
      </c>
      <c r="C280" s="61">
        <f>ROUND(产出与消耗!P7*D280,0)</f>
        <v>245</v>
      </c>
      <c r="D280" s="57">
        <v>0.03</v>
      </c>
      <c r="E280" s="61">
        <f>ROUND(产出与消耗!P29*F280,0)</f>
        <v>218</v>
      </c>
      <c r="F280" s="57">
        <v>0.02</v>
      </c>
      <c r="G280" s="61">
        <f>ROUND(产出与消耗!P51*H280,0)</f>
        <v>272</v>
      </c>
      <c r="H280" s="57">
        <v>0.04</v>
      </c>
    </row>
    <row r="281" spans="1:10">
      <c r="A281" s="7"/>
      <c r="B281">
        <v>5</v>
      </c>
      <c r="C281" s="61">
        <f>ROUND(产出与消耗!P8*D281,0)</f>
        <v>793</v>
      </c>
      <c r="D281" s="57">
        <v>0.03</v>
      </c>
      <c r="E281" s="61">
        <f>ROUND(产出与消耗!P30*F281,0)</f>
        <v>705</v>
      </c>
      <c r="F281" s="57">
        <v>0.02</v>
      </c>
      <c r="G281" s="61">
        <f>ROUND(产出与消耗!P52*H281,0)</f>
        <v>881</v>
      </c>
      <c r="H281" s="57">
        <v>0.04</v>
      </c>
    </row>
    <row r="282" spans="1:10">
      <c r="A282" s="7"/>
      <c r="B282">
        <v>6</v>
      </c>
      <c r="C282" s="61">
        <f>ROUND(产出与消耗!P9*D282,0)</f>
        <v>2264</v>
      </c>
      <c r="D282" s="57">
        <v>0.03</v>
      </c>
      <c r="E282" s="61">
        <f>ROUND(产出与消耗!P31*F282,0)</f>
        <v>2013</v>
      </c>
      <c r="F282" s="57">
        <v>0.02</v>
      </c>
      <c r="G282" s="61">
        <f>ROUND(产出与消耗!P53*H282,0)</f>
        <v>2516</v>
      </c>
      <c r="H282" s="57">
        <v>0.04</v>
      </c>
    </row>
    <row r="283" spans="1:10">
      <c r="A283" s="7"/>
      <c r="B283">
        <v>7</v>
      </c>
      <c r="C283" s="61">
        <f>ROUND(产出与消耗!P10*D283,0)</f>
        <v>6385</v>
      </c>
      <c r="D283" s="57">
        <v>0.03</v>
      </c>
      <c r="E283" s="61">
        <f>ROUND(产出与消耗!P32*F283,0)</f>
        <v>5675</v>
      </c>
      <c r="F283" s="57">
        <v>0.02</v>
      </c>
      <c r="G283" s="61">
        <f>ROUND(产出与消耗!P54*H283,0)</f>
        <v>7094</v>
      </c>
      <c r="H283" s="57">
        <v>0.04</v>
      </c>
    </row>
    <row r="284" spans="1:10">
      <c r="A284" s="7"/>
      <c r="B284">
        <v>8</v>
      </c>
      <c r="C284" s="61">
        <f>ROUND(产出与消耗!P11*D284,0)</f>
        <v>20463</v>
      </c>
      <c r="D284" s="57">
        <v>0.03</v>
      </c>
      <c r="E284" s="61">
        <f>ROUND(产出与消耗!P33*F284,0)</f>
        <v>18190</v>
      </c>
      <c r="F284" s="57">
        <v>0.02</v>
      </c>
      <c r="G284" s="61">
        <f>ROUND(产出与消耗!P55*H284,0)</f>
        <v>22737</v>
      </c>
      <c r="H284" s="57">
        <v>0.04</v>
      </c>
    </row>
    <row r="285" spans="1:10">
      <c r="A285" s="7"/>
      <c r="B285">
        <v>9</v>
      </c>
      <c r="C285" s="61">
        <f>ROUND(产出与消耗!P12*D285,0)</f>
        <v>48608</v>
      </c>
      <c r="D285" s="57">
        <v>0.03</v>
      </c>
      <c r="E285" s="61">
        <f>ROUND(产出与消耗!P34*F285,0)</f>
        <v>43207</v>
      </c>
      <c r="F285" s="57">
        <v>0.02</v>
      </c>
      <c r="G285" s="61">
        <f>ROUND(产出与消耗!P56*H285,0)</f>
        <v>54009</v>
      </c>
      <c r="H285" s="57">
        <v>0.04</v>
      </c>
    </row>
    <row r="286" spans="1:10">
      <c r="A286" s="7"/>
      <c r="B286">
        <v>10</v>
      </c>
      <c r="C286" s="61">
        <f>ROUND(产出与消耗!P13*D286,0)</f>
        <v>116329</v>
      </c>
      <c r="D286" s="57">
        <v>0.03</v>
      </c>
      <c r="E286" s="61">
        <f>ROUND(产出与消耗!P35*F286,0)</f>
        <v>103404</v>
      </c>
      <c r="F286" s="57">
        <v>0.02</v>
      </c>
      <c r="G286" s="61">
        <f>ROUND(产出与消耗!P57*H286,0)</f>
        <v>129254</v>
      </c>
      <c r="H286" s="57">
        <v>0.04</v>
      </c>
    </row>
    <row r="287" spans="1:10">
      <c r="A287" s="7"/>
      <c r="B287">
        <v>11</v>
      </c>
      <c r="C287" s="61">
        <f>ROUND(产出与消耗!P14*D287,0)</f>
        <v>238086</v>
      </c>
      <c r="D287" s="57">
        <v>0.03</v>
      </c>
      <c r="E287" s="61">
        <f>ROUND(产出与消耗!P36*F287,0)</f>
        <v>211632</v>
      </c>
      <c r="F287" s="57">
        <v>0.02</v>
      </c>
      <c r="G287" s="61">
        <f>ROUND(产出与消耗!P58*H287,0)</f>
        <v>264540</v>
      </c>
      <c r="H287" s="57">
        <v>0.04</v>
      </c>
    </row>
    <row r="288" spans="1:10">
      <c r="A288" s="7"/>
      <c r="B288">
        <v>12</v>
      </c>
      <c r="C288" s="61">
        <f>ROUND(产出与消耗!P15*D288,0)</f>
        <v>531179</v>
      </c>
      <c r="D288" s="57">
        <v>0.03</v>
      </c>
      <c r="E288" s="61">
        <f>ROUND(产出与消耗!P37*F288,0)</f>
        <v>472159</v>
      </c>
      <c r="F288" s="57">
        <v>0.02</v>
      </c>
      <c r="G288" s="61">
        <f>ROUND(产出与消耗!P59*H288,0)</f>
        <v>590198</v>
      </c>
      <c r="H288" s="57">
        <v>0.04</v>
      </c>
    </row>
    <row r="289" spans="1:10">
      <c r="A289" s="7"/>
      <c r="B289">
        <v>13</v>
      </c>
      <c r="C289" s="61">
        <f>ROUND(产出与消耗!P16*D289,0)</f>
        <v>1030164</v>
      </c>
      <c r="D289" s="57">
        <v>0.03</v>
      </c>
      <c r="E289" s="61">
        <f>ROUND(产出与消耗!P38*F289,0)</f>
        <v>915702</v>
      </c>
      <c r="F289" s="57">
        <v>0.02</v>
      </c>
      <c r="G289" s="61">
        <f>ROUND(产出与消耗!P60*H289,0)</f>
        <v>1144627</v>
      </c>
      <c r="H289" s="57">
        <v>0.04</v>
      </c>
    </row>
    <row r="290" spans="1:10">
      <c r="A290" s="7"/>
      <c r="B290">
        <v>14</v>
      </c>
      <c r="C290" s="61">
        <f>ROUND(产出与消耗!P17*D290,0)</f>
        <v>1776660</v>
      </c>
      <c r="D290" s="57">
        <v>0.03</v>
      </c>
      <c r="E290" s="61">
        <f>ROUND(产出与消耗!P39*F290,0)</f>
        <v>1579254</v>
      </c>
      <c r="F290" s="57">
        <v>0.02</v>
      </c>
      <c r="G290" s="61">
        <f>ROUND(产出与消耗!P61*H290,0)</f>
        <v>1974067</v>
      </c>
      <c r="H290" s="57">
        <v>0.04</v>
      </c>
    </row>
    <row r="291" spans="1:10">
      <c r="A291" s="7"/>
      <c r="B291">
        <v>15</v>
      </c>
      <c r="C291" s="61">
        <f>ROUND(产出与消耗!P18*D291,0)</f>
        <v>2916000</v>
      </c>
      <c r="D291" s="57">
        <v>0.03</v>
      </c>
      <c r="E291" s="61">
        <f>ROUND(产出与消耗!P40*F291,0)</f>
        <v>2592000</v>
      </c>
      <c r="F291" s="57">
        <v>0.02</v>
      </c>
      <c r="G291" s="61">
        <f>ROUND(产出与消耗!P62*H291,0)</f>
        <v>3240000</v>
      </c>
      <c r="H291" s="57">
        <v>0.04</v>
      </c>
    </row>
    <row r="292" spans="1:10">
      <c r="A292" s="7"/>
      <c r="B292">
        <v>16</v>
      </c>
      <c r="C292" s="61">
        <f>ROUND(产出与消耗!P19*D292,0)</f>
        <v>4510547</v>
      </c>
      <c r="D292" s="57">
        <v>0.03</v>
      </c>
      <c r="E292" s="61">
        <f>ROUND(产出与消耗!P41*F292,0)</f>
        <v>4009375</v>
      </c>
      <c r="F292" s="57">
        <v>0.02</v>
      </c>
      <c r="G292" s="61">
        <f>ROUND(产出与消耗!P63*H292,0)</f>
        <v>5011718</v>
      </c>
      <c r="H292" s="57">
        <v>0.04</v>
      </c>
    </row>
    <row r="293" spans="1:10">
      <c r="A293" s="7"/>
      <c r="B293">
        <v>17</v>
      </c>
      <c r="C293" s="61">
        <f>ROUND(产出与消耗!P20*D293,0)</f>
        <v>6736520</v>
      </c>
      <c r="D293" s="57">
        <v>0.03</v>
      </c>
      <c r="E293" s="61">
        <f>ROUND(产出与消耗!P42*F293,0)</f>
        <v>5988018</v>
      </c>
      <c r="F293" s="57">
        <v>0.02</v>
      </c>
      <c r="G293" s="61">
        <f>ROUND(产出与消耗!P64*H293,0)</f>
        <v>7485022</v>
      </c>
      <c r="H293" s="57">
        <v>0.04</v>
      </c>
    </row>
    <row r="294" spans="1:10">
      <c r="A294" s="7"/>
      <c r="B294">
        <v>18</v>
      </c>
      <c r="C294" s="61">
        <f>ROUND(产出与消耗!P21*D294,0)</f>
        <v>9797760</v>
      </c>
      <c r="D294" s="57">
        <v>0.03</v>
      </c>
      <c r="E294" s="61">
        <f>ROUND(产出与消耗!P43*F294,0)</f>
        <v>8709120</v>
      </c>
      <c r="F294" s="57">
        <v>0.02</v>
      </c>
      <c r="G294" s="61">
        <f>ROUND(产出与消耗!P65*H294,0)</f>
        <v>10886400</v>
      </c>
      <c r="H294" s="57">
        <v>0.04</v>
      </c>
    </row>
    <row r="295" spans="1:10">
      <c r="A295" s="7"/>
      <c r="B295">
        <v>19</v>
      </c>
      <c r="C295" s="61">
        <f>ROUND(产出与消耗!P22*D295,0)</f>
        <v>13877516</v>
      </c>
      <c r="D295" s="57">
        <v>0.03</v>
      </c>
      <c r="E295" s="61">
        <f>ROUND(产出与消耗!P44*F295,0)</f>
        <v>12335570</v>
      </c>
      <c r="F295" s="57">
        <v>0.02</v>
      </c>
      <c r="G295" s="61">
        <f>ROUND(产出与消耗!P66*H295,0)</f>
        <v>15419462</v>
      </c>
      <c r="H295" s="57">
        <v>0.04</v>
      </c>
    </row>
    <row r="296" spans="1:10">
      <c r="A296" s="7"/>
      <c r="B296">
        <v>20</v>
      </c>
      <c r="C296" s="61">
        <f>ROUND(产出与消耗!P23*D296,0)</f>
        <v>20062080</v>
      </c>
      <c r="D296" s="57">
        <v>0.03</v>
      </c>
      <c r="E296" s="61">
        <f>ROUND(产出与消耗!P45*F296,0)</f>
        <v>17832960</v>
      </c>
      <c r="F296" s="57">
        <v>0.02</v>
      </c>
      <c r="G296" s="61">
        <f>ROUND(产出与消耗!P67*H296,0)</f>
        <v>22291200</v>
      </c>
      <c r="H296" s="57">
        <v>0.04</v>
      </c>
    </row>
    <row r="297" spans="1:10" s="47" customFormat="1">
      <c r="A297" s="47" t="s">
        <v>484</v>
      </c>
      <c r="C297" s="61"/>
      <c r="D297" s="58"/>
      <c r="E297" s="61"/>
      <c r="F297" s="58"/>
      <c r="G297" s="61"/>
      <c r="H297" s="58"/>
      <c r="I297" s="60"/>
      <c r="J297" s="58"/>
    </row>
    <row r="298" spans="1:10">
      <c r="B298">
        <v>1</v>
      </c>
      <c r="C298" s="61">
        <f>ROUND(产出与消耗!P4*D298,0)</f>
        <v>1</v>
      </c>
      <c r="D298" s="57">
        <v>0.05</v>
      </c>
      <c r="E298" s="61">
        <f>ROUND(产出与消耗!P26*F298,0)</f>
        <v>3</v>
      </c>
      <c r="F298" s="57">
        <v>7.0000000000000007E-2</v>
      </c>
      <c r="G298" s="61">
        <f>ROUND(产出与消耗!P48*H298,0)</f>
        <v>2</v>
      </c>
      <c r="H298" s="57">
        <v>7.0000000000000007E-2</v>
      </c>
    </row>
    <row r="299" spans="1:10">
      <c r="B299">
        <v>2</v>
      </c>
      <c r="C299" s="61">
        <f>ROUND(产出与消耗!P5*D299,0)</f>
        <v>16</v>
      </c>
      <c r="D299" s="57">
        <v>0.05</v>
      </c>
      <c r="E299" s="61">
        <f>ROUND(产出与消耗!P27*F299,0)</f>
        <v>29</v>
      </c>
      <c r="F299" s="57">
        <v>7.0000000000000007E-2</v>
      </c>
      <c r="G299" s="61">
        <f>ROUND(产出与消耗!P49*H299,0)</f>
        <v>18</v>
      </c>
      <c r="H299" s="57">
        <v>7.0000000000000007E-2</v>
      </c>
    </row>
    <row r="300" spans="1:10">
      <c r="B300">
        <v>3</v>
      </c>
      <c r="C300" s="61">
        <f>ROUND(产出与消耗!P6*D300,0)</f>
        <v>101</v>
      </c>
      <c r="D300" s="57">
        <v>0.05</v>
      </c>
      <c r="E300" s="61">
        <f>ROUND(产出与消耗!P28*F300,0)</f>
        <v>189</v>
      </c>
      <c r="F300" s="57">
        <v>7.0000000000000007E-2</v>
      </c>
      <c r="G300" s="61">
        <f>ROUND(产出与消耗!P50*H300,0)</f>
        <v>118</v>
      </c>
      <c r="H300" s="57">
        <v>7.0000000000000007E-2</v>
      </c>
    </row>
    <row r="301" spans="1:10">
      <c r="B301">
        <v>4</v>
      </c>
      <c r="C301" s="61">
        <f>ROUND(产出与消耗!P7*D301,0)</f>
        <v>408</v>
      </c>
      <c r="D301" s="57">
        <v>0.05</v>
      </c>
      <c r="E301" s="61">
        <f>ROUND(产出与消耗!P29*F301,0)</f>
        <v>762</v>
      </c>
      <c r="F301" s="57">
        <v>7.0000000000000007E-2</v>
      </c>
      <c r="G301" s="61">
        <f>ROUND(产出与消耗!P51*H301,0)</f>
        <v>476</v>
      </c>
      <c r="H301" s="57">
        <v>7.0000000000000007E-2</v>
      </c>
    </row>
    <row r="302" spans="1:10">
      <c r="B302">
        <v>5</v>
      </c>
      <c r="C302" s="61">
        <f>ROUND(产出与消耗!P8*D302,0)</f>
        <v>1322</v>
      </c>
      <c r="D302" s="57">
        <v>0.05</v>
      </c>
      <c r="E302" s="61">
        <f>ROUND(产出与消耗!P30*F302,0)</f>
        <v>2468</v>
      </c>
      <c r="F302" s="57">
        <v>7.0000000000000007E-2</v>
      </c>
      <c r="G302" s="61">
        <f>ROUND(产出与消耗!P52*H302,0)</f>
        <v>1542</v>
      </c>
      <c r="H302" s="57">
        <v>7.0000000000000007E-2</v>
      </c>
    </row>
    <row r="303" spans="1:10">
      <c r="B303">
        <v>6</v>
      </c>
      <c r="C303" s="61">
        <f>ROUND(产出与消耗!P9*D303,0)</f>
        <v>3774</v>
      </c>
      <c r="D303" s="57">
        <v>0.05</v>
      </c>
      <c r="E303" s="61">
        <f>ROUND(产出与消耗!P31*F303,0)</f>
        <v>7045</v>
      </c>
      <c r="F303" s="57">
        <v>7.0000000000000007E-2</v>
      </c>
      <c r="G303" s="61">
        <f>ROUND(产出与消耗!P53*H303,0)</f>
        <v>4403</v>
      </c>
      <c r="H303" s="57">
        <v>7.0000000000000007E-2</v>
      </c>
    </row>
    <row r="304" spans="1:10">
      <c r="B304">
        <v>7</v>
      </c>
      <c r="C304" s="61">
        <f>ROUND(产出与消耗!P10*D304,0)</f>
        <v>10641</v>
      </c>
      <c r="D304" s="57">
        <v>0.05</v>
      </c>
      <c r="E304" s="61">
        <f>ROUND(产出与消耗!P32*F304,0)</f>
        <v>19864</v>
      </c>
      <c r="F304" s="57">
        <v>7.0000000000000007E-2</v>
      </c>
      <c r="G304" s="61">
        <f>ROUND(产出与消耗!P54*H304,0)</f>
        <v>12415</v>
      </c>
      <c r="H304" s="57">
        <v>7.0000000000000007E-2</v>
      </c>
    </row>
    <row r="305" spans="2:8">
      <c r="B305">
        <v>8</v>
      </c>
      <c r="C305" s="61">
        <f>ROUND(产出与消耗!P11*D305,0)</f>
        <v>34106</v>
      </c>
      <c r="D305" s="57">
        <v>0.05</v>
      </c>
      <c r="E305" s="61">
        <f>ROUND(产出与消耗!P33*F305,0)</f>
        <v>63664</v>
      </c>
      <c r="F305" s="57">
        <v>7.0000000000000007E-2</v>
      </c>
      <c r="G305" s="61">
        <f>ROUND(产出与消耗!P55*H305,0)</f>
        <v>39790</v>
      </c>
      <c r="H305" s="57">
        <v>7.0000000000000007E-2</v>
      </c>
    </row>
    <row r="306" spans="2:8">
      <c r="B306">
        <v>9</v>
      </c>
      <c r="C306" s="61">
        <f>ROUND(产出与消耗!P12*D306,0)</f>
        <v>81013</v>
      </c>
      <c r="D306" s="57">
        <v>0.05</v>
      </c>
      <c r="E306" s="61">
        <f>ROUND(产出与消耗!P34*F306,0)</f>
        <v>151224</v>
      </c>
      <c r="F306" s="57">
        <v>7.0000000000000007E-2</v>
      </c>
      <c r="G306" s="61">
        <f>ROUND(产出与消耗!P56*H306,0)</f>
        <v>94515</v>
      </c>
      <c r="H306" s="57">
        <v>7.0000000000000007E-2</v>
      </c>
    </row>
    <row r="307" spans="2:8">
      <c r="B307">
        <v>10</v>
      </c>
      <c r="C307" s="61">
        <f>ROUND(产出与消耗!P13*D307,0)</f>
        <v>193882</v>
      </c>
      <c r="D307" s="57">
        <v>0.05</v>
      </c>
      <c r="E307" s="61">
        <f>ROUND(产出与消耗!P35*F307,0)</f>
        <v>361912</v>
      </c>
      <c r="F307" s="57">
        <v>7.0000000000000007E-2</v>
      </c>
      <c r="G307" s="61">
        <f>ROUND(产出与消耗!P57*H307,0)</f>
        <v>226195</v>
      </c>
      <c r="H307" s="57">
        <v>7.0000000000000007E-2</v>
      </c>
    </row>
    <row r="308" spans="2:8">
      <c r="B308">
        <v>11</v>
      </c>
      <c r="C308" s="61">
        <f>ROUND(产出与消耗!P14*D308,0)</f>
        <v>396809</v>
      </c>
      <c r="D308" s="57">
        <v>0.05</v>
      </c>
      <c r="E308" s="61">
        <f>ROUND(产出与消耗!P36*F308,0)</f>
        <v>740711</v>
      </c>
      <c r="F308" s="57">
        <v>7.0000000000000007E-2</v>
      </c>
      <c r="G308" s="61">
        <f>ROUND(产出与消耗!P58*H308,0)</f>
        <v>462944</v>
      </c>
      <c r="H308" s="57">
        <v>7.0000000000000007E-2</v>
      </c>
    </row>
    <row r="309" spans="2:8">
      <c r="B309">
        <v>12</v>
      </c>
      <c r="C309" s="61">
        <f>ROUND(产出与消耗!P15*D309,0)</f>
        <v>885298</v>
      </c>
      <c r="D309" s="57">
        <v>0.05</v>
      </c>
      <c r="E309" s="61">
        <f>ROUND(产出与消耗!P37*F309,0)</f>
        <v>1652556</v>
      </c>
      <c r="F309" s="57">
        <v>7.0000000000000007E-2</v>
      </c>
      <c r="G309" s="61">
        <f>ROUND(产出与消耗!P59*H309,0)</f>
        <v>1032847</v>
      </c>
      <c r="H309" s="57">
        <v>7.0000000000000007E-2</v>
      </c>
    </row>
    <row r="310" spans="2:8">
      <c r="B310">
        <v>13</v>
      </c>
      <c r="C310" s="61">
        <f>ROUND(产出与消耗!P16*D310,0)</f>
        <v>1716941</v>
      </c>
      <c r="D310" s="57">
        <v>0.05</v>
      </c>
      <c r="E310" s="61">
        <f>ROUND(产出与消耗!P38*F310,0)</f>
        <v>3204956</v>
      </c>
      <c r="F310" s="57">
        <v>7.0000000000000007E-2</v>
      </c>
      <c r="G310" s="61">
        <f>ROUND(产出与消耗!P60*H310,0)</f>
        <v>2003098</v>
      </c>
      <c r="H310" s="57">
        <v>7.0000000000000007E-2</v>
      </c>
    </row>
    <row r="311" spans="2:8">
      <c r="B311">
        <v>14</v>
      </c>
      <c r="C311" s="61">
        <f>ROUND(产出与消耗!P17*D311,0)</f>
        <v>2961101</v>
      </c>
      <c r="D311" s="57">
        <v>0.05</v>
      </c>
      <c r="E311" s="61">
        <f>ROUND(产出与消耗!P39*F311,0)</f>
        <v>5527388</v>
      </c>
      <c r="F311" s="57">
        <v>7.0000000000000007E-2</v>
      </c>
      <c r="G311" s="61">
        <f>ROUND(产出与消耗!P61*H311,0)</f>
        <v>3454618</v>
      </c>
      <c r="H311" s="57">
        <v>7.0000000000000007E-2</v>
      </c>
    </row>
    <row r="312" spans="2:8">
      <c r="B312">
        <v>15</v>
      </c>
      <c r="C312" s="61">
        <f>ROUND(产出与消耗!P18*D312,0)</f>
        <v>4860000</v>
      </c>
      <c r="D312" s="57">
        <v>0.05</v>
      </c>
      <c r="E312" s="61">
        <f>ROUND(产出与消耗!P40*F312,0)</f>
        <v>9072000</v>
      </c>
      <c r="F312" s="57">
        <v>7.0000000000000007E-2</v>
      </c>
      <c r="G312" s="61">
        <f>ROUND(产出与消耗!P62*H312,0)</f>
        <v>5670000</v>
      </c>
      <c r="H312" s="57">
        <v>7.0000000000000007E-2</v>
      </c>
    </row>
    <row r="313" spans="2:8">
      <c r="B313">
        <v>16</v>
      </c>
      <c r="C313" s="61">
        <f>ROUND(产出与消耗!P19*D313,0)</f>
        <v>7517578</v>
      </c>
      <c r="D313" s="57">
        <v>0.05</v>
      </c>
      <c r="E313" s="61">
        <f>ROUND(产出与消耗!P41*F313,0)</f>
        <v>14032812</v>
      </c>
      <c r="F313" s="57">
        <v>7.0000000000000007E-2</v>
      </c>
      <c r="G313" s="61">
        <f>ROUND(产出与消耗!P63*H313,0)</f>
        <v>8770507</v>
      </c>
      <c r="H313" s="57">
        <v>7.0000000000000007E-2</v>
      </c>
    </row>
    <row r="314" spans="2:8">
      <c r="B314">
        <v>17</v>
      </c>
      <c r="C314" s="61">
        <f>ROUND(产出与消耗!P20*D314,0)</f>
        <v>11227533</v>
      </c>
      <c r="D314" s="57">
        <v>0.05</v>
      </c>
      <c r="E314" s="61">
        <f>ROUND(产出与消耗!P42*F314,0)</f>
        <v>20958062</v>
      </c>
      <c r="F314" s="57">
        <v>7.0000000000000007E-2</v>
      </c>
      <c r="G314" s="61">
        <f>ROUND(产出与消耗!P64*H314,0)</f>
        <v>13098789</v>
      </c>
      <c r="H314" s="57">
        <v>7.0000000000000007E-2</v>
      </c>
    </row>
    <row r="315" spans="2:8">
      <c r="B315">
        <v>18</v>
      </c>
      <c r="C315" s="61">
        <f>ROUND(产出与消耗!P21*D315,0)</f>
        <v>16329600</v>
      </c>
      <c r="D315" s="57">
        <v>0.05</v>
      </c>
      <c r="E315" s="61">
        <f>ROUND(产出与消耗!P43*F315,0)</f>
        <v>30481920</v>
      </c>
      <c r="F315" s="57">
        <v>7.0000000000000007E-2</v>
      </c>
      <c r="G315" s="61">
        <f>ROUND(产出与消耗!P65*H315,0)</f>
        <v>19051200</v>
      </c>
      <c r="H315" s="57">
        <v>7.0000000000000007E-2</v>
      </c>
    </row>
    <row r="316" spans="2:8">
      <c r="B316">
        <v>19</v>
      </c>
      <c r="C316" s="61">
        <f>ROUND(产出与消耗!P22*D316,0)</f>
        <v>23129194</v>
      </c>
      <c r="D316" s="57">
        <v>0.05</v>
      </c>
      <c r="E316" s="61">
        <f>ROUND(产出与消耗!P44*F316,0)</f>
        <v>43174495</v>
      </c>
      <c r="F316" s="57">
        <v>7.0000000000000007E-2</v>
      </c>
      <c r="G316" s="61">
        <f>ROUND(产出与消耗!P66*H316,0)</f>
        <v>26984059</v>
      </c>
      <c r="H316" s="57">
        <v>7.0000000000000007E-2</v>
      </c>
    </row>
    <row r="317" spans="2:8">
      <c r="B317">
        <v>20</v>
      </c>
      <c r="C317" s="61">
        <f>ROUND(产出与消耗!P23*D317,0)</f>
        <v>33436800</v>
      </c>
      <c r="D317" s="57">
        <v>0.05</v>
      </c>
      <c r="E317" s="61">
        <f>ROUND(产出与消耗!P45*F317,0)</f>
        <v>62415360</v>
      </c>
      <c r="F317" s="57">
        <v>7.0000000000000007E-2</v>
      </c>
      <c r="G317" s="61">
        <f>ROUND(产出与消耗!P67*H317,0)</f>
        <v>39009600</v>
      </c>
      <c r="H317" s="57">
        <v>7.0000000000000007E-2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5"/>
  <sheetViews>
    <sheetView topLeftCell="A295" workbookViewId="0">
      <selection activeCell="F303" sqref="F303"/>
    </sheetView>
  </sheetViews>
  <sheetFormatPr defaultRowHeight="13.5"/>
  <cols>
    <col min="1" max="1" width="10.25" customWidth="1"/>
    <col min="2" max="2" width="10.25" style="69" customWidth="1"/>
    <col min="3" max="3" width="10.25" style="85" customWidth="1"/>
    <col min="4" max="4" width="13.25" style="69" customWidth="1"/>
    <col min="5" max="6" width="10.25" style="85" customWidth="1"/>
    <col min="7" max="7" width="11.625" bestFit="1" customWidth="1"/>
    <col min="8" max="8" width="12.75" customWidth="1"/>
    <col min="9" max="9" width="12.875" customWidth="1"/>
    <col min="10" max="10" width="12.25" customWidth="1"/>
    <col min="11" max="11" width="11.5" customWidth="1"/>
  </cols>
  <sheetData>
    <row r="1" spans="1:8" s="48" customFormat="1" ht="27">
      <c r="A1" s="48" t="s">
        <v>186</v>
      </c>
      <c r="B1" s="49" t="s">
        <v>485</v>
      </c>
      <c r="C1" s="84" t="s">
        <v>463</v>
      </c>
      <c r="D1" s="49" t="s">
        <v>445</v>
      </c>
      <c r="E1" s="84" t="s">
        <v>464</v>
      </c>
      <c r="F1" s="84" t="s">
        <v>468</v>
      </c>
      <c r="G1" s="48" t="s">
        <v>264</v>
      </c>
      <c r="H1" s="48" t="s">
        <v>471</v>
      </c>
    </row>
    <row r="2" spans="1:8">
      <c r="A2">
        <v>1</v>
      </c>
      <c r="B2" s="86">
        <f>ROUND(H23*基本公式!$B$162,0)</f>
        <v>240</v>
      </c>
      <c r="C2" s="85">
        <f>其他表格!G28*基本公式!$B$4*基本公式!$B$120</f>
        <v>1.9575055271595899E-2</v>
      </c>
      <c r="D2" s="86">
        <f>ROUND(E2*3600,0)</f>
        <v>70</v>
      </c>
      <c r="E2" s="85">
        <f>C2</f>
        <v>1.9575055271595899E-2</v>
      </c>
      <c r="F2" s="85">
        <f>E2/24</f>
        <v>8.1562730298316251E-4</v>
      </c>
      <c r="G2" s="1">
        <v>1</v>
      </c>
      <c r="H2">
        <v>12</v>
      </c>
    </row>
    <row r="3" spans="1:8">
      <c r="A3">
        <v>2</v>
      </c>
      <c r="B3" s="86">
        <f>ROUND(H24*基本公式!$B$162,0)</f>
        <v>465</v>
      </c>
      <c r="C3" s="85">
        <f>其他表格!G29*基本公式!$B$4*基本公式!$B$120</f>
        <v>0.17207324275610025</v>
      </c>
      <c r="D3" s="86">
        <f t="shared" ref="D3:D21" si="0">ROUND(E3*3600,0)</f>
        <v>549</v>
      </c>
      <c r="E3" s="85">
        <f t="shared" ref="E3:E21" si="1">C3-C2</f>
        <v>0.15249818748450436</v>
      </c>
      <c r="F3" s="85">
        <f t="shared" ref="F3:F20" si="2">E3/24</f>
        <v>6.3540911451876814E-3</v>
      </c>
      <c r="G3" s="1">
        <v>2</v>
      </c>
      <c r="H3">
        <v>13</v>
      </c>
    </row>
    <row r="4" spans="1:8">
      <c r="A4">
        <v>3</v>
      </c>
      <c r="B4" s="86">
        <f>ROUND(H25*基本公式!$B$162,0)</f>
        <v>690</v>
      </c>
      <c r="C4" s="85">
        <f>其他表格!G30*基本公式!$B$4*基本公式!$B$120</f>
        <v>0.72451891686779069</v>
      </c>
      <c r="D4" s="86">
        <f t="shared" si="0"/>
        <v>1989</v>
      </c>
      <c r="E4" s="85">
        <f t="shared" si="1"/>
        <v>0.55244567411169043</v>
      </c>
      <c r="F4" s="85">
        <f t="shared" si="2"/>
        <v>2.3018569754653769E-2</v>
      </c>
      <c r="G4" s="1">
        <v>3</v>
      </c>
      <c r="H4">
        <v>14</v>
      </c>
    </row>
    <row r="5" spans="1:8">
      <c r="A5">
        <v>4</v>
      </c>
      <c r="B5" s="86">
        <f>ROUND(H26*基本公式!$B$162,0)</f>
        <v>1140</v>
      </c>
      <c r="C5" s="85">
        <f>其他表格!G31*基本公式!$B$4*基本公式!$B$120</f>
        <v>1.7159658557395039</v>
      </c>
      <c r="D5" s="86">
        <f t="shared" si="0"/>
        <v>3569</v>
      </c>
      <c r="E5" s="85">
        <f t="shared" si="1"/>
        <v>0.9914469388717132</v>
      </c>
      <c r="F5" s="85">
        <f t="shared" si="2"/>
        <v>4.1310289119654717E-2</v>
      </c>
      <c r="G5" s="1">
        <v>4</v>
      </c>
      <c r="H5">
        <v>15</v>
      </c>
    </row>
    <row r="6" spans="1:8">
      <c r="A6">
        <v>5</v>
      </c>
      <c r="B6" s="86">
        <f>ROUND(H27*基本公式!$B$162,0)</f>
        <v>1895</v>
      </c>
      <c r="C6" s="85">
        <f>其他表格!G32*基本公式!$B$4*基本公式!$B$120</f>
        <v>3.4118619353884876</v>
      </c>
      <c r="D6" s="86">
        <f t="shared" si="0"/>
        <v>6105</v>
      </c>
      <c r="E6" s="85">
        <f t="shared" si="1"/>
        <v>1.6958960796489837</v>
      </c>
      <c r="F6" s="85">
        <f t="shared" si="2"/>
        <v>7.0662336652040983E-2</v>
      </c>
      <c r="G6" s="1">
        <v>5</v>
      </c>
      <c r="H6">
        <v>16</v>
      </c>
    </row>
    <row r="7" spans="1:8">
      <c r="A7">
        <v>6</v>
      </c>
      <c r="B7" s="86">
        <f>ROUND(H28*基本公式!$B$162,0)</f>
        <v>4825</v>
      </c>
      <c r="C7" s="85">
        <f>其他表格!G33*基本公式!$B$4*基本公式!$B$120</f>
        <v>5.9153024266797303</v>
      </c>
      <c r="D7" s="86">
        <f t="shared" si="0"/>
        <v>9012</v>
      </c>
      <c r="E7" s="85">
        <f t="shared" si="1"/>
        <v>2.5034404912912427</v>
      </c>
      <c r="F7" s="85">
        <f t="shared" si="2"/>
        <v>0.10431002047046845</v>
      </c>
      <c r="G7" s="1">
        <v>6</v>
      </c>
      <c r="H7">
        <v>17</v>
      </c>
    </row>
    <row r="8" spans="1:8">
      <c r="A8">
        <v>7</v>
      </c>
      <c r="B8" s="86">
        <f>ROUND(H29*基本公式!$B$162,0)</f>
        <v>9505</v>
      </c>
      <c r="C8" s="85">
        <f>其他表格!G34*基本公式!$B$4*基本公式!$B$120</f>
        <v>10.229470361927351</v>
      </c>
      <c r="D8" s="86">
        <f t="shared" si="0"/>
        <v>15531</v>
      </c>
      <c r="E8" s="85">
        <f t="shared" si="1"/>
        <v>4.314167935247621</v>
      </c>
      <c r="F8" s="85">
        <f t="shared" si="2"/>
        <v>0.17975699730198422</v>
      </c>
      <c r="G8" s="1">
        <v>7</v>
      </c>
      <c r="H8">
        <v>18</v>
      </c>
    </row>
    <row r="9" spans="1:8">
      <c r="A9">
        <v>8</v>
      </c>
      <c r="B9" s="86">
        <f>ROUND(H30*基本公式!$B$162,0)</f>
        <v>17090</v>
      </c>
      <c r="C9" s="85">
        <f>其他表格!G35*基本公式!$B$4*基本公式!$B$120</f>
        <v>20.131223137889069</v>
      </c>
      <c r="D9" s="86">
        <f t="shared" si="0"/>
        <v>35646</v>
      </c>
      <c r="E9" s="85">
        <f t="shared" si="1"/>
        <v>9.9017527759617181</v>
      </c>
      <c r="F9" s="85">
        <f t="shared" si="2"/>
        <v>0.41257303233173825</v>
      </c>
      <c r="G9" s="1">
        <v>8</v>
      </c>
      <c r="H9">
        <v>19</v>
      </c>
    </row>
    <row r="10" spans="1:8">
      <c r="A10">
        <v>9</v>
      </c>
      <c r="B10" s="86">
        <f>ROUND(H31*基本公式!$B$162,0)</f>
        <v>24655</v>
      </c>
      <c r="C10" s="85">
        <f>其他表格!G36*基本公式!$B$4*基本公式!$B$120</f>
        <v>34.496587996382736</v>
      </c>
      <c r="D10" s="86">
        <f t="shared" si="0"/>
        <v>51715</v>
      </c>
      <c r="E10" s="85">
        <f t="shared" si="1"/>
        <v>14.365364858493667</v>
      </c>
      <c r="F10" s="85">
        <f t="shared" si="2"/>
        <v>0.59855686910390282</v>
      </c>
      <c r="G10" s="1">
        <v>9</v>
      </c>
      <c r="H10">
        <v>19</v>
      </c>
    </row>
    <row r="11" spans="1:8">
      <c r="A11">
        <v>10</v>
      </c>
      <c r="B11" s="86">
        <f>ROUND(H32*基本公式!$B$162,0)</f>
        <v>37495</v>
      </c>
      <c r="C11" s="85">
        <f>其他表格!G37*基本公式!$B$4*基本公式!$B$120</f>
        <v>57.062025257174462</v>
      </c>
      <c r="D11" s="86">
        <f t="shared" si="0"/>
        <v>81236</v>
      </c>
      <c r="E11" s="85">
        <f t="shared" si="1"/>
        <v>22.565437260791725</v>
      </c>
      <c r="F11" s="85">
        <f t="shared" si="2"/>
        <v>0.94022655253298859</v>
      </c>
      <c r="G11" s="1">
        <v>10</v>
      </c>
      <c r="H11">
        <v>19</v>
      </c>
    </row>
    <row r="12" spans="1:8">
      <c r="A12">
        <v>11</v>
      </c>
      <c r="B12" s="86">
        <f>ROUND(H33*基本公式!$B$162,0)</f>
        <v>54565</v>
      </c>
      <c r="C12" s="85">
        <f>其他表格!G38*基本公式!$B$4*基本公式!$B$120</f>
        <v>98.288655945372284</v>
      </c>
      <c r="D12" s="86">
        <f t="shared" si="0"/>
        <v>148416</v>
      </c>
      <c r="E12" s="85">
        <f t="shared" si="1"/>
        <v>41.226630688197822</v>
      </c>
      <c r="F12" s="85">
        <f t="shared" si="2"/>
        <v>1.7177762786749093</v>
      </c>
      <c r="G12" s="1">
        <v>11</v>
      </c>
      <c r="H12">
        <v>19</v>
      </c>
    </row>
    <row r="13" spans="1:8">
      <c r="A13">
        <v>12</v>
      </c>
      <c r="B13" s="86">
        <f>ROUND(H34*基本公式!$B$162,0)</f>
        <v>98025</v>
      </c>
      <c r="C13" s="85">
        <f>其他表格!G39*基本公式!$B$4*基本公式!$B$120</f>
        <v>155.19261465058779</v>
      </c>
      <c r="D13" s="86">
        <f t="shared" si="0"/>
        <v>204854</v>
      </c>
      <c r="E13" s="85">
        <f t="shared" si="1"/>
        <v>56.903958705215501</v>
      </c>
      <c r="F13" s="85">
        <f t="shared" si="2"/>
        <v>2.3709982793839792</v>
      </c>
      <c r="G13" s="1">
        <v>12</v>
      </c>
      <c r="H13">
        <v>19</v>
      </c>
    </row>
    <row r="14" spans="1:8">
      <c r="A14">
        <v>13</v>
      </c>
      <c r="B14" s="86">
        <f>ROUND(H35*基本公式!$B$162,0)</f>
        <v>134125</v>
      </c>
      <c r="C14" s="85">
        <f>其他表格!G40*基本公式!$B$4*基本公式!$B$120</f>
        <v>242.01577333424999</v>
      </c>
      <c r="D14" s="86">
        <f t="shared" si="0"/>
        <v>312563</v>
      </c>
      <c r="E14" s="85">
        <f t="shared" si="1"/>
        <v>86.8231586836622</v>
      </c>
      <c r="F14" s="85">
        <f t="shared" si="2"/>
        <v>3.6176316118192582</v>
      </c>
      <c r="G14" s="1">
        <v>13</v>
      </c>
      <c r="H14">
        <v>19</v>
      </c>
    </row>
    <row r="15" spans="1:8">
      <c r="A15">
        <v>14</v>
      </c>
      <c r="B15" s="86">
        <f>ROUND(H36*基本公式!$B$162,0)</f>
        <v>165655</v>
      </c>
      <c r="C15" s="85">
        <f>其他表格!G41*基本公式!$B$4*基本公式!$B$120</f>
        <v>356.65482386100001</v>
      </c>
      <c r="D15" s="86">
        <f t="shared" si="0"/>
        <v>412701</v>
      </c>
      <c r="E15" s="85">
        <f t="shared" si="1"/>
        <v>114.63905052675003</v>
      </c>
      <c r="F15" s="85">
        <f t="shared" si="2"/>
        <v>4.7766271052812508</v>
      </c>
      <c r="G15" s="1">
        <v>14</v>
      </c>
      <c r="H15">
        <v>19</v>
      </c>
    </row>
    <row r="16" spans="1:8">
      <c r="A16">
        <v>15</v>
      </c>
      <c r="B16" s="86">
        <f>ROUND(H37*基本公式!$B$162,0)</f>
        <v>201120</v>
      </c>
      <c r="C16" s="85">
        <f>其他表格!G42*基本公式!$B$4*基本公式!$B$120</f>
        <v>502.80285318749998</v>
      </c>
      <c r="D16" s="86">
        <f t="shared" si="0"/>
        <v>526133</v>
      </c>
      <c r="E16" s="85">
        <f t="shared" si="1"/>
        <v>146.14802932649997</v>
      </c>
      <c r="F16" s="85">
        <f t="shared" si="2"/>
        <v>6.0895012219374989</v>
      </c>
      <c r="G16" s="1">
        <v>15</v>
      </c>
      <c r="H16">
        <v>19</v>
      </c>
    </row>
    <row r="17" spans="1:9">
      <c r="A17">
        <v>16</v>
      </c>
      <c r="B17" s="86">
        <f>ROUND(H38*基本公式!$B$162,0)</f>
        <v>235705</v>
      </c>
      <c r="C17" s="85">
        <f>其他表格!G43*基本公式!$B$4*基本公式!$B$120</f>
        <v>684.51756854999996</v>
      </c>
      <c r="D17" s="86">
        <f t="shared" si="0"/>
        <v>654173</v>
      </c>
      <c r="E17" s="85">
        <f t="shared" si="1"/>
        <v>181.71471536249999</v>
      </c>
      <c r="F17" s="85">
        <f t="shared" si="2"/>
        <v>7.5714464734374998</v>
      </c>
      <c r="G17" s="1">
        <v>16</v>
      </c>
      <c r="H17">
        <v>19</v>
      </c>
    </row>
    <row r="18" spans="1:9">
      <c r="A18">
        <v>17</v>
      </c>
      <c r="B18" s="86">
        <f>ROUND(H39*基本公式!$B$162,0)</f>
        <v>272825</v>
      </c>
      <c r="C18" s="85">
        <f>其他表格!G44*基本公式!$B$4*基本公式!$B$120</f>
        <v>906.25223400000004</v>
      </c>
      <c r="D18" s="86">
        <f t="shared" si="0"/>
        <v>798245</v>
      </c>
      <c r="E18" s="85">
        <f t="shared" si="1"/>
        <v>221.73466545000008</v>
      </c>
      <c r="F18" s="85">
        <f t="shared" si="2"/>
        <v>9.2389443937500033</v>
      </c>
      <c r="G18" s="1">
        <v>17</v>
      </c>
      <c r="H18">
        <v>19</v>
      </c>
    </row>
    <row r="19" spans="1:9">
      <c r="A19">
        <v>18</v>
      </c>
      <c r="B19" s="86">
        <f>ROUND(H40*基本公式!$B$162,0)</f>
        <v>313460</v>
      </c>
      <c r="C19" s="85">
        <f>其他表格!G45*基本公式!$B$4*基本公式!$B$120</f>
        <v>1172.8889999999999</v>
      </c>
      <c r="D19" s="86">
        <f t="shared" si="0"/>
        <v>959892</v>
      </c>
      <c r="E19" s="85">
        <f t="shared" si="1"/>
        <v>266.63676599999985</v>
      </c>
      <c r="F19" s="85">
        <f t="shared" si="2"/>
        <v>11.109865249999993</v>
      </c>
      <c r="G19" s="1">
        <v>18</v>
      </c>
      <c r="H19">
        <v>19</v>
      </c>
    </row>
    <row r="20" spans="1:9">
      <c r="A20">
        <v>19</v>
      </c>
      <c r="B20" s="86">
        <f>ROUND(H41*基本公式!$B$162,0)</f>
        <v>356365</v>
      </c>
      <c r="C20" s="85">
        <f>其他表格!G46*基本公式!$B$4*基本公式!$B$120</f>
        <v>1489.7747999999997</v>
      </c>
      <c r="D20" s="86">
        <f t="shared" si="0"/>
        <v>1140789</v>
      </c>
      <c r="E20" s="85">
        <f t="shared" si="1"/>
        <v>316.88579999999979</v>
      </c>
      <c r="F20" s="85">
        <f t="shared" si="2"/>
        <v>13.203574999999992</v>
      </c>
      <c r="G20" s="1">
        <v>19</v>
      </c>
      <c r="H20">
        <v>19</v>
      </c>
    </row>
    <row r="21" spans="1:9">
      <c r="A21">
        <v>20</v>
      </c>
      <c r="B21" s="86">
        <f>ROUND(H42*基本公式!$B$162,0)</f>
        <v>419250</v>
      </c>
      <c r="C21" s="85">
        <f>其他表格!G47*基本公式!$B$4*基本公式!$B$120</f>
        <v>1862.76</v>
      </c>
      <c r="D21" s="86">
        <f t="shared" si="0"/>
        <v>1342747</v>
      </c>
      <c r="E21" s="85">
        <f t="shared" si="1"/>
        <v>372.9852000000003</v>
      </c>
      <c r="F21" s="85">
        <f>E21/24</f>
        <v>15.541050000000013</v>
      </c>
      <c r="G21" s="1">
        <v>20</v>
      </c>
      <c r="H21">
        <v>19</v>
      </c>
    </row>
    <row r="22" spans="1:9" s="48" customFormat="1" ht="27">
      <c r="A22" s="48" t="s">
        <v>453</v>
      </c>
      <c r="B22" s="49" t="s">
        <v>485</v>
      </c>
      <c r="C22" s="84" t="s">
        <v>463</v>
      </c>
      <c r="D22" s="49" t="s">
        <v>445</v>
      </c>
      <c r="E22" s="84" t="s">
        <v>464</v>
      </c>
      <c r="F22" s="84" t="s">
        <v>468</v>
      </c>
      <c r="G22" s="48" t="s">
        <v>476</v>
      </c>
      <c r="H22" s="48" t="s">
        <v>477</v>
      </c>
      <c r="I22" s="48" t="s">
        <v>480</v>
      </c>
    </row>
    <row r="23" spans="1:9">
      <c r="A23">
        <v>1</v>
      </c>
      <c r="B23" s="86">
        <f>ROUND(H23*基本公式!$B$163,0)</f>
        <v>96</v>
      </c>
      <c r="C23" s="85">
        <f>其他表格!G28*基本公式!$B$4*基本公式!$B$121</f>
        <v>1.7617549744436307E-2</v>
      </c>
      <c r="D23" s="86">
        <f>ROUND(E23*3600,0)</f>
        <v>63</v>
      </c>
      <c r="E23" s="85">
        <f>C23</f>
        <v>1.7617549744436307E-2</v>
      </c>
      <c r="F23" s="85">
        <f>E23/24</f>
        <v>7.3406457268484614E-4</v>
      </c>
      <c r="G23" s="11">
        <f>ROUND(兵消耗!H2*基本公式!$B$158,-2)</f>
        <v>4800</v>
      </c>
      <c r="H23" s="71">
        <f>G23</f>
        <v>4800</v>
      </c>
      <c r="I23" s="1">
        <f>SUM(G23:H23)</f>
        <v>9600</v>
      </c>
    </row>
    <row r="24" spans="1:9">
      <c r="A24">
        <v>2</v>
      </c>
      <c r="B24" s="86">
        <f>ROUND(H24*基本公式!$B$163,0)</f>
        <v>186</v>
      </c>
      <c r="C24" s="85">
        <f>其他表格!G29*基本公式!$B$4*基本公式!$B$121</f>
        <v>0.15486591848049022</v>
      </c>
      <c r="D24" s="86">
        <f t="shared" ref="D24:D42" si="3">ROUND(E24*3600,0)</f>
        <v>494</v>
      </c>
      <c r="E24" s="85">
        <f t="shared" ref="E24:E42" si="4">C24-C23</f>
        <v>0.13724836873605392</v>
      </c>
      <c r="F24" s="85">
        <f t="shared" ref="F24:F41" si="5">E24/24</f>
        <v>5.7186820306689137E-3</v>
      </c>
      <c r="G24" s="11">
        <f>ROUND(兵消耗!H3*基本公式!$B$158,-2)</f>
        <v>9300</v>
      </c>
      <c r="H24" s="71">
        <f t="shared" ref="H24:H42" si="6">G24</f>
        <v>9300</v>
      </c>
      <c r="I24" s="1">
        <f t="shared" ref="I24:I42" si="7">SUM(G24:H24)</f>
        <v>18600</v>
      </c>
    </row>
    <row r="25" spans="1:9">
      <c r="A25">
        <v>3</v>
      </c>
      <c r="B25" s="86">
        <f>ROUND(H25*基本公式!$B$163,0)</f>
        <v>276</v>
      </c>
      <c r="C25" s="85">
        <f>其他表格!G30*基本公式!$B$4*基本公式!$B$121</f>
        <v>0.65206702518101156</v>
      </c>
      <c r="D25" s="86">
        <f t="shared" si="3"/>
        <v>1790</v>
      </c>
      <c r="E25" s="85">
        <f t="shared" si="4"/>
        <v>0.49720110670052131</v>
      </c>
      <c r="F25" s="85">
        <f t="shared" si="5"/>
        <v>2.0716712779188389E-2</v>
      </c>
      <c r="G25" s="11">
        <f>ROUND(兵消耗!H4*基本公式!$B$158,-2)</f>
        <v>13800</v>
      </c>
      <c r="H25" s="71">
        <f t="shared" si="6"/>
        <v>13800</v>
      </c>
      <c r="I25" s="1">
        <f t="shared" si="7"/>
        <v>27600</v>
      </c>
    </row>
    <row r="26" spans="1:9">
      <c r="A26">
        <v>4</v>
      </c>
      <c r="B26" s="86">
        <f>ROUND(H26*基本公式!$B$163,0)</f>
        <v>456</v>
      </c>
      <c r="C26" s="85">
        <f>其他表格!G31*基本公式!$B$4*基本公式!$B$121</f>
        <v>1.5443692701655534</v>
      </c>
      <c r="D26" s="86">
        <f t="shared" si="3"/>
        <v>3212</v>
      </c>
      <c r="E26" s="85">
        <f t="shared" si="4"/>
        <v>0.8923022449845418</v>
      </c>
      <c r="F26" s="85">
        <f t="shared" si="5"/>
        <v>3.717926020768924E-2</v>
      </c>
      <c r="G26" s="11">
        <f>ROUND(兵消耗!H5*基本公式!$B$158,-2)</f>
        <v>22800</v>
      </c>
      <c r="H26" s="71">
        <f t="shared" si="6"/>
        <v>22800</v>
      </c>
      <c r="I26" s="1">
        <f t="shared" si="7"/>
        <v>45600</v>
      </c>
    </row>
    <row r="27" spans="1:9">
      <c r="A27">
        <v>5</v>
      </c>
      <c r="B27" s="86">
        <f>ROUND(H27*基本公式!$B$163,0)</f>
        <v>758</v>
      </c>
      <c r="C27" s="85">
        <f>其他表格!G32*基本公式!$B$4*基本公式!$B$121</f>
        <v>3.0706757418496387</v>
      </c>
      <c r="D27" s="86">
        <f t="shared" si="3"/>
        <v>5495</v>
      </c>
      <c r="E27" s="85">
        <f t="shared" si="4"/>
        <v>1.5263064716840853</v>
      </c>
      <c r="F27" s="85">
        <f t="shared" si="5"/>
        <v>6.3596102986836892E-2</v>
      </c>
      <c r="G27" s="11">
        <f>ROUND(兵消耗!H6*基本公式!$B$158,-2)</f>
        <v>37900</v>
      </c>
      <c r="H27" s="71">
        <f t="shared" si="6"/>
        <v>37900</v>
      </c>
      <c r="I27" s="1">
        <f t="shared" si="7"/>
        <v>75800</v>
      </c>
    </row>
    <row r="28" spans="1:9">
      <c r="A28">
        <v>6</v>
      </c>
      <c r="B28" s="86">
        <f>ROUND(H28*基本公式!$B$163,0)</f>
        <v>1930</v>
      </c>
      <c r="C28" s="85">
        <f>其他表格!G33*基本公式!$B$4*基本公式!$B$121</f>
        <v>5.323772184011756</v>
      </c>
      <c r="D28" s="86">
        <f t="shared" si="3"/>
        <v>8111</v>
      </c>
      <c r="E28" s="85">
        <f t="shared" si="4"/>
        <v>2.2530964421621174</v>
      </c>
      <c r="F28" s="85">
        <f t="shared" si="5"/>
        <v>9.3879018423421556E-2</v>
      </c>
      <c r="G28" s="11">
        <f>ROUND(兵消耗!H7*基本公式!$B$158,-2)</f>
        <v>96500</v>
      </c>
      <c r="H28" s="71">
        <f t="shared" si="6"/>
        <v>96500</v>
      </c>
      <c r="I28" s="1">
        <f t="shared" si="7"/>
        <v>193000</v>
      </c>
    </row>
    <row r="29" spans="1:9">
      <c r="A29">
        <v>7</v>
      </c>
      <c r="B29" s="86">
        <f>ROUND(H29*基本公式!$B$163,0)</f>
        <v>3802</v>
      </c>
      <c r="C29" s="85">
        <f>其他表格!G34*基本公式!$B$4*基本公式!$B$121</f>
        <v>9.2065233257346151</v>
      </c>
      <c r="D29" s="86">
        <f t="shared" si="3"/>
        <v>13978</v>
      </c>
      <c r="E29" s="85">
        <f t="shared" si="4"/>
        <v>3.8827511417228591</v>
      </c>
      <c r="F29" s="85">
        <f t="shared" si="5"/>
        <v>0.1617812975717858</v>
      </c>
      <c r="G29" s="11">
        <f>ROUND(兵消耗!H8*基本公式!$B$158,-2)</f>
        <v>190100</v>
      </c>
      <c r="H29" s="71">
        <f t="shared" si="6"/>
        <v>190100</v>
      </c>
      <c r="I29" s="1">
        <f t="shared" si="7"/>
        <v>380200</v>
      </c>
    </row>
    <row r="30" spans="1:9">
      <c r="A30">
        <v>8</v>
      </c>
      <c r="B30" s="86">
        <f>ROUND(H30*基本公式!$B$163,0)</f>
        <v>6836</v>
      </c>
      <c r="C30" s="85">
        <f>其他表格!G35*基本公式!$B$4*基本公式!$B$121</f>
        <v>18.118100824100161</v>
      </c>
      <c r="D30" s="86">
        <f t="shared" si="3"/>
        <v>32082</v>
      </c>
      <c r="E30" s="85">
        <f t="shared" si="4"/>
        <v>8.9115774983655456</v>
      </c>
      <c r="F30" s="85">
        <f t="shared" si="5"/>
        <v>0.37131572909856442</v>
      </c>
      <c r="G30" s="11">
        <f>ROUND(兵消耗!H9*基本公式!$B$158,-2)</f>
        <v>341800</v>
      </c>
      <c r="H30" s="71">
        <f t="shared" si="6"/>
        <v>341800</v>
      </c>
      <c r="I30" s="1">
        <f t="shared" si="7"/>
        <v>683600</v>
      </c>
    </row>
    <row r="31" spans="1:9">
      <c r="A31">
        <v>9</v>
      </c>
      <c r="B31" s="86">
        <f>ROUND(H31*基本公式!$B$163,0)</f>
        <v>9862</v>
      </c>
      <c r="C31" s="85">
        <f>其他表格!G36*基本公式!$B$4*基本公式!$B$121</f>
        <v>31.046929196744461</v>
      </c>
      <c r="D31" s="86">
        <f t="shared" si="3"/>
        <v>46544</v>
      </c>
      <c r="E31" s="85">
        <f t="shared" si="4"/>
        <v>12.928828372644301</v>
      </c>
      <c r="F31" s="85">
        <f t="shared" si="5"/>
        <v>0.53870118219351248</v>
      </c>
      <c r="G31" s="11">
        <f>ROUND(兵消耗!H10*基本公式!$B$158,-2)</f>
        <v>493100</v>
      </c>
      <c r="H31" s="71">
        <f t="shared" si="6"/>
        <v>493100</v>
      </c>
      <c r="I31" s="1">
        <f t="shared" si="7"/>
        <v>986200</v>
      </c>
    </row>
    <row r="32" spans="1:9">
      <c r="A32">
        <v>10</v>
      </c>
      <c r="B32" s="86">
        <f>ROUND(H32*基本公式!$B$163,0)</f>
        <v>14998</v>
      </c>
      <c r="C32" s="85">
        <f>其他表格!G37*基本公式!$B$4*基本公式!$B$121</f>
        <v>51.35582273145701</v>
      </c>
      <c r="D32" s="86">
        <f t="shared" si="3"/>
        <v>73112</v>
      </c>
      <c r="E32" s="85">
        <f t="shared" si="4"/>
        <v>20.308893534712549</v>
      </c>
      <c r="F32" s="85">
        <f t="shared" si="5"/>
        <v>0.84620389727968959</v>
      </c>
      <c r="G32" s="11">
        <f>ROUND(兵消耗!H11*基本公式!$B$158,-2)</f>
        <v>749900</v>
      </c>
      <c r="H32" s="71">
        <f t="shared" si="6"/>
        <v>749900</v>
      </c>
      <c r="I32" s="1">
        <f t="shared" si="7"/>
        <v>1499800</v>
      </c>
    </row>
    <row r="33" spans="1:11">
      <c r="A33">
        <v>11</v>
      </c>
      <c r="B33" s="86">
        <f>ROUND(H33*基本公式!$B$163,0)</f>
        <v>21826</v>
      </c>
      <c r="C33" s="85">
        <f>其他表格!G38*基本公式!$B$4*基本公式!$B$121</f>
        <v>88.459790350835036</v>
      </c>
      <c r="D33" s="86">
        <f t="shared" si="3"/>
        <v>133574</v>
      </c>
      <c r="E33" s="85">
        <f t="shared" si="4"/>
        <v>37.103967619378025</v>
      </c>
      <c r="F33" s="85">
        <f t="shared" si="5"/>
        <v>1.5459986508074177</v>
      </c>
      <c r="G33" s="11">
        <f>ROUND(兵消耗!H12*基本公式!$B$158,-2)</f>
        <v>1091300</v>
      </c>
      <c r="H33" s="71">
        <f t="shared" si="6"/>
        <v>1091300</v>
      </c>
      <c r="I33" s="1">
        <f t="shared" si="7"/>
        <v>2182600</v>
      </c>
    </row>
    <row r="34" spans="1:11">
      <c r="A34">
        <v>12</v>
      </c>
      <c r="B34" s="86">
        <f>ROUND(H34*基本公式!$B$163,0)</f>
        <v>39210</v>
      </c>
      <c r="C34" s="85">
        <f>其他表格!G39*基本公式!$B$4*基本公式!$B$121</f>
        <v>139.67335318552901</v>
      </c>
      <c r="D34" s="86">
        <f t="shared" si="3"/>
        <v>184369</v>
      </c>
      <c r="E34" s="85">
        <f t="shared" si="4"/>
        <v>51.213562834693974</v>
      </c>
      <c r="F34" s="85">
        <f t="shared" si="5"/>
        <v>2.1338984514455821</v>
      </c>
      <c r="G34" s="11">
        <f>ROUND(兵消耗!H13*基本公式!$B$158,-2)</f>
        <v>1960500</v>
      </c>
      <c r="H34" s="71">
        <f t="shared" si="6"/>
        <v>1960500</v>
      </c>
      <c r="I34" s="1">
        <f t="shared" si="7"/>
        <v>3921000</v>
      </c>
    </row>
    <row r="35" spans="1:11">
      <c r="A35">
        <v>13</v>
      </c>
      <c r="B35" s="86">
        <f>ROUND(H35*基本公式!$B$163,0)</f>
        <v>53650</v>
      </c>
      <c r="C35" s="85">
        <f>其他表格!G40*基本公式!$B$4*基本公式!$B$121</f>
        <v>217.81419600082498</v>
      </c>
      <c r="D35" s="86">
        <f t="shared" si="3"/>
        <v>281307</v>
      </c>
      <c r="E35" s="85">
        <f t="shared" si="4"/>
        <v>78.140842815295969</v>
      </c>
      <c r="F35" s="85">
        <f t="shared" si="5"/>
        <v>3.2558684506373319</v>
      </c>
      <c r="G35" s="11">
        <f>ROUND(兵消耗!H14*基本公式!$B$158,-2)</f>
        <v>2682500</v>
      </c>
      <c r="H35" s="71">
        <f t="shared" si="6"/>
        <v>2682500</v>
      </c>
      <c r="I35" s="1">
        <f t="shared" si="7"/>
        <v>5365000</v>
      </c>
    </row>
    <row r="36" spans="1:11">
      <c r="A36">
        <v>14</v>
      </c>
      <c r="B36" s="86">
        <f>ROUND(H36*基本公式!$B$163,0)</f>
        <v>66262</v>
      </c>
      <c r="C36" s="85">
        <f>其他表格!G41*基本公式!$B$4*基本公式!$B$121</f>
        <v>320.98934147489996</v>
      </c>
      <c r="D36" s="86">
        <f t="shared" si="3"/>
        <v>371431</v>
      </c>
      <c r="E36" s="85">
        <f t="shared" si="4"/>
        <v>103.17514547407498</v>
      </c>
      <c r="F36" s="85">
        <f t="shared" si="5"/>
        <v>4.2989643947531242</v>
      </c>
      <c r="G36" s="11">
        <f>ROUND(兵消耗!H15*基本公式!$B$158,-2)</f>
        <v>3313100</v>
      </c>
      <c r="H36" s="71">
        <f t="shared" si="6"/>
        <v>3313100</v>
      </c>
      <c r="I36" s="1">
        <f t="shared" si="7"/>
        <v>6626200</v>
      </c>
    </row>
    <row r="37" spans="1:11">
      <c r="A37">
        <v>15</v>
      </c>
      <c r="B37" s="86">
        <f>ROUND(H37*基本公式!$B$163,0)</f>
        <v>80448</v>
      </c>
      <c r="C37" s="85">
        <f>其他表格!G42*基本公式!$B$4*基本公式!$B$121</f>
        <v>452.52256786874995</v>
      </c>
      <c r="D37" s="86">
        <f t="shared" si="3"/>
        <v>473520</v>
      </c>
      <c r="E37" s="85">
        <f t="shared" si="4"/>
        <v>131.53322639384999</v>
      </c>
      <c r="F37" s="85">
        <f t="shared" si="5"/>
        <v>5.4805510997437494</v>
      </c>
      <c r="G37" s="11">
        <f>ROUND(兵消耗!H16*基本公式!$B$158,-2)</f>
        <v>4022400</v>
      </c>
      <c r="H37" s="71">
        <f t="shared" si="6"/>
        <v>4022400</v>
      </c>
      <c r="I37" s="1">
        <f t="shared" si="7"/>
        <v>8044800</v>
      </c>
    </row>
    <row r="38" spans="1:11">
      <c r="A38">
        <v>16</v>
      </c>
      <c r="B38" s="86">
        <f>ROUND(H38*基本公式!$B$163,0)</f>
        <v>94282</v>
      </c>
      <c r="C38" s="85">
        <f>其他表格!G43*基本公式!$B$4*基本公式!$B$121</f>
        <v>616.06581169499998</v>
      </c>
      <c r="D38" s="86">
        <f t="shared" si="3"/>
        <v>588756</v>
      </c>
      <c r="E38" s="85">
        <f t="shared" si="4"/>
        <v>163.54324382625003</v>
      </c>
      <c r="F38" s="85">
        <f t="shared" si="5"/>
        <v>6.8143018260937511</v>
      </c>
      <c r="G38" s="11">
        <f>ROUND(兵消耗!H17*基本公式!$B$158,-2)</f>
        <v>4714100</v>
      </c>
      <c r="H38" s="71">
        <f t="shared" si="6"/>
        <v>4714100</v>
      </c>
      <c r="I38" s="1">
        <f t="shared" si="7"/>
        <v>9428200</v>
      </c>
    </row>
    <row r="39" spans="1:11">
      <c r="A39">
        <v>17</v>
      </c>
      <c r="B39" s="86">
        <f>ROUND(H39*基本公式!$B$163,0)</f>
        <v>109130</v>
      </c>
      <c r="C39" s="85">
        <f>其他表格!G44*基本公式!$B$4*基本公式!$B$121</f>
        <v>815.62701059999995</v>
      </c>
      <c r="D39" s="86">
        <f t="shared" si="3"/>
        <v>718420</v>
      </c>
      <c r="E39" s="85">
        <f t="shared" si="4"/>
        <v>199.56119890499997</v>
      </c>
      <c r="F39" s="85">
        <f t="shared" si="5"/>
        <v>8.3150499543749987</v>
      </c>
      <c r="G39" s="11">
        <f>ROUND(兵消耗!H18*基本公式!$B$158,-2)</f>
        <v>5456500</v>
      </c>
      <c r="H39" s="71">
        <f t="shared" si="6"/>
        <v>5456500</v>
      </c>
      <c r="I39" s="1">
        <f t="shared" si="7"/>
        <v>10913000</v>
      </c>
    </row>
    <row r="40" spans="1:11">
      <c r="A40">
        <v>18</v>
      </c>
      <c r="B40" s="86">
        <f>ROUND(H40*基本公式!$B$163,0)</f>
        <v>125384</v>
      </c>
      <c r="C40" s="85">
        <f>其他表格!G45*基本公式!$B$4*基本公式!$B$121</f>
        <v>1055.6000999999997</v>
      </c>
      <c r="D40" s="86">
        <f t="shared" si="3"/>
        <v>863903</v>
      </c>
      <c r="E40" s="85">
        <f t="shared" si="4"/>
        <v>239.97308939999971</v>
      </c>
      <c r="F40" s="85">
        <f t="shared" si="5"/>
        <v>9.9988787249999884</v>
      </c>
      <c r="G40" s="11">
        <f>ROUND(兵消耗!H19*基本公式!$B$158,-2)</f>
        <v>6269200</v>
      </c>
      <c r="H40" s="71">
        <f t="shared" si="6"/>
        <v>6269200</v>
      </c>
      <c r="I40" s="1">
        <f t="shared" si="7"/>
        <v>12538400</v>
      </c>
    </row>
    <row r="41" spans="1:11">
      <c r="A41">
        <v>19</v>
      </c>
      <c r="B41" s="86">
        <f>ROUND(H41*基本公式!$B$163,0)</f>
        <v>142546</v>
      </c>
      <c r="C41" s="85">
        <f>其他表格!G46*基本公式!$B$4*基本公式!$B$121</f>
        <v>1340.7973199999997</v>
      </c>
      <c r="D41" s="86">
        <f t="shared" si="3"/>
        <v>1026710</v>
      </c>
      <c r="E41" s="85">
        <f t="shared" si="4"/>
        <v>285.19722000000002</v>
      </c>
      <c r="F41" s="85">
        <f t="shared" si="5"/>
        <v>11.883217500000001</v>
      </c>
      <c r="G41" s="11">
        <f>ROUND(兵消耗!H20*基本公式!$B$158,-2)</f>
        <v>7127300</v>
      </c>
      <c r="H41" s="71">
        <f t="shared" si="6"/>
        <v>7127300</v>
      </c>
      <c r="I41" s="1">
        <f t="shared" si="7"/>
        <v>14254600</v>
      </c>
    </row>
    <row r="42" spans="1:11">
      <c r="A42">
        <v>20</v>
      </c>
      <c r="B42" s="86">
        <f>ROUND(H42*基本公式!$B$163,0)</f>
        <v>167700</v>
      </c>
      <c r="C42" s="85">
        <f>其他表格!G47*基本公式!$B$4*基本公式!$B$121</f>
        <v>1676.4839999999997</v>
      </c>
      <c r="D42" s="86">
        <f t="shared" si="3"/>
        <v>1208472</v>
      </c>
      <c r="E42" s="85">
        <f t="shared" si="4"/>
        <v>335.68668000000002</v>
      </c>
      <c r="F42" s="85">
        <f>E42/24</f>
        <v>13.986945</v>
      </c>
      <c r="G42" s="11">
        <f>ROUND(兵消耗!H21*基本公式!$B$158,-2)</f>
        <v>8385000</v>
      </c>
      <c r="H42" s="71">
        <f t="shared" si="6"/>
        <v>8385000</v>
      </c>
      <c r="I42" s="1">
        <f t="shared" si="7"/>
        <v>16770000</v>
      </c>
    </row>
    <row r="43" spans="1:11" s="48" customFormat="1" ht="27">
      <c r="A43" s="48" t="s">
        <v>184</v>
      </c>
      <c r="B43" s="49" t="s">
        <v>485</v>
      </c>
      <c r="C43" s="84" t="s">
        <v>463</v>
      </c>
      <c r="D43" s="49" t="s">
        <v>445</v>
      </c>
      <c r="E43" s="84" t="s">
        <v>464</v>
      </c>
      <c r="F43" s="84" t="s">
        <v>468</v>
      </c>
      <c r="G43" s="48" t="s">
        <v>266</v>
      </c>
      <c r="H43" s="48" t="s">
        <v>281</v>
      </c>
      <c r="I43" s="48" t="s">
        <v>267</v>
      </c>
      <c r="J43" s="48" t="s">
        <v>268</v>
      </c>
      <c r="K43" s="48" t="s">
        <v>269</v>
      </c>
    </row>
    <row r="44" spans="1:11">
      <c r="A44">
        <v>1</v>
      </c>
      <c r="B44" s="86">
        <f>ROUND(H23*基本公式!$B$164,0)</f>
        <v>168</v>
      </c>
      <c r="C44" s="85">
        <f>其他表格!G28*基本公式!$B$4*基本公式!$B$122</f>
        <v>1.1745033162957538E-2</v>
      </c>
      <c r="D44" s="86">
        <f>ROUND(E44*3600,0)</f>
        <v>42</v>
      </c>
      <c r="E44" s="85">
        <f>C44</f>
        <v>1.1745033162957538E-2</v>
      </c>
      <c r="F44" s="85">
        <f>E44/24</f>
        <v>4.8937638178989747E-4</v>
      </c>
      <c r="G44" s="1">
        <v>1</v>
      </c>
      <c r="H44" s="1">
        <v>0.04</v>
      </c>
      <c r="I44" s="1">
        <v>0</v>
      </c>
      <c r="J44" s="1">
        <v>0</v>
      </c>
      <c r="K44" s="1">
        <v>0</v>
      </c>
    </row>
    <row r="45" spans="1:11">
      <c r="A45">
        <v>2</v>
      </c>
      <c r="B45" s="86">
        <f>ROUND(H24*基本公式!$B$164,0)</f>
        <v>326</v>
      </c>
      <c r="C45" s="85">
        <f>其他表格!G29*基本公式!$B$4*基本公式!$B$122</f>
        <v>0.10324394565366014</v>
      </c>
      <c r="D45" s="86">
        <f t="shared" ref="D45:D63" si="8">ROUND(E45*3600,0)</f>
        <v>329</v>
      </c>
      <c r="E45" s="85">
        <f t="shared" ref="E45:E63" si="9">C45-C44</f>
        <v>9.1498912490702605E-2</v>
      </c>
      <c r="F45" s="85">
        <f t="shared" ref="F45:F62" si="10">E45/24</f>
        <v>3.8124546871126084E-3</v>
      </c>
      <c r="G45" s="1">
        <v>2</v>
      </c>
      <c r="H45" s="1">
        <v>7.0000000000000007E-2</v>
      </c>
      <c r="I45" s="1">
        <v>0</v>
      </c>
      <c r="J45" s="1">
        <v>0</v>
      </c>
      <c r="K45" s="1">
        <v>0</v>
      </c>
    </row>
    <row r="46" spans="1:11">
      <c r="A46">
        <v>3</v>
      </c>
      <c r="B46" s="86">
        <f>ROUND(H25*基本公式!$B$164,0)</f>
        <v>483</v>
      </c>
      <c r="C46" s="85">
        <f>其他表格!G30*基本公式!$B$4*基本公式!$B$122</f>
        <v>0.43471135012067436</v>
      </c>
      <c r="D46" s="86">
        <f t="shared" si="8"/>
        <v>1193</v>
      </c>
      <c r="E46" s="85">
        <f t="shared" si="9"/>
        <v>0.33146740446701423</v>
      </c>
      <c r="F46" s="85">
        <f t="shared" si="10"/>
        <v>1.3811141852792259E-2</v>
      </c>
      <c r="G46" s="1">
        <v>3</v>
      </c>
      <c r="H46" s="1">
        <v>0.1</v>
      </c>
      <c r="I46" s="1">
        <v>0.01</v>
      </c>
      <c r="J46" s="1">
        <v>0</v>
      </c>
      <c r="K46" s="1">
        <v>0</v>
      </c>
    </row>
    <row r="47" spans="1:11">
      <c r="A47">
        <v>4</v>
      </c>
      <c r="B47" s="86">
        <f>ROUND(H26*基本公式!$B$164,0)</f>
        <v>798</v>
      </c>
      <c r="C47" s="85">
        <f>其他表格!G31*基本公式!$B$4*基本公式!$B$122</f>
        <v>1.0295795134437022</v>
      </c>
      <c r="D47" s="86">
        <f t="shared" si="8"/>
        <v>2142</v>
      </c>
      <c r="E47" s="85">
        <f t="shared" si="9"/>
        <v>0.59486816332302794</v>
      </c>
      <c r="F47" s="85">
        <f t="shared" si="10"/>
        <v>2.4786173471792832E-2</v>
      </c>
      <c r="G47" s="1">
        <v>4</v>
      </c>
      <c r="H47" s="1">
        <v>0.15</v>
      </c>
      <c r="I47" s="1">
        <v>0.01</v>
      </c>
      <c r="J47" s="1">
        <v>0</v>
      </c>
      <c r="K47" s="1">
        <v>0</v>
      </c>
    </row>
    <row r="48" spans="1:11">
      <c r="A48">
        <v>5</v>
      </c>
      <c r="B48" s="86">
        <f>ROUND(H27*基本公式!$B$164,0)</f>
        <v>1327</v>
      </c>
      <c r="C48" s="85">
        <f>其他表格!G32*基本公式!$B$4*基本公式!$B$122</f>
        <v>2.0471171612330923</v>
      </c>
      <c r="D48" s="86">
        <f t="shared" si="8"/>
        <v>3663</v>
      </c>
      <c r="E48" s="85">
        <f t="shared" si="9"/>
        <v>1.01753764778939</v>
      </c>
      <c r="F48" s="85">
        <f t="shared" si="10"/>
        <v>4.2397401991224583E-2</v>
      </c>
      <c r="G48" s="1">
        <v>5</v>
      </c>
      <c r="H48" s="1">
        <v>0.2</v>
      </c>
      <c r="I48" s="1">
        <f>I47+0.01</f>
        <v>0.02</v>
      </c>
      <c r="J48" s="1">
        <v>0</v>
      </c>
      <c r="K48" s="1">
        <v>0</v>
      </c>
    </row>
    <row r="49" spans="1:11">
      <c r="A49">
        <v>6</v>
      </c>
      <c r="B49" s="86">
        <f>ROUND(H28*基本公式!$B$164,0)</f>
        <v>3378</v>
      </c>
      <c r="C49" s="85">
        <f>其他表格!G33*基本公式!$B$4*基本公式!$B$122</f>
        <v>3.5491814560078376</v>
      </c>
      <c r="D49" s="86">
        <f t="shared" si="8"/>
        <v>5407</v>
      </c>
      <c r="E49" s="85">
        <f t="shared" si="9"/>
        <v>1.5020642947747453</v>
      </c>
      <c r="F49" s="85">
        <f t="shared" si="10"/>
        <v>6.2586012282281056E-2</v>
      </c>
      <c r="G49" s="1">
        <v>6</v>
      </c>
      <c r="H49" s="1">
        <v>0.25</v>
      </c>
      <c r="I49" s="1">
        <f t="shared" ref="I49:I52" si="11">I48+0.01</f>
        <v>0.03</v>
      </c>
      <c r="J49" s="1">
        <v>0</v>
      </c>
      <c r="K49" s="1">
        <v>0</v>
      </c>
    </row>
    <row r="50" spans="1:11">
      <c r="A50">
        <v>7</v>
      </c>
      <c r="B50" s="86">
        <f>ROUND(H29*基本公式!$B$164,0)</f>
        <v>6654</v>
      </c>
      <c r="C50" s="85">
        <f>其他表格!G34*基本公式!$B$4*基本公式!$B$122</f>
        <v>6.13768221715641</v>
      </c>
      <c r="D50" s="86">
        <f t="shared" si="8"/>
        <v>9319</v>
      </c>
      <c r="E50" s="85">
        <f t="shared" si="9"/>
        <v>2.5885007611485724</v>
      </c>
      <c r="F50" s="85">
        <f t="shared" si="10"/>
        <v>0.10785419838119052</v>
      </c>
      <c r="G50" s="1">
        <v>7</v>
      </c>
      <c r="H50" s="1">
        <v>0.2</v>
      </c>
      <c r="I50" s="1">
        <f t="shared" si="11"/>
        <v>0.04</v>
      </c>
      <c r="J50" s="1">
        <v>0</v>
      </c>
      <c r="K50" s="1">
        <v>0</v>
      </c>
    </row>
    <row r="51" spans="1:11">
      <c r="A51">
        <v>8</v>
      </c>
      <c r="B51" s="86">
        <f>ROUND(H30*基本公式!$B$164,0)</f>
        <v>11963</v>
      </c>
      <c r="C51" s="85">
        <f>其他表格!G35*基本公式!$B$4*基本公式!$B$122</f>
        <v>12.078733882733442</v>
      </c>
      <c r="D51" s="86">
        <f t="shared" si="8"/>
        <v>21388</v>
      </c>
      <c r="E51" s="85">
        <f t="shared" si="9"/>
        <v>5.9410516655770316</v>
      </c>
      <c r="F51" s="85">
        <f t="shared" si="10"/>
        <v>0.24754381939904299</v>
      </c>
      <c r="G51" s="1">
        <v>8</v>
      </c>
      <c r="H51" s="1">
        <v>0.15</v>
      </c>
      <c r="I51" s="1">
        <f t="shared" si="11"/>
        <v>0.05</v>
      </c>
      <c r="J51" s="1">
        <v>0</v>
      </c>
      <c r="K51" s="1">
        <v>0</v>
      </c>
    </row>
    <row r="52" spans="1:11">
      <c r="A52">
        <v>9</v>
      </c>
      <c r="B52" s="86">
        <f>ROUND(H31*基本公式!$B$164,0)</f>
        <v>17259</v>
      </c>
      <c r="C52" s="85">
        <f>其他表格!G36*基本公式!$B$4*基本公式!$B$122</f>
        <v>20.697952797829643</v>
      </c>
      <c r="D52" s="86">
        <f t="shared" si="8"/>
        <v>31029</v>
      </c>
      <c r="E52" s="85">
        <f t="shared" si="9"/>
        <v>8.6192189150962015</v>
      </c>
      <c r="F52" s="85">
        <f t="shared" si="10"/>
        <v>0.35913412146234175</v>
      </c>
      <c r="G52" s="1">
        <v>9</v>
      </c>
      <c r="H52" s="1">
        <v>0.1</v>
      </c>
      <c r="I52" s="1">
        <f t="shared" si="11"/>
        <v>6.0000000000000005E-2</v>
      </c>
      <c r="J52" s="1">
        <v>0.01</v>
      </c>
      <c r="K52" s="1">
        <v>0</v>
      </c>
    </row>
    <row r="53" spans="1:11">
      <c r="A53">
        <v>10</v>
      </c>
      <c r="B53" s="86">
        <f>ROUND(H32*基本公式!$B$164,0)</f>
        <v>26247</v>
      </c>
      <c r="C53" s="85">
        <f>其他表格!G37*基本公式!$B$4*基本公式!$B$122</f>
        <v>34.237215154304671</v>
      </c>
      <c r="D53" s="86">
        <f t="shared" si="8"/>
        <v>48741</v>
      </c>
      <c r="E53" s="85">
        <f t="shared" si="9"/>
        <v>13.539262356475028</v>
      </c>
      <c r="F53" s="85">
        <f t="shared" si="10"/>
        <v>0.5641359315197928</v>
      </c>
      <c r="G53" s="1">
        <v>10</v>
      </c>
      <c r="H53" s="1">
        <v>0.1</v>
      </c>
      <c r="I53" s="1">
        <f>I52+0.02</f>
        <v>0.08</v>
      </c>
      <c r="J53" s="1">
        <f>J52+0.01</f>
        <v>0.02</v>
      </c>
      <c r="K53" s="1">
        <v>0</v>
      </c>
    </row>
    <row r="54" spans="1:11">
      <c r="A54">
        <v>11</v>
      </c>
      <c r="B54" s="86">
        <f>ROUND(H33*基本公式!$B$164,0)</f>
        <v>38196</v>
      </c>
      <c r="C54" s="85">
        <f>其他表格!G38*基本公式!$B$4*基本公式!$B$122</f>
        <v>58.973193567223362</v>
      </c>
      <c r="D54" s="86">
        <f t="shared" si="8"/>
        <v>89050</v>
      </c>
      <c r="E54" s="85">
        <f t="shared" si="9"/>
        <v>24.735978412918691</v>
      </c>
      <c r="F54" s="85">
        <f t="shared" si="10"/>
        <v>1.0306657672049455</v>
      </c>
      <c r="G54" s="1">
        <v>11</v>
      </c>
      <c r="H54" s="1">
        <v>0.1</v>
      </c>
      <c r="I54" s="1">
        <f t="shared" ref="I54:I57" si="12">I53+0.02</f>
        <v>0.1</v>
      </c>
      <c r="J54" s="1">
        <f t="shared" ref="J54:J63" si="13">J53+0.01</f>
        <v>0.03</v>
      </c>
      <c r="K54" s="1">
        <v>0</v>
      </c>
    </row>
    <row r="55" spans="1:11">
      <c r="A55">
        <v>12</v>
      </c>
      <c r="B55" s="86">
        <f>ROUND(H34*基本公式!$B$164,0)</f>
        <v>68618</v>
      </c>
      <c r="C55" s="85">
        <f>其他表格!G39*基本公式!$B$4*基本公式!$B$122</f>
        <v>93.115568790352668</v>
      </c>
      <c r="D55" s="86">
        <f t="shared" si="8"/>
        <v>122913</v>
      </c>
      <c r="E55" s="85">
        <f t="shared" si="9"/>
        <v>34.142375223129307</v>
      </c>
      <c r="F55" s="85">
        <f t="shared" si="10"/>
        <v>1.4225989676303878</v>
      </c>
      <c r="G55" s="1">
        <v>12</v>
      </c>
      <c r="H55" s="1">
        <v>0.1</v>
      </c>
      <c r="I55" s="1">
        <f t="shared" si="12"/>
        <v>0.12000000000000001</v>
      </c>
      <c r="J55" s="1">
        <f t="shared" si="13"/>
        <v>0.04</v>
      </c>
      <c r="K55" s="1">
        <v>0</v>
      </c>
    </row>
    <row r="56" spans="1:11">
      <c r="A56">
        <v>13</v>
      </c>
      <c r="B56" s="86">
        <f>ROUND(H35*基本公式!$B$164,0)</f>
        <v>93888</v>
      </c>
      <c r="C56" s="85">
        <f>其他表格!G40*基本公式!$B$4*基本公式!$B$122</f>
        <v>145.20946400054999</v>
      </c>
      <c r="D56" s="86">
        <f t="shared" si="8"/>
        <v>187538</v>
      </c>
      <c r="E56" s="85">
        <f t="shared" si="9"/>
        <v>52.093895210197317</v>
      </c>
      <c r="F56" s="85">
        <f t="shared" si="10"/>
        <v>2.1705789670915547</v>
      </c>
      <c r="G56" s="1">
        <v>13</v>
      </c>
      <c r="H56" s="1">
        <v>0.1</v>
      </c>
      <c r="I56" s="1">
        <f t="shared" si="12"/>
        <v>0.14000000000000001</v>
      </c>
      <c r="J56" s="1">
        <f t="shared" si="13"/>
        <v>0.05</v>
      </c>
      <c r="K56" s="1">
        <v>0.01</v>
      </c>
    </row>
    <row r="57" spans="1:11">
      <c r="A57">
        <v>14</v>
      </c>
      <c r="B57" s="86">
        <f>ROUND(H36*基本公式!$B$164,0)</f>
        <v>115959</v>
      </c>
      <c r="C57" s="85">
        <f>其他表格!G41*基本公式!$B$4*基本公式!$B$122</f>
        <v>213.99289431659997</v>
      </c>
      <c r="D57" s="86">
        <f t="shared" si="8"/>
        <v>247620</v>
      </c>
      <c r="E57" s="85">
        <f t="shared" si="9"/>
        <v>68.783430316049987</v>
      </c>
      <c r="F57" s="85">
        <f t="shared" si="10"/>
        <v>2.8659762631687493</v>
      </c>
      <c r="G57" s="1">
        <v>14</v>
      </c>
      <c r="H57" s="1">
        <v>0.1</v>
      </c>
      <c r="I57" s="1">
        <f t="shared" si="12"/>
        <v>0.16</v>
      </c>
      <c r="J57" s="1">
        <f t="shared" si="13"/>
        <v>6.0000000000000005E-2</v>
      </c>
      <c r="K57" s="1">
        <f>K56+0.002</f>
        <v>1.2E-2</v>
      </c>
    </row>
    <row r="58" spans="1:11">
      <c r="A58">
        <v>15</v>
      </c>
      <c r="B58" s="86">
        <f>ROUND(H37*基本公式!$B$164,0)</f>
        <v>140784</v>
      </c>
      <c r="C58" s="85">
        <f>其他表格!G42*基本公式!$B$4*基本公式!$B$122</f>
        <v>301.68171191249996</v>
      </c>
      <c r="D58" s="86">
        <f t="shared" si="8"/>
        <v>315680</v>
      </c>
      <c r="E58" s="85">
        <f t="shared" si="9"/>
        <v>87.688817595899991</v>
      </c>
      <c r="F58" s="85">
        <f t="shared" si="10"/>
        <v>3.6537007331624998</v>
      </c>
      <c r="G58" s="1">
        <v>15</v>
      </c>
      <c r="H58" s="1">
        <v>0.1</v>
      </c>
      <c r="I58" s="1">
        <f>I57+0.03</f>
        <v>0.19</v>
      </c>
      <c r="J58" s="1">
        <f t="shared" si="13"/>
        <v>7.0000000000000007E-2</v>
      </c>
      <c r="K58" s="1">
        <f t="shared" ref="K58:K63" si="14">K57+0.002</f>
        <v>1.4E-2</v>
      </c>
    </row>
    <row r="59" spans="1:11">
      <c r="A59">
        <v>16</v>
      </c>
      <c r="B59" s="86">
        <f>ROUND(H38*基本公式!$B$164,0)</f>
        <v>164994</v>
      </c>
      <c r="C59" s="85">
        <f>其他表格!G43*基本公式!$B$4*基本公式!$B$122</f>
        <v>410.71054112999997</v>
      </c>
      <c r="D59" s="86">
        <f t="shared" si="8"/>
        <v>392504</v>
      </c>
      <c r="E59" s="85">
        <f t="shared" si="9"/>
        <v>109.0288292175</v>
      </c>
      <c r="F59" s="85">
        <f t="shared" si="10"/>
        <v>4.5428678840624999</v>
      </c>
      <c r="G59" s="1">
        <v>16</v>
      </c>
      <c r="H59" s="1">
        <v>0.1</v>
      </c>
      <c r="I59" s="1">
        <f t="shared" ref="I59:I63" si="15">I58+0.03</f>
        <v>0.22</v>
      </c>
      <c r="J59" s="1">
        <f t="shared" si="13"/>
        <v>0.08</v>
      </c>
      <c r="K59" s="1">
        <f t="shared" si="14"/>
        <v>1.6E-2</v>
      </c>
    </row>
    <row r="60" spans="1:11">
      <c r="A60">
        <v>17</v>
      </c>
      <c r="B60" s="86">
        <f>ROUND(H39*基本公式!$B$164,0)</f>
        <v>190978</v>
      </c>
      <c r="C60" s="85">
        <f>其他表格!G44*基本公式!$B$4*基本公式!$B$122</f>
        <v>543.7513404</v>
      </c>
      <c r="D60" s="86">
        <f t="shared" si="8"/>
        <v>478947</v>
      </c>
      <c r="E60" s="85">
        <f t="shared" si="9"/>
        <v>133.04079927000004</v>
      </c>
      <c r="F60" s="85">
        <f t="shared" si="10"/>
        <v>5.5433666362500018</v>
      </c>
      <c r="G60" s="1">
        <v>17</v>
      </c>
      <c r="H60" s="1">
        <v>0.1</v>
      </c>
      <c r="I60" s="1">
        <f t="shared" si="15"/>
        <v>0.25</v>
      </c>
      <c r="J60" s="1">
        <f t="shared" si="13"/>
        <v>0.09</v>
      </c>
      <c r="K60" s="1">
        <f t="shared" si="14"/>
        <v>1.8000000000000002E-2</v>
      </c>
    </row>
    <row r="61" spans="1:11">
      <c r="A61">
        <v>18</v>
      </c>
      <c r="B61" s="86">
        <f>ROUND(H40*基本公式!$B$164,0)</f>
        <v>219422</v>
      </c>
      <c r="C61" s="85">
        <f>其他表格!G45*基本公式!$B$4*基本公式!$B$122</f>
        <v>703.73339999999985</v>
      </c>
      <c r="D61" s="86">
        <f t="shared" si="8"/>
        <v>575935</v>
      </c>
      <c r="E61" s="85">
        <f t="shared" si="9"/>
        <v>159.98205959999984</v>
      </c>
      <c r="F61" s="85">
        <f t="shared" si="10"/>
        <v>6.6659191499999935</v>
      </c>
      <c r="G61" s="1">
        <v>18</v>
      </c>
      <c r="H61" s="1">
        <v>0.1</v>
      </c>
      <c r="I61" s="1">
        <f t="shared" si="15"/>
        <v>0.28000000000000003</v>
      </c>
      <c r="J61" s="1">
        <f t="shared" si="13"/>
        <v>9.9999999999999992E-2</v>
      </c>
      <c r="K61" s="1">
        <f t="shared" si="14"/>
        <v>2.0000000000000004E-2</v>
      </c>
    </row>
    <row r="62" spans="1:11">
      <c r="A62">
        <v>19</v>
      </c>
      <c r="B62" s="86">
        <f>ROUND(H41*基本公式!$B$164,0)</f>
        <v>249456</v>
      </c>
      <c r="C62" s="85">
        <f>其他表格!G46*基本公式!$B$4*基本公式!$B$122</f>
        <v>893.86487999999974</v>
      </c>
      <c r="D62" s="86">
        <f t="shared" si="8"/>
        <v>684473</v>
      </c>
      <c r="E62" s="85">
        <f t="shared" si="9"/>
        <v>190.1314799999999</v>
      </c>
      <c r="F62" s="85">
        <f t="shared" si="10"/>
        <v>7.922144999999996</v>
      </c>
      <c r="G62" s="1">
        <v>19</v>
      </c>
      <c r="H62" s="1">
        <v>0.1</v>
      </c>
      <c r="I62" s="1">
        <f t="shared" si="15"/>
        <v>0.31000000000000005</v>
      </c>
      <c r="J62" s="1">
        <f t="shared" si="13"/>
        <v>0.10999999999999999</v>
      </c>
      <c r="K62" s="1">
        <f t="shared" si="14"/>
        <v>2.2000000000000006E-2</v>
      </c>
    </row>
    <row r="63" spans="1:11">
      <c r="A63">
        <v>20</v>
      </c>
      <c r="B63" s="86">
        <f>ROUND(H42*基本公式!$B$164,0)</f>
        <v>293475</v>
      </c>
      <c r="C63" s="85">
        <f>其他表格!G47*基本公式!$B$4*基本公式!$B$122</f>
        <v>1117.6559999999999</v>
      </c>
      <c r="D63" s="86">
        <f t="shared" si="8"/>
        <v>805648</v>
      </c>
      <c r="E63" s="85">
        <f t="shared" si="9"/>
        <v>223.79112000000021</v>
      </c>
      <c r="F63" s="85">
        <f>E63/24</f>
        <v>9.324630000000008</v>
      </c>
      <c r="G63" s="1">
        <v>20</v>
      </c>
      <c r="H63" s="1">
        <v>0.1</v>
      </c>
      <c r="I63" s="1">
        <f t="shared" si="15"/>
        <v>0.34000000000000008</v>
      </c>
      <c r="J63" s="1">
        <f t="shared" si="13"/>
        <v>0.11999999999999998</v>
      </c>
      <c r="K63" s="1">
        <f t="shared" si="14"/>
        <v>2.4000000000000007E-2</v>
      </c>
    </row>
    <row r="64" spans="1:11" s="48" customFormat="1" ht="27">
      <c r="A64" s="48" t="s">
        <v>444</v>
      </c>
      <c r="B64" s="49" t="s">
        <v>485</v>
      </c>
      <c r="C64" s="84" t="s">
        <v>463</v>
      </c>
      <c r="D64" s="49" t="s">
        <v>445</v>
      </c>
      <c r="E64" s="84" t="s">
        <v>464</v>
      </c>
      <c r="F64" s="84" t="s">
        <v>468</v>
      </c>
      <c r="G64" s="48" t="s">
        <v>287</v>
      </c>
    </row>
    <row r="65" spans="1:7">
      <c r="A65">
        <v>1</v>
      </c>
      <c r="B65" s="86">
        <f>ROUND(H23*基本公式!$B$165,0)</f>
        <v>192</v>
      </c>
      <c r="C65" s="85">
        <f>其他表格!G28*基本公式!$B$4*基本公式!$B$123</f>
        <v>1.1745033162957538E-2</v>
      </c>
      <c r="D65" s="86">
        <f>ROUND(E65*3600,0)</f>
        <v>42</v>
      </c>
      <c r="E65" s="85">
        <f>C65</f>
        <v>1.1745033162957538E-2</v>
      </c>
      <c r="F65" s="85">
        <f>E65/24</f>
        <v>4.8937638178989747E-4</v>
      </c>
      <c r="G65" s="1">
        <v>1</v>
      </c>
    </row>
    <row r="66" spans="1:7">
      <c r="A66">
        <v>2</v>
      </c>
      <c r="B66" s="86">
        <f>ROUND(H24*基本公式!$B$165,0)</f>
        <v>372</v>
      </c>
      <c r="C66" s="85">
        <f>其他表格!G29*基本公式!$B$4*基本公式!$B$123</f>
        <v>0.10324394565366014</v>
      </c>
      <c r="D66" s="86">
        <f t="shared" ref="D66:D84" si="16">ROUND(E66*3600,0)</f>
        <v>329</v>
      </c>
      <c r="E66" s="85">
        <f t="shared" ref="E66:E84" si="17">C66-C65</f>
        <v>9.1498912490702605E-2</v>
      </c>
      <c r="F66" s="85">
        <f t="shared" ref="F66:F83" si="18">E66/24</f>
        <v>3.8124546871126084E-3</v>
      </c>
      <c r="G66" s="1">
        <v>2</v>
      </c>
    </row>
    <row r="67" spans="1:7">
      <c r="A67">
        <v>3</v>
      </c>
      <c r="B67" s="86">
        <f>ROUND(H25*基本公式!$B$165,0)</f>
        <v>552</v>
      </c>
      <c r="C67" s="85">
        <f>其他表格!G30*基本公式!$B$4*基本公式!$B$123</f>
        <v>0.43471135012067436</v>
      </c>
      <c r="D67" s="86">
        <f t="shared" si="16"/>
        <v>1193</v>
      </c>
      <c r="E67" s="85">
        <f t="shared" si="17"/>
        <v>0.33146740446701423</v>
      </c>
      <c r="F67" s="85">
        <f t="shared" si="18"/>
        <v>1.3811141852792259E-2</v>
      </c>
      <c r="G67" s="1">
        <v>3</v>
      </c>
    </row>
    <row r="68" spans="1:7">
      <c r="A68">
        <v>4</v>
      </c>
      <c r="B68" s="86">
        <f>ROUND(H26*基本公式!$B$165,0)</f>
        <v>912</v>
      </c>
      <c r="C68" s="85">
        <f>其他表格!G31*基本公式!$B$4*基本公式!$B$123</f>
        <v>1.0295795134437022</v>
      </c>
      <c r="D68" s="86">
        <f t="shared" si="16"/>
        <v>2142</v>
      </c>
      <c r="E68" s="85">
        <f t="shared" si="17"/>
        <v>0.59486816332302794</v>
      </c>
      <c r="F68" s="85">
        <f t="shared" si="18"/>
        <v>2.4786173471792832E-2</v>
      </c>
      <c r="G68" s="1">
        <v>4</v>
      </c>
    </row>
    <row r="69" spans="1:7">
      <c r="A69">
        <v>5</v>
      </c>
      <c r="B69" s="86">
        <f>ROUND(H27*基本公式!$B$165,0)</f>
        <v>1516</v>
      </c>
      <c r="C69" s="85">
        <f>其他表格!G32*基本公式!$B$4*基本公式!$B$123</f>
        <v>2.0471171612330923</v>
      </c>
      <c r="D69" s="86">
        <f t="shared" si="16"/>
        <v>3663</v>
      </c>
      <c r="E69" s="85">
        <f t="shared" si="17"/>
        <v>1.01753764778939</v>
      </c>
      <c r="F69" s="85">
        <f t="shared" si="18"/>
        <v>4.2397401991224583E-2</v>
      </c>
      <c r="G69" s="1">
        <v>5</v>
      </c>
    </row>
    <row r="70" spans="1:7">
      <c r="A70">
        <v>6</v>
      </c>
      <c r="B70" s="86">
        <f>ROUND(H28*基本公式!$B$165,0)</f>
        <v>3860</v>
      </c>
      <c r="C70" s="85">
        <f>其他表格!G33*基本公式!$B$4*基本公式!$B$123</f>
        <v>3.5491814560078376</v>
      </c>
      <c r="D70" s="86">
        <f t="shared" si="16"/>
        <v>5407</v>
      </c>
      <c r="E70" s="85">
        <f t="shared" si="17"/>
        <v>1.5020642947747453</v>
      </c>
      <c r="F70" s="85">
        <f t="shared" si="18"/>
        <v>6.2586012282281056E-2</v>
      </c>
      <c r="G70" s="1">
        <v>6</v>
      </c>
    </row>
    <row r="71" spans="1:7">
      <c r="A71">
        <v>7</v>
      </c>
      <c r="B71" s="86">
        <f>ROUND(H29*基本公式!$B$165,0)</f>
        <v>7604</v>
      </c>
      <c r="C71" s="85">
        <f>其他表格!G34*基本公式!$B$4*基本公式!$B$123</f>
        <v>6.13768221715641</v>
      </c>
      <c r="D71" s="86">
        <f t="shared" si="16"/>
        <v>9319</v>
      </c>
      <c r="E71" s="85">
        <f t="shared" si="17"/>
        <v>2.5885007611485724</v>
      </c>
      <c r="F71" s="85">
        <f t="shared" si="18"/>
        <v>0.10785419838119052</v>
      </c>
      <c r="G71" s="1">
        <v>7</v>
      </c>
    </row>
    <row r="72" spans="1:7">
      <c r="A72">
        <v>8</v>
      </c>
      <c r="B72" s="86">
        <f>ROUND(H30*基本公式!$B$165,0)</f>
        <v>13672</v>
      </c>
      <c r="C72" s="85">
        <f>其他表格!G35*基本公式!$B$4*基本公式!$B$123</f>
        <v>12.078733882733442</v>
      </c>
      <c r="D72" s="86">
        <f t="shared" si="16"/>
        <v>21388</v>
      </c>
      <c r="E72" s="85">
        <f t="shared" si="17"/>
        <v>5.9410516655770316</v>
      </c>
      <c r="F72" s="85">
        <f t="shared" si="18"/>
        <v>0.24754381939904299</v>
      </c>
      <c r="G72" s="1">
        <v>8</v>
      </c>
    </row>
    <row r="73" spans="1:7">
      <c r="A73">
        <v>9</v>
      </c>
      <c r="B73" s="86">
        <f>ROUND(H31*基本公式!$B$165,0)</f>
        <v>19724</v>
      </c>
      <c r="C73" s="85">
        <f>其他表格!G36*基本公式!$B$4*基本公式!$B$123</f>
        <v>20.697952797829643</v>
      </c>
      <c r="D73" s="86">
        <f t="shared" si="16"/>
        <v>31029</v>
      </c>
      <c r="E73" s="85">
        <f t="shared" si="17"/>
        <v>8.6192189150962015</v>
      </c>
      <c r="F73" s="85">
        <f t="shared" si="18"/>
        <v>0.35913412146234175</v>
      </c>
      <c r="G73" s="1">
        <v>9</v>
      </c>
    </row>
    <row r="74" spans="1:7">
      <c r="A74">
        <v>10</v>
      </c>
      <c r="B74" s="86">
        <f>ROUND(H32*基本公式!$B$165,0)</f>
        <v>29996</v>
      </c>
      <c r="C74" s="85">
        <f>其他表格!G37*基本公式!$B$4*基本公式!$B$123</f>
        <v>34.237215154304671</v>
      </c>
      <c r="D74" s="86">
        <f t="shared" si="16"/>
        <v>48741</v>
      </c>
      <c r="E74" s="85">
        <f t="shared" si="17"/>
        <v>13.539262356475028</v>
      </c>
      <c r="F74" s="85">
        <f t="shared" si="18"/>
        <v>0.5641359315197928</v>
      </c>
      <c r="G74" s="1">
        <v>10</v>
      </c>
    </row>
    <row r="75" spans="1:7">
      <c r="A75">
        <v>11</v>
      </c>
      <c r="B75" s="86">
        <f>ROUND(H33*基本公式!$B$165,0)</f>
        <v>43652</v>
      </c>
      <c r="C75" s="85">
        <f>其他表格!G38*基本公式!$B$4*基本公式!$B$123</f>
        <v>58.973193567223362</v>
      </c>
      <c r="D75" s="86">
        <f t="shared" si="16"/>
        <v>89050</v>
      </c>
      <c r="E75" s="85">
        <f t="shared" si="17"/>
        <v>24.735978412918691</v>
      </c>
      <c r="F75" s="85">
        <f t="shared" si="18"/>
        <v>1.0306657672049455</v>
      </c>
      <c r="G75" s="1">
        <v>11</v>
      </c>
    </row>
    <row r="76" spans="1:7">
      <c r="A76">
        <v>12</v>
      </c>
      <c r="B76" s="86">
        <f>ROUND(H34*基本公式!$B$165,0)</f>
        <v>78420</v>
      </c>
      <c r="C76" s="85">
        <f>其他表格!G39*基本公式!$B$4*基本公式!$B$123</f>
        <v>93.115568790352668</v>
      </c>
      <c r="D76" s="86">
        <f t="shared" si="16"/>
        <v>122913</v>
      </c>
      <c r="E76" s="85">
        <f t="shared" si="17"/>
        <v>34.142375223129307</v>
      </c>
      <c r="F76" s="85">
        <f t="shared" si="18"/>
        <v>1.4225989676303878</v>
      </c>
      <c r="G76" s="1">
        <v>12</v>
      </c>
    </row>
    <row r="77" spans="1:7">
      <c r="A77">
        <v>13</v>
      </c>
      <c r="B77" s="86">
        <f>ROUND(H35*基本公式!$B$165,0)</f>
        <v>107300</v>
      </c>
      <c r="C77" s="85">
        <f>其他表格!G40*基本公式!$B$4*基本公式!$B$123</f>
        <v>145.20946400054999</v>
      </c>
      <c r="D77" s="86">
        <f t="shared" si="16"/>
        <v>187538</v>
      </c>
      <c r="E77" s="85">
        <f t="shared" si="17"/>
        <v>52.093895210197317</v>
      </c>
      <c r="F77" s="85">
        <f t="shared" si="18"/>
        <v>2.1705789670915547</v>
      </c>
      <c r="G77" s="1">
        <v>13</v>
      </c>
    </row>
    <row r="78" spans="1:7">
      <c r="A78">
        <v>14</v>
      </c>
      <c r="B78" s="86">
        <f>ROUND(H36*基本公式!$B$165,0)</f>
        <v>132524</v>
      </c>
      <c r="C78" s="85">
        <f>其他表格!G41*基本公式!$B$4*基本公式!$B$123</f>
        <v>213.99289431659997</v>
      </c>
      <c r="D78" s="86">
        <f t="shared" si="16"/>
        <v>247620</v>
      </c>
      <c r="E78" s="85">
        <f t="shared" si="17"/>
        <v>68.783430316049987</v>
      </c>
      <c r="F78" s="85">
        <f t="shared" si="18"/>
        <v>2.8659762631687493</v>
      </c>
      <c r="G78" s="1">
        <v>14</v>
      </c>
    </row>
    <row r="79" spans="1:7">
      <c r="A79">
        <v>15</v>
      </c>
      <c r="B79" s="86">
        <f>ROUND(H37*基本公式!$B$165,0)</f>
        <v>160896</v>
      </c>
      <c r="C79" s="85">
        <f>其他表格!G42*基本公式!$B$4*基本公式!$B$123</f>
        <v>301.68171191249996</v>
      </c>
      <c r="D79" s="86">
        <f t="shared" si="16"/>
        <v>315680</v>
      </c>
      <c r="E79" s="85">
        <f t="shared" si="17"/>
        <v>87.688817595899991</v>
      </c>
      <c r="F79" s="85">
        <f t="shared" si="18"/>
        <v>3.6537007331624998</v>
      </c>
      <c r="G79" s="1">
        <v>15</v>
      </c>
    </row>
    <row r="80" spans="1:7">
      <c r="A80">
        <v>16</v>
      </c>
      <c r="B80" s="86">
        <f>ROUND(H38*基本公式!$B$165,0)</f>
        <v>188564</v>
      </c>
      <c r="C80" s="85">
        <f>其他表格!G43*基本公式!$B$4*基本公式!$B$123</f>
        <v>410.71054112999997</v>
      </c>
      <c r="D80" s="86">
        <f t="shared" si="16"/>
        <v>392504</v>
      </c>
      <c r="E80" s="85">
        <f t="shared" si="17"/>
        <v>109.0288292175</v>
      </c>
      <c r="F80" s="85">
        <f t="shared" si="18"/>
        <v>4.5428678840624999</v>
      </c>
      <c r="G80" s="1">
        <v>16</v>
      </c>
    </row>
    <row r="81" spans="1:7">
      <c r="A81">
        <v>17</v>
      </c>
      <c r="B81" s="86">
        <f>ROUND(H39*基本公式!$B$165,0)</f>
        <v>218260</v>
      </c>
      <c r="C81" s="85">
        <f>其他表格!G44*基本公式!$B$4*基本公式!$B$123</f>
        <v>543.7513404</v>
      </c>
      <c r="D81" s="86">
        <f t="shared" si="16"/>
        <v>478947</v>
      </c>
      <c r="E81" s="85">
        <f t="shared" si="17"/>
        <v>133.04079927000004</v>
      </c>
      <c r="F81" s="85">
        <f t="shared" si="18"/>
        <v>5.5433666362500018</v>
      </c>
      <c r="G81" s="1">
        <v>17</v>
      </c>
    </row>
    <row r="82" spans="1:7">
      <c r="A82">
        <v>18</v>
      </c>
      <c r="B82" s="86">
        <f>ROUND(H40*基本公式!$B$165,0)</f>
        <v>250768</v>
      </c>
      <c r="C82" s="85">
        <f>其他表格!G45*基本公式!$B$4*基本公式!$B$123</f>
        <v>703.73339999999985</v>
      </c>
      <c r="D82" s="86">
        <f t="shared" si="16"/>
        <v>575935</v>
      </c>
      <c r="E82" s="85">
        <f t="shared" si="17"/>
        <v>159.98205959999984</v>
      </c>
      <c r="F82" s="85">
        <f t="shared" si="18"/>
        <v>6.6659191499999935</v>
      </c>
      <c r="G82" s="1">
        <v>18</v>
      </c>
    </row>
    <row r="83" spans="1:7">
      <c r="A83">
        <v>19</v>
      </c>
      <c r="B83" s="86">
        <f>ROUND(H41*基本公式!$B$165,0)</f>
        <v>285092</v>
      </c>
      <c r="C83" s="85">
        <f>其他表格!G46*基本公式!$B$4*基本公式!$B$123</f>
        <v>893.86487999999974</v>
      </c>
      <c r="D83" s="86">
        <f t="shared" si="16"/>
        <v>684473</v>
      </c>
      <c r="E83" s="85">
        <f t="shared" si="17"/>
        <v>190.1314799999999</v>
      </c>
      <c r="F83" s="85">
        <f t="shared" si="18"/>
        <v>7.922144999999996</v>
      </c>
      <c r="G83" s="1">
        <v>19</v>
      </c>
    </row>
    <row r="84" spans="1:7">
      <c r="A84">
        <v>20</v>
      </c>
      <c r="B84" s="86">
        <f>ROUND(H42*基本公式!$B$165,0)</f>
        <v>335400</v>
      </c>
      <c r="C84" s="85">
        <f>其他表格!G47*基本公式!$B$4*基本公式!$B$123</f>
        <v>1117.6559999999999</v>
      </c>
      <c r="D84" s="86">
        <f t="shared" si="16"/>
        <v>805648</v>
      </c>
      <c r="E84" s="85">
        <f t="shared" si="17"/>
        <v>223.79112000000021</v>
      </c>
      <c r="F84" s="85">
        <f>E84/24</f>
        <v>9.324630000000008</v>
      </c>
      <c r="G84" s="1">
        <v>20</v>
      </c>
    </row>
    <row r="85" spans="1:7" s="48" customFormat="1" ht="27">
      <c r="A85" s="48" t="s">
        <v>482</v>
      </c>
      <c r="B85" s="49" t="s">
        <v>485</v>
      </c>
      <c r="C85" s="84" t="s">
        <v>463</v>
      </c>
      <c r="D85" s="49" t="s">
        <v>445</v>
      </c>
      <c r="E85" s="84" t="s">
        <v>464</v>
      </c>
      <c r="F85" s="84" t="s">
        <v>468</v>
      </c>
      <c r="G85" s="48" t="s">
        <v>289</v>
      </c>
    </row>
    <row r="86" spans="1:7">
      <c r="A86">
        <v>1</v>
      </c>
      <c r="B86" s="86">
        <f>ROUND(H23*基本公式!$B$176,0)</f>
        <v>96</v>
      </c>
      <c r="C86" s="85">
        <f>其他表格!G28*基本公式!$B$4*基本公式!$B$134</f>
        <v>7.8300221086383594E-3</v>
      </c>
      <c r="D86" s="86">
        <f>ROUND(E86*3600,0)</f>
        <v>28</v>
      </c>
      <c r="E86" s="85">
        <f>C86</f>
        <v>7.8300221086383594E-3</v>
      </c>
      <c r="F86" s="85">
        <f>E86/24</f>
        <v>3.2625092119326499E-4</v>
      </c>
      <c r="G86" s="1">
        <v>1</v>
      </c>
    </row>
    <row r="87" spans="1:7">
      <c r="A87">
        <v>2</v>
      </c>
      <c r="B87" s="86">
        <f>ROUND(H24*基本公式!$B$176,0)</f>
        <v>186</v>
      </c>
      <c r="C87" s="85">
        <f>其他表格!G29*基本公式!$B$4*基本公式!$B$134</f>
        <v>6.882929710244011E-2</v>
      </c>
      <c r="D87" s="86">
        <f t="shared" ref="D87:D105" si="19">ROUND(E87*3600,0)</f>
        <v>220</v>
      </c>
      <c r="E87" s="85">
        <f t="shared" ref="E87:E105" si="20">C87-C86</f>
        <v>6.0999274993801748E-2</v>
      </c>
      <c r="F87" s="85">
        <f t="shared" ref="F87:F104" si="21">E87/24</f>
        <v>2.541636458075073E-3</v>
      </c>
      <c r="G87" s="1">
        <v>1</v>
      </c>
    </row>
    <row r="88" spans="1:7">
      <c r="A88">
        <v>3</v>
      </c>
      <c r="B88" s="86">
        <f>ROUND(H25*基本公式!$B$176,0)</f>
        <v>276</v>
      </c>
      <c r="C88" s="85">
        <f>其他表格!G30*基本公式!$B$4*基本公式!$B$134</f>
        <v>0.28980756674711627</v>
      </c>
      <c r="D88" s="86">
        <f t="shared" si="19"/>
        <v>796</v>
      </c>
      <c r="E88" s="85">
        <f t="shared" si="20"/>
        <v>0.22097826964467615</v>
      </c>
      <c r="F88" s="85">
        <f t="shared" si="21"/>
        <v>9.2074279018615063E-3</v>
      </c>
      <c r="G88" s="1">
        <v>1</v>
      </c>
    </row>
    <row r="89" spans="1:7">
      <c r="A89">
        <v>4</v>
      </c>
      <c r="B89" s="86">
        <f>ROUND(H26*基本公式!$B$176,0)</f>
        <v>456</v>
      </c>
      <c r="C89" s="85">
        <f>其他表格!G31*基本公式!$B$4*基本公式!$B$134</f>
        <v>0.68638634229580153</v>
      </c>
      <c r="D89" s="86">
        <f t="shared" si="19"/>
        <v>1428</v>
      </c>
      <c r="E89" s="85">
        <f t="shared" si="20"/>
        <v>0.39657877554868526</v>
      </c>
      <c r="F89" s="85">
        <f t="shared" si="21"/>
        <v>1.6524115647861885E-2</v>
      </c>
      <c r="G89" s="1">
        <v>1</v>
      </c>
    </row>
    <row r="90" spans="1:7">
      <c r="A90">
        <v>5</v>
      </c>
      <c r="B90" s="86">
        <f>ROUND(H27*基本公式!$B$176,0)</f>
        <v>758</v>
      </c>
      <c r="C90" s="85">
        <f>其他表格!G32*基本公式!$B$4*基本公式!$B$134</f>
        <v>1.3647447741553951</v>
      </c>
      <c r="D90" s="86">
        <f t="shared" si="19"/>
        <v>2442</v>
      </c>
      <c r="E90" s="85">
        <f t="shared" si="20"/>
        <v>0.67835843185959355</v>
      </c>
      <c r="F90" s="85">
        <f t="shared" si="21"/>
        <v>2.8264934660816397E-2</v>
      </c>
      <c r="G90" s="1">
        <v>1</v>
      </c>
    </row>
    <row r="91" spans="1:7">
      <c r="A91">
        <v>6</v>
      </c>
      <c r="B91" s="86">
        <f>ROUND(H28*基本公式!$B$176,0)</f>
        <v>1930</v>
      </c>
      <c r="C91" s="85">
        <f>其他表格!G33*基本公式!$B$4*基本公式!$B$134</f>
        <v>2.3661209706718918</v>
      </c>
      <c r="D91" s="86">
        <f t="shared" si="19"/>
        <v>3605</v>
      </c>
      <c r="E91" s="85">
        <f t="shared" si="20"/>
        <v>1.0013761965164967</v>
      </c>
      <c r="F91" s="85">
        <f t="shared" si="21"/>
        <v>4.1724008188187361E-2</v>
      </c>
      <c r="G91" s="1">
        <v>1</v>
      </c>
    </row>
    <row r="92" spans="1:7">
      <c r="A92">
        <v>7</v>
      </c>
      <c r="B92" s="86">
        <f>ROUND(H29*基本公式!$B$176,0)</f>
        <v>3802</v>
      </c>
      <c r="C92" s="85">
        <f>其他表格!G34*基本公式!$B$4*基本公式!$B$134</f>
        <v>4.0917881447709403</v>
      </c>
      <c r="D92" s="86">
        <f t="shared" si="19"/>
        <v>6212</v>
      </c>
      <c r="E92" s="85">
        <f t="shared" si="20"/>
        <v>1.7256671740990486</v>
      </c>
      <c r="F92" s="85">
        <f t="shared" si="21"/>
        <v>7.1902798920793695E-2</v>
      </c>
      <c r="G92" s="1">
        <v>2</v>
      </c>
    </row>
    <row r="93" spans="1:7">
      <c r="A93">
        <v>8</v>
      </c>
      <c r="B93" s="86">
        <f>ROUND(H30*基本公式!$B$176,0)</f>
        <v>6836</v>
      </c>
      <c r="C93" s="85">
        <f>其他表格!G35*基本公式!$B$4*基本公式!$B$134</f>
        <v>8.0524892551556277</v>
      </c>
      <c r="D93" s="86">
        <f t="shared" si="19"/>
        <v>14259</v>
      </c>
      <c r="E93" s="85">
        <f t="shared" si="20"/>
        <v>3.9607011103846874</v>
      </c>
      <c r="F93" s="85">
        <f t="shared" si="21"/>
        <v>0.16502921293269532</v>
      </c>
      <c r="G93" s="1">
        <v>2</v>
      </c>
    </row>
    <row r="94" spans="1:7">
      <c r="A94">
        <v>9</v>
      </c>
      <c r="B94" s="86">
        <f>ROUND(H31*基本公式!$B$176,0)</f>
        <v>9862</v>
      </c>
      <c r="C94" s="85">
        <f>其他表格!G36*基本公式!$B$4*基本公式!$B$134</f>
        <v>13.798635198553095</v>
      </c>
      <c r="D94" s="86">
        <f t="shared" si="19"/>
        <v>20686</v>
      </c>
      <c r="E94" s="85">
        <f t="shared" si="20"/>
        <v>5.7461459433974671</v>
      </c>
      <c r="F94" s="85">
        <f t="shared" si="21"/>
        <v>0.23942274764156113</v>
      </c>
      <c r="G94" s="1">
        <v>2</v>
      </c>
    </row>
    <row r="95" spans="1:7">
      <c r="A95">
        <v>10</v>
      </c>
      <c r="B95" s="86">
        <f>ROUND(H32*基本公式!$B$176,0)</f>
        <v>14998</v>
      </c>
      <c r="C95" s="85">
        <f>其他表格!G37*基本公式!$B$4*基本公式!$B$134</f>
        <v>22.824810102869783</v>
      </c>
      <c r="D95" s="86">
        <f t="shared" si="19"/>
        <v>32494</v>
      </c>
      <c r="E95" s="85">
        <f t="shared" si="20"/>
        <v>9.0261749043166883</v>
      </c>
      <c r="F95" s="85">
        <f t="shared" si="21"/>
        <v>0.37609062101319535</v>
      </c>
      <c r="G95" s="1">
        <v>2</v>
      </c>
    </row>
    <row r="96" spans="1:7">
      <c r="A96">
        <v>11</v>
      </c>
      <c r="B96" s="86">
        <f>ROUND(H33*基本公式!$B$176,0)</f>
        <v>21826</v>
      </c>
      <c r="C96" s="85">
        <f>其他表格!G38*基本公式!$B$4*基本公式!$B$134</f>
        <v>39.315462378148908</v>
      </c>
      <c r="D96" s="86">
        <f t="shared" si="19"/>
        <v>59366</v>
      </c>
      <c r="E96" s="85">
        <f t="shared" si="20"/>
        <v>16.490652275279125</v>
      </c>
      <c r="F96" s="85">
        <f t="shared" si="21"/>
        <v>0.68711051146996349</v>
      </c>
      <c r="G96" s="1">
        <v>2</v>
      </c>
    </row>
    <row r="97" spans="1:7">
      <c r="A97">
        <v>12</v>
      </c>
      <c r="B97" s="86">
        <f>ROUND(H34*基本公式!$B$176,0)</f>
        <v>39210</v>
      </c>
      <c r="C97" s="85">
        <f>其他表格!G39*基本公式!$B$4*基本公式!$B$134</f>
        <v>62.07704586023511</v>
      </c>
      <c r="D97" s="86">
        <f t="shared" si="19"/>
        <v>81942</v>
      </c>
      <c r="E97" s="85">
        <f t="shared" si="20"/>
        <v>22.761583482086202</v>
      </c>
      <c r="F97" s="85">
        <f t="shared" si="21"/>
        <v>0.94839931175359171</v>
      </c>
      <c r="G97" s="1">
        <v>3</v>
      </c>
    </row>
    <row r="98" spans="1:7">
      <c r="A98">
        <v>13</v>
      </c>
      <c r="B98" s="86">
        <f>ROUND(H35*基本公式!$B$176,0)</f>
        <v>53650</v>
      </c>
      <c r="C98" s="85">
        <f>其他表格!G40*基本公式!$B$4*基本公式!$B$134</f>
        <v>96.8063093337</v>
      </c>
      <c r="D98" s="86">
        <f t="shared" si="19"/>
        <v>125025</v>
      </c>
      <c r="E98" s="85">
        <f t="shared" si="20"/>
        <v>34.72926347346489</v>
      </c>
      <c r="F98" s="85">
        <f t="shared" si="21"/>
        <v>1.4470526447277037</v>
      </c>
      <c r="G98" s="1">
        <v>3</v>
      </c>
    </row>
    <row r="99" spans="1:7">
      <c r="A99">
        <v>14</v>
      </c>
      <c r="B99" s="86">
        <f>ROUND(H36*基本公式!$B$176,0)</f>
        <v>66262</v>
      </c>
      <c r="C99" s="85">
        <f>其他表格!G41*基本公式!$B$4*基本公式!$B$134</f>
        <v>142.66192954439998</v>
      </c>
      <c r="D99" s="86">
        <f t="shared" si="19"/>
        <v>165080</v>
      </c>
      <c r="E99" s="85">
        <f t="shared" si="20"/>
        <v>45.855620210699982</v>
      </c>
      <c r="F99" s="85">
        <f t="shared" si="21"/>
        <v>1.9106508421124992</v>
      </c>
      <c r="G99" s="1">
        <v>3</v>
      </c>
    </row>
    <row r="100" spans="1:7">
      <c r="A100">
        <v>15</v>
      </c>
      <c r="B100" s="86">
        <f>ROUND(H37*基本公式!$B$176,0)</f>
        <v>80448</v>
      </c>
      <c r="C100" s="85">
        <f>其他表格!G42*基本公式!$B$4*基本公式!$B$134</f>
        <v>201.12114127499999</v>
      </c>
      <c r="D100" s="86">
        <f t="shared" si="19"/>
        <v>210453</v>
      </c>
      <c r="E100" s="85">
        <f t="shared" si="20"/>
        <v>58.459211730600003</v>
      </c>
      <c r="F100" s="85">
        <f t="shared" si="21"/>
        <v>2.435800488775</v>
      </c>
      <c r="G100" s="1">
        <v>3</v>
      </c>
    </row>
    <row r="101" spans="1:7">
      <c r="A101">
        <v>16</v>
      </c>
      <c r="B101" s="86">
        <f>ROUND(H38*基本公式!$B$176,0)</f>
        <v>94282</v>
      </c>
      <c r="C101" s="85">
        <f>其他表格!G43*基本公式!$B$4*基本公式!$B$134</f>
        <v>273.80702742</v>
      </c>
      <c r="D101" s="86">
        <f t="shared" si="19"/>
        <v>261669</v>
      </c>
      <c r="E101" s="85">
        <f t="shared" si="20"/>
        <v>72.685886145000012</v>
      </c>
      <c r="F101" s="85">
        <f t="shared" si="21"/>
        <v>3.0285785893750004</v>
      </c>
      <c r="G101" s="1">
        <v>4</v>
      </c>
    </row>
    <row r="102" spans="1:7">
      <c r="A102">
        <v>17</v>
      </c>
      <c r="B102" s="86">
        <f>ROUND(H39*基本公式!$B$176,0)</f>
        <v>109130</v>
      </c>
      <c r="C102" s="85">
        <f>其他表格!G44*基本公式!$B$4*基本公式!$B$134</f>
        <v>362.50089359999998</v>
      </c>
      <c r="D102" s="86">
        <f t="shared" si="19"/>
        <v>319298</v>
      </c>
      <c r="E102" s="85">
        <f t="shared" si="20"/>
        <v>88.693866179999986</v>
      </c>
      <c r="F102" s="85">
        <f t="shared" si="21"/>
        <v>3.6955777574999993</v>
      </c>
      <c r="G102" s="1">
        <v>4</v>
      </c>
    </row>
    <row r="103" spans="1:7">
      <c r="A103">
        <v>18</v>
      </c>
      <c r="B103" s="86">
        <f>ROUND(H40*基本公式!$B$176,0)</f>
        <v>125384</v>
      </c>
      <c r="C103" s="85">
        <f>其他表格!G45*基本公式!$B$4*基本公式!$B$134</f>
        <v>469.15559999999994</v>
      </c>
      <c r="D103" s="86">
        <f t="shared" si="19"/>
        <v>383957</v>
      </c>
      <c r="E103" s="85">
        <f t="shared" si="20"/>
        <v>106.65470639999995</v>
      </c>
      <c r="F103" s="85">
        <f t="shared" si="21"/>
        <v>4.443946099999998</v>
      </c>
      <c r="G103" s="1">
        <v>4</v>
      </c>
    </row>
    <row r="104" spans="1:7">
      <c r="A104">
        <v>19</v>
      </c>
      <c r="B104" s="86">
        <f>ROUND(H41*基本公式!$B$176,0)</f>
        <v>142546</v>
      </c>
      <c r="C104" s="85">
        <f>其他表格!G46*基本公式!$B$4*基本公式!$B$134</f>
        <v>595.90991999999983</v>
      </c>
      <c r="D104" s="86">
        <f t="shared" si="19"/>
        <v>456316</v>
      </c>
      <c r="E104" s="85">
        <f t="shared" si="20"/>
        <v>126.75431999999989</v>
      </c>
      <c r="F104" s="85">
        <f t="shared" si="21"/>
        <v>5.2814299999999959</v>
      </c>
      <c r="G104" s="1">
        <v>4</v>
      </c>
    </row>
    <row r="105" spans="1:7">
      <c r="A105">
        <v>20</v>
      </c>
      <c r="B105" s="86">
        <f>ROUND(H42*基本公式!$B$176,0)</f>
        <v>167700</v>
      </c>
      <c r="C105" s="85">
        <f>其他表格!G47*基本公式!$B$4*基本公式!$B$134</f>
        <v>745.10399999999993</v>
      </c>
      <c r="D105" s="86">
        <f t="shared" si="19"/>
        <v>537099</v>
      </c>
      <c r="E105" s="85">
        <f t="shared" si="20"/>
        <v>149.1940800000001</v>
      </c>
      <c r="F105" s="85">
        <f>E105/24</f>
        <v>6.2164200000000038</v>
      </c>
      <c r="G105" s="1">
        <v>5</v>
      </c>
    </row>
    <row r="106" spans="1:7" s="48" customFormat="1" ht="27">
      <c r="A106" s="48" t="s">
        <v>185</v>
      </c>
      <c r="B106" s="49" t="s">
        <v>485</v>
      </c>
      <c r="C106" s="84" t="s">
        <v>463</v>
      </c>
      <c r="D106" s="49" t="s">
        <v>445</v>
      </c>
      <c r="E106" s="84" t="s">
        <v>464</v>
      </c>
      <c r="F106" s="84" t="s">
        <v>468</v>
      </c>
    </row>
    <row r="107" spans="1:7">
      <c r="A107">
        <v>1</v>
      </c>
      <c r="B107" s="86">
        <f>ROUND(H23*基本公式!$B$166,0)</f>
        <v>360</v>
      </c>
      <c r="C107" s="85">
        <f>其他表格!G28*基本公式!$B$4*基本公式!$B$124</f>
        <v>1.5660044217276719E-2</v>
      </c>
      <c r="D107" s="86">
        <f>ROUND(E107*3600,0)</f>
        <v>56</v>
      </c>
      <c r="E107" s="85">
        <f>C107</f>
        <v>1.5660044217276719E-2</v>
      </c>
      <c r="F107" s="85">
        <f>E107/24</f>
        <v>6.5250184238652999E-4</v>
      </c>
    </row>
    <row r="108" spans="1:7">
      <c r="A108">
        <v>2</v>
      </c>
      <c r="B108" s="86">
        <f>ROUND(H24*基本公式!$B$166,0)</f>
        <v>698</v>
      </c>
      <c r="C108" s="85">
        <f>其他表格!G29*基本公式!$B$4*基本公式!$B$124</f>
        <v>0.13765859420488022</v>
      </c>
      <c r="D108" s="86">
        <f t="shared" ref="D108:D126" si="22">ROUND(E108*3600,0)</f>
        <v>439</v>
      </c>
      <c r="E108" s="85">
        <f t="shared" ref="E108:E126" si="23">C108-C107</f>
        <v>0.1219985499876035</v>
      </c>
      <c r="F108" s="85">
        <f t="shared" ref="F108:F125" si="24">E108/24</f>
        <v>5.083272916150146E-3</v>
      </c>
    </row>
    <row r="109" spans="1:7">
      <c r="A109">
        <v>3</v>
      </c>
      <c r="B109" s="86">
        <f>ROUND(H25*基本公式!$B$166,0)</f>
        <v>1035</v>
      </c>
      <c r="C109" s="85">
        <f>其他表格!G30*基本公式!$B$4*基本公式!$B$124</f>
        <v>0.57961513349423255</v>
      </c>
      <c r="D109" s="86">
        <f t="shared" si="22"/>
        <v>1591</v>
      </c>
      <c r="E109" s="85">
        <f t="shared" si="23"/>
        <v>0.4419565392893523</v>
      </c>
      <c r="F109" s="85">
        <f t="shared" si="24"/>
        <v>1.8414855803723013E-2</v>
      </c>
    </row>
    <row r="110" spans="1:7">
      <c r="A110">
        <v>4</v>
      </c>
      <c r="B110" s="86">
        <f>ROUND(H26*基本公式!$B$166,0)</f>
        <v>1710</v>
      </c>
      <c r="C110" s="85">
        <f>其他表格!G31*基本公式!$B$4*基本公式!$B$124</f>
        <v>1.3727726845916031</v>
      </c>
      <c r="D110" s="86">
        <f t="shared" si="22"/>
        <v>2855</v>
      </c>
      <c r="E110" s="85">
        <f t="shared" si="23"/>
        <v>0.79315755109737052</v>
      </c>
      <c r="F110" s="85">
        <f t="shared" si="24"/>
        <v>3.3048231295723769E-2</v>
      </c>
    </row>
    <row r="111" spans="1:7">
      <c r="A111">
        <v>5</v>
      </c>
      <c r="B111" s="86">
        <f>ROUND(H27*基本公式!$B$166,0)</f>
        <v>2843</v>
      </c>
      <c r="C111" s="85">
        <f>其他表格!G32*基本公式!$B$4*基本公式!$B$124</f>
        <v>2.7294895483107902</v>
      </c>
      <c r="D111" s="86">
        <f t="shared" si="22"/>
        <v>4884</v>
      </c>
      <c r="E111" s="85">
        <f t="shared" si="23"/>
        <v>1.3567168637191871</v>
      </c>
      <c r="F111" s="85">
        <f t="shared" si="24"/>
        <v>5.6529869321632793E-2</v>
      </c>
    </row>
    <row r="112" spans="1:7">
      <c r="A112">
        <v>6</v>
      </c>
      <c r="B112" s="86">
        <f>ROUND(H28*基本公式!$B$166,0)</f>
        <v>7238</v>
      </c>
      <c r="C112" s="85">
        <f>其他表格!G33*基本公式!$B$4*基本公式!$B$124</f>
        <v>4.7322419413437835</v>
      </c>
      <c r="D112" s="86">
        <f t="shared" si="22"/>
        <v>7210</v>
      </c>
      <c r="E112" s="85">
        <f t="shared" si="23"/>
        <v>2.0027523930329933</v>
      </c>
      <c r="F112" s="85">
        <f t="shared" si="24"/>
        <v>8.3448016376374723E-2</v>
      </c>
    </row>
    <row r="113" spans="1:8">
      <c r="A113">
        <v>7</v>
      </c>
      <c r="B113" s="86">
        <f>ROUND(H29*基本公式!$B$166,0)</f>
        <v>14258</v>
      </c>
      <c r="C113" s="85">
        <f>其他表格!G34*基本公式!$B$4*基本公式!$B$124</f>
        <v>8.1835762895418807</v>
      </c>
      <c r="D113" s="86">
        <f t="shared" si="22"/>
        <v>12425</v>
      </c>
      <c r="E113" s="85">
        <f t="shared" si="23"/>
        <v>3.4513343481980971</v>
      </c>
      <c r="F113" s="85">
        <f t="shared" si="24"/>
        <v>0.14380559784158739</v>
      </c>
    </row>
    <row r="114" spans="1:8">
      <c r="A114">
        <v>8</v>
      </c>
      <c r="B114" s="86">
        <f>ROUND(H30*基本公式!$B$166,0)</f>
        <v>25635</v>
      </c>
      <c r="C114" s="85">
        <f>其他表格!G35*基本公式!$B$4*基本公式!$B$124</f>
        <v>16.104978510311255</v>
      </c>
      <c r="D114" s="86">
        <f t="shared" si="22"/>
        <v>28517</v>
      </c>
      <c r="E114" s="85">
        <f t="shared" si="23"/>
        <v>7.9214022207693748</v>
      </c>
      <c r="F114" s="85">
        <f t="shared" si="24"/>
        <v>0.33005842586539064</v>
      </c>
    </row>
    <row r="115" spans="1:8">
      <c r="A115">
        <v>9</v>
      </c>
      <c r="B115" s="86">
        <f>ROUND(H31*基本公式!$B$166,0)</f>
        <v>36983</v>
      </c>
      <c r="C115" s="85">
        <f>其他表格!G36*基本公式!$B$4*基本公式!$B$124</f>
        <v>27.59727039710619</v>
      </c>
      <c r="D115" s="86">
        <f t="shared" si="22"/>
        <v>41372</v>
      </c>
      <c r="E115" s="85">
        <f t="shared" si="23"/>
        <v>11.492291886794934</v>
      </c>
      <c r="F115" s="85">
        <f t="shared" si="24"/>
        <v>0.47884549528312226</v>
      </c>
    </row>
    <row r="116" spans="1:8">
      <c r="A116">
        <v>10</v>
      </c>
      <c r="B116" s="86">
        <f>ROUND(H32*基本公式!$B$166,0)</f>
        <v>56243</v>
      </c>
      <c r="C116" s="85">
        <f>其他表格!G37*基本公式!$B$4*基本公式!$B$124</f>
        <v>45.649620205739566</v>
      </c>
      <c r="D116" s="86">
        <f t="shared" si="22"/>
        <v>64988</v>
      </c>
      <c r="E116" s="85">
        <f t="shared" si="23"/>
        <v>18.052349808633377</v>
      </c>
      <c r="F116" s="85">
        <f t="shared" si="24"/>
        <v>0.7521812420263907</v>
      </c>
    </row>
    <row r="117" spans="1:8">
      <c r="A117">
        <v>11</v>
      </c>
      <c r="B117" s="86">
        <f>ROUND(H33*基本公式!$B$166,0)</f>
        <v>81848</v>
      </c>
      <c r="C117" s="85">
        <f>其他表格!G38*基本公式!$B$4*基本公式!$B$124</f>
        <v>78.630924756297816</v>
      </c>
      <c r="D117" s="86">
        <f t="shared" si="22"/>
        <v>118733</v>
      </c>
      <c r="E117" s="85">
        <f t="shared" si="23"/>
        <v>32.981304550558249</v>
      </c>
      <c r="F117" s="85">
        <f t="shared" si="24"/>
        <v>1.374221022939927</v>
      </c>
    </row>
    <row r="118" spans="1:8">
      <c r="A118">
        <v>12</v>
      </c>
      <c r="B118" s="86">
        <f>ROUND(H34*基本公式!$B$166,0)</f>
        <v>147038</v>
      </c>
      <c r="C118" s="85">
        <f>其他表格!G39*基本公式!$B$4*基本公式!$B$124</f>
        <v>124.15409172047022</v>
      </c>
      <c r="D118" s="86">
        <f t="shared" si="22"/>
        <v>163883</v>
      </c>
      <c r="E118" s="85">
        <f t="shared" si="23"/>
        <v>45.523166964172404</v>
      </c>
      <c r="F118" s="85">
        <f t="shared" si="24"/>
        <v>1.8967986235071834</v>
      </c>
    </row>
    <row r="119" spans="1:8">
      <c r="A119">
        <v>13</v>
      </c>
      <c r="B119" s="86">
        <f>ROUND(H35*基本公式!$B$166,0)</f>
        <v>201188</v>
      </c>
      <c r="C119" s="85">
        <f>其他表格!G40*基本公式!$B$4*基本公式!$B$124</f>
        <v>193.6126186674</v>
      </c>
      <c r="D119" s="86">
        <f t="shared" si="22"/>
        <v>250051</v>
      </c>
      <c r="E119" s="85">
        <f t="shared" si="23"/>
        <v>69.45852694692978</v>
      </c>
      <c r="F119" s="85">
        <f t="shared" si="24"/>
        <v>2.8941052894554073</v>
      </c>
    </row>
    <row r="120" spans="1:8">
      <c r="A120">
        <v>14</v>
      </c>
      <c r="B120" s="86">
        <f>ROUND(H36*基本公式!$B$166,0)</f>
        <v>248483</v>
      </c>
      <c r="C120" s="85">
        <f>其他表格!G41*基本公式!$B$4*基本公式!$B$124</f>
        <v>285.32385908879996</v>
      </c>
      <c r="D120" s="86">
        <f t="shared" si="22"/>
        <v>330160</v>
      </c>
      <c r="E120" s="85">
        <f t="shared" si="23"/>
        <v>91.711240421399964</v>
      </c>
      <c r="F120" s="85">
        <f t="shared" si="24"/>
        <v>3.8213016842249985</v>
      </c>
    </row>
    <row r="121" spans="1:8">
      <c r="A121">
        <v>15</v>
      </c>
      <c r="B121" s="86">
        <f>ROUND(H37*基本公式!$B$166,0)</f>
        <v>301680</v>
      </c>
      <c r="C121" s="85">
        <f>其他表格!G42*基本公式!$B$4*基本公式!$B$124</f>
        <v>402.24228254999997</v>
      </c>
      <c r="D121" s="86">
        <f t="shared" si="22"/>
        <v>420906</v>
      </c>
      <c r="E121" s="85">
        <f t="shared" si="23"/>
        <v>116.91842346120001</v>
      </c>
      <c r="F121" s="85">
        <f t="shared" si="24"/>
        <v>4.87160097755</v>
      </c>
    </row>
    <row r="122" spans="1:8">
      <c r="A122">
        <v>16</v>
      </c>
      <c r="B122" s="86">
        <f>ROUND(H38*基本公式!$B$166,0)</f>
        <v>353558</v>
      </c>
      <c r="C122" s="85">
        <f>其他表格!G43*基本公式!$B$4*基本公式!$B$124</f>
        <v>547.61405483999999</v>
      </c>
      <c r="D122" s="86">
        <f t="shared" si="22"/>
        <v>523338</v>
      </c>
      <c r="E122" s="85">
        <f t="shared" si="23"/>
        <v>145.37177229000002</v>
      </c>
      <c r="F122" s="85">
        <f t="shared" si="24"/>
        <v>6.0571571787500007</v>
      </c>
    </row>
    <row r="123" spans="1:8">
      <c r="A123">
        <v>17</v>
      </c>
      <c r="B123" s="86">
        <f>ROUND(H39*基本公式!$B$166,0)</f>
        <v>409238</v>
      </c>
      <c r="C123" s="85">
        <f>其他表格!G44*基本公式!$B$4*基本公式!$B$124</f>
        <v>725.00178719999997</v>
      </c>
      <c r="D123" s="86">
        <f t="shared" si="22"/>
        <v>638596</v>
      </c>
      <c r="E123" s="85">
        <f t="shared" si="23"/>
        <v>177.38773235999997</v>
      </c>
      <c r="F123" s="85">
        <f t="shared" si="24"/>
        <v>7.3911555149999986</v>
      </c>
    </row>
    <row r="124" spans="1:8">
      <c r="A124">
        <v>18</v>
      </c>
      <c r="B124" s="86">
        <f>ROUND(H40*基本公式!$B$166,0)</f>
        <v>470190</v>
      </c>
      <c r="C124" s="85">
        <f>其他表格!G45*基本公式!$B$4*基本公式!$B$124</f>
        <v>938.31119999999987</v>
      </c>
      <c r="D124" s="86">
        <f t="shared" si="22"/>
        <v>767914</v>
      </c>
      <c r="E124" s="85">
        <f t="shared" si="23"/>
        <v>213.3094127999999</v>
      </c>
      <c r="F124" s="85">
        <f t="shared" si="24"/>
        <v>8.887892199999996</v>
      </c>
    </row>
    <row r="125" spans="1:8">
      <c r="A125">
        <v>19</v>
      </c>
      <c r="B125" s="86">
        <f>ROUND(H41*基本公式!$B$166,0)</f>
        <v>534548</v>
      </c>
      <c r="C125" s="85">
        <f>其他表格!G46*基本公式!$B$4*基本公式!$B$124</f>
        <v>1191.8198399999997</v>
      </c>
      <c r="D125" s="86">
        <f t="shared" si="22"/>
        <v>912631</v>
      </c>
      <c r="E125" s="85">
        <f t="shared" si="23"/>
        <v>253.50863999999979</v>
      </c>
      <c r="F125" s="85">
        <f t="shared" si="24"/>
        <v>10.562859999999992</v>
      </c>
    </row>
    <row r="126" spans="1:8">
      <c r="A126">
        <v>20</v>
      </c>
      <c r="B126" s="86">
        <f>ROUND(H42*基本公式!$B$166,0)</f>
        <v>628875</v>
      </c>
      <c r="C126" s="85">
        <f>其他表格!G47*基本公式!$B$4*基本公式!$B$124</f>
        <v>1490.2079999999999</v>
      </c>
      <c r="D126" s="86">
        <f t="shared" si="22"/>
        <v>1074197</v>
      </c>
      <c r="E126" s="85">
        <f t="shared" si="23"/>
        <v>298.3881600000002</v>
      </c>
      <c r="F126" s="85">
        <f>E126/24</f>
        <v>12.432840000000008</v>
      </c>
    </row>
    <row r="127" spans="1:8" s="48" customFormat="1" ht="27">
      <c r="A127" s="48" t="s">
        <v>187</v>
      </c>
      <c r="B127" s="49" t="s">
        <v>485</v>
      </c>
      <c r="C127" s="84" t="s">
        <v>463</v>
      </c>
      <c r="D127" s="49" t="s">
        <v>445</v>
      </c>
      <c r="E127" s="84" t="s">
        <v>464</v>
      </c>
      <c r="F127" s="84" t="s">
        <v>468</v>
      </c>
      <c r="G127" s="48" t="s">
        <v>290</v>
      </c>
      <c r="H127" s="48" t="s">
        <v>299</v>
      </c>
    </row>
    <row r="128" spans="1:8">
      <c r="A128">
        <v>1</v>
      </c>
      <c r="B128" s="86">
        <f>ROUND(H23*基本公式!$B$167,0)</f>
        <v>240</v>
      </c>
      <c r="C128" s="85">
        <f>其他表格!G28*基本公式!$B$4*基本公式!$B$125</f>
        <v>1.5660044217276719E-2</v>
      </c>
      <c r="D128" s="86">
        <f>ROUND(E128*3600,0)</f>
        <v>56</v>
      </c>
      <c r="E128" s="85">
        <f>C128</f>
        <v>1.5660044217276719E-2</v>
      </c>
      <c r="F128" s="85">
        <f>E128/24</f>
        <v>6.5250184238652999E-4</v>
      </c>
      <c r="G128" s="1">
        <f>H128</f>
        <v>610</v>
      </c>
      <c r="H128">
        <f>ROUND(兵消耗!J2*基本公式!$B$51*基本公式!$B$52*基本公式!$B$53,-1)</f>
        <v>610</v>
      </c>
    </row>
    <row r="129" spans="1:8">
      <c r="A129">
        <v>2</v>
      </c>
      <c r="B129" s="86">
        <f>ROUND(H24*基本公式!$B$167,0)</f>
        <v>465</v>
      </c>
      <c r="C129" s="85">
        <f>其他表格!G29*基本公式!$B$4*基本公式!$B$125</f>
        <v>0.13765859420488022</v>
      </c>
      <c r="D129" s="86">
        <f t="shared" ref="D129:D147" si="25">ROUND(E129*3600,0)</f>
        <v>439</v>
      </c>
      <c r="E129" s="85">
        <f t="shared" ref="E129:E147" si="26">C129-C128</f>
        <v>0.1219985499876035</v>
      </c>
      <c r="F129" s="85">
        <f t="shared" ref="F129:F146" si="27">E129/24</f>
        <v>5.083272916150146E-3</v>
      </c>
      <c r="G129" s="1">
        <f t="shared" ref="G129:G147" si="28">H129</f>
        <v>1190</v>
      </c>
      <c r="H129">
        <f>ROUND(兵消耗!J3*基本公式!$B$51*基本公式!$B$52*基本公式!$B$53,-1)</f>
        <v>1190</v>
      </c>
    </row>
    <row r="130" spans="1:8">
      <c r="A130">
        <v>3</v>
      </c>
      <c r="B130" s="86">
        <f>ROUND(H25*基本公式!$B$167,0)</f>
        <v>690</v>
      </c>
      <c r="C130" s="85">
        <f>其他表格!G30*基本公式!$B$4*基本公式!$B$125</f>
        <v>0.57961513349423255</v>
      </c>
      <c r="D130" s="86">
        <f t="shared" si="25"/>
        <v>1591</v>
      </c>
      <c r="E130" s="85">
        <f t="shared" si="26"/>
        <v>0.4419565392893523</v>
      </c>
      <c r="F130" s="85">
        <f t="shared" si="27"/>
        <v>1.8414855803723013E-2</v>
      </c>
      <c r="G130" s="1">
        <f t="shared" si="28"/>
        <v>1760</v>
      </c>
      <c r="H130">
        <f>ROUND(兵消耗!J4*基本公式!$B$51*基本公式!$B$52*基本公式!$B$53,-1)</f>
        <v>1760</v>
      </c>
    </row>
    <row r="131" spans="1:8">
      <c r="A131">
        <v>4</v>
      </c>
      <c r="B131" s="86">
        <f>ROUND(H26*基本公式!$B$167,0)</f>
        <v>1140</v>
      </c>
      <c r="C131" s="85">
        <f>其他表格!G31*基本公式!$B$4*基本公式!$B$125</f>
        <v>1.3727726845916031</v>
      </c>
      <c r="D131" s="86">
        <f t="shared" si="25"/>
        <v>2855</v>
      </c>
      <c r="E131" s="85">
        <f t="shared" si="26"/>
        <v>0.79315755109737052</v>
      </c>
      <c r="F131" s="85">
        <f t="shared" si="27"/>
        <v>3.3048231295723769E-2</v>
      </c>
      <c r="G131" s="1">
        <f t="shared" si="28"/>
        <v>2920</v>
      </c>
      <c r="H131">
        <f>ROUND(兵消耗!J5*基本公式!$B$51*基本公式!$B$52*基本公式!$B$53,-1)</f>
        <v>2920</v>
      </c>
    </row>
    <row r="132" spans="1:8">
      <c r="A132">
        <v>5</v>
      </c>
      <c r="B132" s="86">
        <f>ROUND(H27*基本公式!$B$167,0)</f>
        <v>1895</v>
      </c>
      <c r="C132" s="85">
        <f>其他表格!G32*基本公式!$B$4*基本公式!$B$125</f>
        <v>2.7294895483107902</v>
      </c>
      <c r="D132" s="86">
        <f t="shared" si="25"/>
        <v>4884</v>
      </c>
      <c r="E132" s="85">
        <f t="shared" si="26"/>
        <v>1.3567168637191871</v>
      </c>
      <c r="F132" s="85">
        <f t="shared" si="27"/>
        <v>5.6529869321632793E-2</v>
      </c>
      <c r="G132" s="1">
        <f t="shared" si="28"/>
        <v>4650</v>
      </c>
      <c r="H132">
        <f>ROUND(兵消耗!J6*基本公式!$B$51*基本公式!$B$52*基本公式!$B$53,-1)</f>
        <v>4650</v>
      </c>
    </row>
    <row r="133" spans="1:8">
      <c r="A133">
        <v>6</v>
      </c>
      <c r="B133" s="86">
        <f>ROUND(H28*基本公式!$B$167,0)</f>
        <v>4825</v>
      </c>
      <c r="C133" s="85">
        <f>其他表格!G33*基本公式!$B$4*基本公式!$B$125</f>
        <v>4.7322419413437835</v>
      </c>
      <c r="D133" s="86">
        <f t="shared" si="25"/>
        <v>7210</v>
      </c>
      <c r="E133" s="85">
        <f t="shared" si="26"/>
        <v>2.0027523930329933</v>
      </c>
      <c r="F133" s="85">
        <f t="shared" si="27"/>
        <v>8.3448016376374723E-2</v>
      </c>
      <c r="G133" s="1">
        <f t="shared" si="28"/>
        <v>7540</v>
      </c>
      <c r="H133">
        <f>ROUND(兵消耗!J7*基本公式!$B$51*基本公式!$B$52*基本公式!$B$53,-1)</f>
        <v>7540</v>
      </c>
    </row>
    <row r="134" spans="1:8">
      <c r="A134">
        <v>7</v>
      </c>
      <c r="B134" s="86">
        <f>ROUND(H29*基本公式!$B$167,0)</f>
        <v>9505</v>
      </c>
      <c r="C134" s="85">
        <f>其他表格!G34*基本公式!$B$4*基本公式!$B$125</f>
        <v>8.1835762895418807</v>
      </c>
      <c r="D134" s="86">
        <f t="shared" si="25"/>
        <v>12425</v>
      </c>
      <c r="E134" s="85">
        <f t="shared" si="26"/>
        <v>3.4513343481980971</v>
      </c>
      <c r="F134" s="85">
        <f t="shared" si="27"/>
        <v>0.14380559784158739</v>
      </c>
      <c r="G134" s="1">
        <f t="shared" si="28"/>
        <v>12160</v>
      </c>
      <c r="H134">
        <f>ROUND(兵消耗!J8*基本公式!$B$51*基本公式!$B$52*基本公式!$B$53,-1)</f>
        <v>12160</v>
      </c>
    </row>
    <row r="135" spans="1:8">
      <c r="A135">
        <v>8</v>
      </c>
      <c r="B135" s="86">
        <f>ROUND(H30*基本公式!$B$167,0)</f>
        <v>17090</v>
      </c>
      <c r="C135" s="85">
        <f>其他表格!G35*基本公式!$B$4*基本公式!$B$125</f>
        <v>16.104978510311255</v>
      </c>
      <c r="D135" s="86">
        <f t="shared" si="25"/>
        <v>28517</v>
      </c>
      <c r="E135" s="85">
        <f t="shared" si="26"/>
        <v>7.9214022207693748</v>
      </c>
      <c r="F135" s="85">
        <f t="shared" si="27"/>
        <v>0.33005842586539064</v>
      </c>
      <c r="G135" s="1">
        <f t="shared" si="28"/>
        <v>19680</v>
      </c>
      <c r="H135">
        <f>ROUND(兵消耗!J9*基本公式!$B$51*基本公式!$B$52*基本公式!$B$53,-1)</f>
        <v>19680</v>
      </c>
    </row>
    <row r="136" spans="1:8">
      <c r="A136">
        <v>9</v>
      </c>
      <c r="B136" s="86">
        <f>ROUND(H31*基本公式!$B$167,0)</f>
        <v>24655</v>
      </c>
      <c r="C136" s="85">
        <f>其他表格!G36*基本公式!$B$4*基本公式!$B$125</f>
        <v>27.59727039710619</v>
      </c>
      <c r="D136" s="86">
        <f t="shared" si="25"/>
        <v>41372</v>
      </c>
      <c r="E136" s="85">
        <f t="shared" si="26"/>
        <v>11.492291886794934</v>
      </c>
      <c r="F136" s="85">
        <f t="shared" si="27"/>
        <v>0.47884549528312226</v>
      </c>
      <c r="G136" s="1">
        <f t="shared" si="28"/>
        <v>27190</v>
      </c>
      <c r="H136">
        <f>ROUND(兵消耗!J10*基本公式!$B$51*基本公式!$B$52*基本公式!$B$53,-1)</f>
        <v>27190</v>
      </c>
    </row>
    <row r="137" spans="1:8">
      <c r="A137">
        <v>10</v>
      </c>
      <c r="B137" s="86">
        <f>ROUND(H32*基本公式!$B$167,0)</f>
        <v>37495</v>
      </c>
      <c r="C137" s="85">
        <f>其他表格!G37*基本公式!$B$4*基本公式!$B$125</f>
        <v>45.649620205739566</v>
      </c>
      <c r="D137" s="86">
        <f t="shared" si="25"/>
        <v>64988</v>
      </c>
      <c r="E137" s="85">
        <f t="shared" si="26"/>
        <v>18.052349808633377</v>
      </c>
      <c r="F137" s="85">
        <f t="shared" si="27"/>
        <v>0.7521812420263907</v>
      </c>
      <c r="G137" s="1">
        <f t="shared" si="28"/>
        <v>39330</v>
      </c>
      <c r="H137">
        <f>ROUND(兵消耗!J11*基本公式!$B$51*基本公式!$B$52*基本公式!$B$53,-1)</f>
        <v>39330</v>
      </c>
    </row>
    <row r="138" spans="1:8">
      <c r="A138">
        <v>11</v>
      </c>
      <c r="B138" s="86">
        <f>ROUND(H33*基本公式!$B$167,0)</f>
        <v>54565</v>
      </c>
      <c r="C138" s="85">
        <f>其他表格!G38*基本公式!$B$4*基本公式!$B$125</f>
        <v>78.630924756297816</v>
      </c>
      <c r="D138" s="86">
        <f t="shared" si="25"/>
        <v>118733</v>
      </c>
      <c r="E138" s="85">
        <f t="shared" si="26"/>
        <v>32.981304550558249</v>
      </c>
      <c r="F138" s="85">
        <f t="shared" si="27"/>
        <v>1.374221022939927</v>
      </c>
      <c r="G138" s="1">
        <f t="shared" si="28"/>
        <v>46840</v>
      </c>
      <c r="H138">
        <f>ROUND(兵消耗!J12*基本公式!$B$51*基本公式!$B$52*基本公式!$B$53,-1)</f>
        <v>46840</v>
      </c>
    </row>
    <row r="139" spans="1:8">
      <c r="A139">
        <v>12</v>
      </c>
      <c r="B139" s="86">
        <f>ROUND(H34*基本公式!$B$167,0)</f>
        <v>98025</v>
      </c>
      <c r="C139" s="85">
        <f>其他表格!G39*基本公式!$B$4*基本公式!$B$125</f>
        <v>124.15409172047022</v>
      </c>
      <c r="D139" s="86">
        <f t="shared" si="25"/>
        <v>163883</v>
      </c>
      <c r="E139" s="85">
        <f t="shared" si="26"/>
        <v>45.523166964172404</v>
      </c>
      <c r="F139" s="85">
        <f t="shared" si="27"/>
        <v>1.8967986235071834</v>
      </c>
      <c r="G139" s="1">
        <f t="shared" si="28"/>
        <v>66490</v>
      </c>
      <c r="H139">
        <f>ROUND(兵消耗!J13*基本公式!$B$51*基本公式!$B$52*基本公式!$B$53,-1)</f>
        <v>66490</v>
      </c>
    </row>
    <row r="140" spans="1:8">
      <c r="A140">
        <v>13</v>
      </c>
      <c r="B140" s="86">
        <f>ROUND(H35*基本公式!$B$167,0)</f>
        <v>134125</v>
      </c>
      <c r="C140" s="85">
        <f>其他表格!G40*基本公式!$B$4*基本公式!$B$125</f>
        <v>193.6126186674</v>
      </c>
      <c r="D140" s="86">
        <f t="shared" si="25"/>
        <v>250051</v>
      </c>
      <c r="E140" s="85">
        <f t="shared" si="26"/>
        <v>69.45852694692978</v>
      </c>
      <c r="F140" s="85">
        <f t="shared" si="27"/>
        <v>2.8941052894554073</v>
      </c>
      <c r="G140" s="1">
        <f t="shared" si="28"/>
        <v>83260</v>
      </c>
      <c r="H140">
        <f>ROUND(兵消耗!J14*基本公式!$B$51*基本公式!$B$52*基本公式!$B$53,-1)</f>
        <v>83260</v>
      </c>
    </row>
    <row r="141" spans="1:8">
      <c r="A141">
        <v>14</v>
      </c>
      <c r="B141" s="86">
        <f>ROUND(H36*基本公式!$B$167,0)</f>
        <v>165655</v>
      </c>
      <c r="C141" s="85">
        <f>其他表格!G41*基本公式!$B$4*基本公式!$B$125</f>
        <v>285.32385908879996</v>
      </c>
      <c r="D141" s="86">
        <f t="shared" si="25"/>
        <v>330160</v>
      </c>
      <c r="E141" s="85">
        <f t="shared" si="26"/>
        <v>91.711240421399964</v>
      </c>
      <c r="F141" s="85">
        <f t="shared" si="27"/>
        <v>3.8213016842249985</v>
      </c>
      <c r="G141" s="1">
        <f t="shared" si="28"/>
        <v>98290</v>
      </c>
      <c r="H141">
        <f>ROUND(兵消耗!J15*基本公式!$B$51*基本公式!$B$52*基本公式!$B$53,-1)</f>
        <v>98290</v>
      </c>
    </row>
    <row r="142" spans="1:8">
      <c r="A142">
        <v>15</v>
      </c>
      <c r="B142" s="86">
        <f>ROUND(H37*基本公式!$B$167,0)</f>
        <v>201120</v>
      </c>
      <c r="C142" s="85">
        <f>其他表格!G42*基本公式!$B$4*基本公式!$B$125</f>
        <v>402.24228254999997</v>
      </c>
      <c r="D142" s="86">
        <f t="shared" si="25"/>
        <v>420906</v>
      </c>
      <c r="E142" s="85">
        <f t="shared" si="26"/>
        <v>116.91842346120001</v>
      </c>
      <c r="F142" s="85">
        <f t="shared" si="27"/>
        <v>4.87160097755</v>
      </c>
      <c r="G142" s="1">
        <f t="shared" si="28"/>
        <v>115630</v>
      </c>
      <c r="H142">
        <f>ROUND(兵消耗!J16*基本公式!$B$51*基本公式!$B$52*基本公式!$B$53,-1)</f>
        <v>115630</v>
      </c>
    </row>
    <row r="143" spans="1:8">
      <c r="A143">
        <v>16</v>
      </c>
      <c r="B143" s="86">
        <f>ROUND(H38*基本公式!$B$167,0)</f>
        <v>235705</v>
      </c>
      <c r="C143" s="85">
        <f>其他表格!G43*基本公式!$B$4*基本公式!$B$125</f>
        <v>547.61405483999999</v>
      </c>
      <c r="D143" s="86">
        <f t="shared" si="25"/>
        <v>523338</v>
      </c>
      <c r="E143" s="85">
        <f t="shared" si="26"/>
        <v>145.37177229000002</v>
      </c>
      <c r="F143" s="85">
        <f t="shared" si="27"/>
        <v>6.0571571787500007</v>
      </c>
      <c r="G143" s="1">
        <f t="shared" si="28"/>
        <v>132980</v>
      </c>
      <c r="H143">
        <f>ROUND(兵消耗!J17*基本公式!$B$51*基本公式!$B$52*基本公式!$B$53,-1)</f>
        <v>132980</v>
      </c>
    </row>
    <row r="144" spans="1:8">
      <c r="A144">
        <v>17</v>
      </c>
      <c r="B144" s="86">
        <f>ROUND(H39*基本公式!$B$167,0)</f>
        <v>272825</v>
      </c>
      <c r="C144" s="85">
        <f>其他表格!G44*基本公式!$B$4*基本公式!$B$125</f>
        <v>725.00178719999997</v>
      </c>
      <c r="D144" s="86">
        <f t="shared" si="25"/>
        <v>638596</v>
      </c>
      <c r="E144" s="85">
        <f t="shared" si="26"/>
        <v>177.38773235999997</v>
      </c>
      <c r="F144" s="85">
        <f t="shared" si="27"/>
        <v>7.3911555149999986</v>
      </c>
      <c r="G144" s="1">
        <f t="shared" si="28"/>
        <v>152050</v>
      </c>
      <c r="H144">
        <f>ROUND(兵消耗!J18*基本公式!$B$51*基本公式!$B$52*基本公式!$B$53,-1)</f>
        <v>152050</v>
      </c>
    </row>
    <row r="145" spans="1:8" ht="12.75" customHeight="1">
      <c r="A145">
        <v>18</v>
      </c>
      <c r="B145" s="86">
        <f>ROUND(H40*基本公式!$B$167,0)</f>
        <v>313460</v>
      </c>
      <c r="C145" s="85">
        <f>其他表格!G45*基本公式!$B$4*基本公式!$B$125</f>
        <v>938.31119999999987</v>
      </c>
      <c r="D145" s="86">
        <f t="shared" si="25"/>
        <v>767914</v>
      </c>
      <c r="E145" s="85">
        <f t="shared" si="26"/>
        <v>213.3094127999999</v>
      </c>
      <c r="F145" s="85">
        <f t="shared" si="27"/>
        <v>8.887892199999996</v>
      </c>
      <c r="G145" s="1">
        <f t="shared" si="28"/>
        <v>173440</v>
      </c>
      <c r="H145">
        <f>ROUND(兵消耗!J19*基本公式!$B$51*基本公式!$B$52*基本公式!$B$53,-1)</f>
        <v>173440</v>
      </c>
    </row>
    <row r="146" spans="1:8">
      <c r="A146">
        <v>19</v>
      </c>
      <c r="B146" s="86">
        <f>ROUND(H41*基本公式!$B$167,0)</f>
        <v>356365</v>
      </c>
      <c r="C146" s="85">
        <f>其他表格!G46*基本公式!$B$4*基本公式!$B$125</f>
        <v>1191.8198399999997</v>
      </c>
      <c r="D146" s="86">
        <f t="shared" si="25"/>
        <v>912631</v>
      </c>
      <c r="E146" s="85">
        <f t="shared" si="26"/>
        <v>253.50863999999979</v>
      </c>
      <c r="F146" s="85">
        <f t="shared" si="27"/>
        <v>10.562859999999992</v>
      </c>
      <c r="G146" s="1">
        <f t="shared" si="28"/>
        <v>196570</v>
      </c>
      <c r="H146">
        <f>ROUND(兵消耗!J20*基本公式!$B$51*基本公式!$B$52*基本公式!$B$53,-1)</f>
        <v>196570</v>
      </c>
    </row>
    <row r="147" spans="1:8">
      <c r="A147">
        <v>20</v>
      </c>
      <c r="B147" s="86">
        <f>ROUND(H42*基本公式!$B$167,0)</f>
        <v>419250</v>
      </c>
      <c r="C147" s="85">
        <f>其他表格!G47*基本公式!$B$4*基本公式!$B$125</f>
        <v>1490.2079999999999</v>
      </c>
      <c r="D147" s="86">
        <f t="shared" si="25"/>
        <v>1074197</v>
      </c>
      <c r="E147" s="85">
        <f t="shared" si="26"/>
        <v>298.3881600000002</v>
      </c>
      <c r="F147" s="85">
        <f>E147/24</f>
        <v>12.432840000000008</v>
      </c>
      <c r="G147" s="1">
        <f t="shared" si="28"/>
        <v>231260</v>
      </c>
      <c r="H147">
        <f>ROUND(兵消耗!J21*基本公式!$B$51*基本公式!$B$52*基本公式!$B$53,-1)</f>
        <v>231260</v>
      </c>
    </row>
    <row r="148" spans="1:8" s="48" customFormat="1" ht="27">
      <c r="A148" s="48" t="s">
        <v>461</v>
      </c>
      <c r="B148" s="49" t="s">
        <v>485</v>
      </c>
      <c r="C148" s="84" t="s">
        <v>463</v>
      </c>
      <c r="D148" s="49" t="s">
        <v>445</v>
      </c>
      <c r="E148" s="84" t="s">
        <v>464</v>
      </c>
      <c r="F148" s="84" t="s">
        <v>468</v>
      </c>
    </row>
    <row r="149" spans="1:8">
      <c r="A149" s="7">
        <v>1</v>
      </c>
      <c r="B149" s="86">
        <f>ROUND(H23*基本公式!$B$168,0)</f>
        <v>240</v>
      </c>
      <c r="C149" s="85">
        <f>其他表格!G28*基本公式!$B$4*基本公式!$B$126</f>
        <v>9.7875276357979497E-3</v>
      </c>
      <c r="D149" s="86">
        <f>ROUND(E149*3600,0)</f>
        <v>35</v>
      </c>
      <c r="E149" s="85">
        <f>C149</f>
        <v>9.7875276357979497E-3</v>
      </c>
      <c r="F149" s="85">
        <f>E149/24</f>
        <v>4.0781365149158126E-4</v>
      </c>
    </row>
    <row r="150" spans="1:8">
      <c r="A150" s="7">
        <v>2</v>
      </c>
      <c r="B150" s="86">
        <f>ROUND(H24*基本公式!$B$168,0)</f>
        <v>465</v>
      </c>
      <c r="C150" s="85">
        <f>其他表格!G29*基本公式!$B$4*基本公式!$B$126</f>
        <v>8.6036621378050127E-2</v>
      </c>
      <c r="D150" s="86">
        <f t="shared" ref="D150:D168" si="29">ROUND(E150*3600,0)</f>
        <v>274</v>
      </c>
      <c r="E150" s="85">
        <f t="shared" ref="E150:E168" si="30">C150-C149</f>
        <v>7.624909374225218E-2</v>
      </c>
      <c r="F150" s="85">
        <f t="shared" ref="F150:F167" si="31">E150/24</f>
        <v>3.1770455725938407E-3</v>
      </c>
    </row>
    <row r="151" spans="1:8">
      <c r="A151" s="7">
        <v>3</v>
      </c>
      <c r="B151" s="86">
        <f>ROUND(H25*基本公式!$B$168,0)</f>
        <v>690</v>
      </c>
      <c r="C151" s="85">
        <f>其他表格!G30*基本公式!$B$4*基本公式!$B$126</f>
        <v>0.36225945843389534</v>
      </c>
      <c r="D151" s="86">
        <f t="shared" si="29"/>
        <v>994</v>
      </c>
      <c r="E151" s="85">
        <f t="shared" si="30"/>
        <v>0.27622283705584522</v>
      </c>
      <c r="F151" s="85">
        <f t="shared" si="31"/>
        <v>1.1509284877326885E-2</v>
      </c>
    </row>
    <row r="152" spans="1:8">
      <c r="A152" s="7">
        <v>4</v>
      </c>
      <c r="B152" s="86">
        <f>ROUND(H26*基本公式!$B$168,0)</f>
        <v>1140</v>
      </c>
      <c r="C152" s="85">
        <f>其他表格!G31*基本公式!$B$4*基本公式!$B$126</f>
        <v>0.85798292786975194</v>
      </c>
      <c r="D152" s="86">
        <f t="shared" si="29"/>
        <v>1785</v>
      </c>
      <c r="E152" s="85">
        <f t="shared" si="30"/>
        <v>0.4957234694358566</v>
      </c>
      <c r="F152" s="85">
        <f t="shared" si="31"/>
        <v>2.0655144559827358E-2</v>
      </c>
    </row>
    <row r="153" spans="1:8">
      <c r="A153" s="7">
        <v>5</v>
      </c>
      <c r="B153" s="86">
        <f>ROUND(H27*基本公式!$B$168,0)</f>
        <v>1895</v>
      </c>
      <c r="C153" s="85">
        <f>其他表格!G32*基本公式!$B$4*基本公式!$B$126</f>
        <v>1.7059309676942438</v>
      </c>
      <c r="D153" s="86">
        <f t="shared" si="29"/>
        <v>3053</v>
      </c>
      <c r="E153" s="85">
        <f t="shared" si="30"/>
        <v>0.84794803982449185</v>
      </c>
      <c r="F153" s="85">
        <f t="shared" si="31"/>
        <v>3.5331168326020491E-2</v>
      </c>
    </row>
    <row r="154" spans="1:8">
      <c r="A154" s="7">
        <v>6</v>
      </c>
      <c r="B154" s="86">
        <f>ROUND(H28*基本公式!$B$168,0)</f>
        <v>4825</v>
      </c>
      <c r="C154" s="85">
        <f>其他表格!G33*基本公式!$B$4*基本公式!$B$126</f>
        <v>2.9576512133398651</v>
      </c>
      <c r="D154" s="86">
        <f t="shared" si="29"/>
        <v>4506</v>
      </c>
      <c r="E154" s="85">
        <f t="shared" si="30"/>
        <v>1.2517202456456213</v>
      </c>
      <c r="F154" s="85">
        <f t="shared" si="31"/>
        <v>5.2155010235234223E-2</v>
      </c>
    </row>
    <row r="155" spans="1:8">
      <c r="A155" s="7">
        <v>7</v>
      </c>
      <c r="B155" s="86">
        <f>ROUND(H29*基本公式!$B$168,0)</f>
        <v>9505</v>
      </c>
      <c r="C155" s="85">
        <f>其他表格!G34*基本公式!$B$4*基本公式!$B$126</f>
        <v>5.1147351809636756</v>
      </c>
      <c r="D155" s="86">
        <f t="shared" si="29"/>
        <v>7766</v>
      </c>
      <c r="E155" s="85">
        <f t="shared" si="30"/>
        <v>2.1570839676238105</v>
      </c>
      <c r="F155" s="85">
        <f t="shared" si="31"/>
        <v>8.9878498650992109E-2</v>
      </c>
    </row>
    <row r="156" spans="1:8">
      <c r="A156" s="7">
        <v>8</v>
      </c>
      <c r="B156" s="86">
        <f>ROUND(H30*基本公式!$B$168,0)</f>
        <v>17090</v>
      </c>
      <c r="C156" s="85">
        <f>其他表格!G35*基本公式!$B$4*基本公式!$B$126</f>
        <v>10.065611568944535</v>
      </c>
      <c r="D156" s="86">
        <f t="shared" si="29"/>
        <v>17823</v>
      </c>
      <c r="E156" s="85">
        <f t="shared" si="30"/>
        <v>4.9508763879808591</v>
      </c>
      <c r="F156" s="85">
        <f t="shared" si="31"/>
        <v>0.20628651616586913</v>
      </c>
    </row>
    <row r="157" spans="1:8">
      <c r="A157" s="7">
        <v>9</v>
      </c>
      <c r="B157" s="86">
        <f>ROUND(H31*基本公式!$B$168,0)</f>
        <v>24655</v>
      </c>
      <c r="C157" s="85">
        <f>其他表格!G36*基本公式!$B$4*基本公式!$B$126</f>
        <v>17.248293998191368</v>
      </c>
      <c r="D157" s="86">
        <f t="shared" si="29"/>
        <v>25858</v>
      </c>
      <c r="E157" s="85">
        <f t="shared" si="30"/>
        <v>7.1826824292468334</v>
      </c>
      <c r="F157" s="85">
        <f t="shared" si="31"/>
        <v>0.29927843455195141</v>
      </c>
    </row>
    <row r="158" spans="1:8">
      <c r="A158" s="7">
        <v>10</v>
      </c>
      <c r="B158" s="86">
        <f>ROUND(H32*基本公式!$B$168,0)</f>
        <v>37495</v>
      </c>
      <c r="C158" s="85">
        <f>其他表格!G37*基本公式!$B$4*基本公式!$B$126</f>
        <v>28.531012628587231</v>
      </c>
      <c r="D158" s="86">
        <f t="shared" si="29"/>
        <v>40618</v>
      </c>
      <c r="E158" s="85">
        <f t="shared" si="30"/>
        <v>11.282718630395863</v>
      </c>
      <c r="F158" s="85">
        <f t="shared" si="31"/>
        <v>0.4701132762664943</v>
      </c>
    </row>
    <row r="159" spans="1:8">
      <c r="A159" s="7">
        <v>11</v>
      </c>
      <c r="B159" s="86">
        <f>ROUND(H33*基本公式!$B$168,0)</f>
        <v>54565</v>
      </c>
      <c r="C159" s="85">
        <f>其他表格!G38*基本公式!$B$4*基本公式!$B$126</f>
        <v>49.144327972686142</v>
      </c>
      <c r="D159" s="86">
        <f t="shared" si="29"/>
        <v>74208</v>
      </c>
      <c r="E159" s="85">
        <f t="shared" si="30"/>
        <v>20.613315344098911</v>
      </c>
      <c r="F159" s="85">
        <f t="shared" si="31"/>
        <v>0.85888813933745467</v>
      </c>
    </row>
    <row r="160" spans="1:8">
      <c r="A160" s="7">
        <v>12</v>
      </c>
      <c r="B160" s="86">
        <f>ROUND(H34*基本公式!$B$168,0)</f>
        <v>98025</v>
      </c>
      <c r="C160" s="85">
        <f>其他表格!G39*基本公式!$B$4*基本公式!$B$126</f>
        <v>77.596307325293893</v>
      </c>
      <c r="D160" s="86">
        <f t="shared" si="29"/>
        <v>102427</v>
      </c>
      <c r="E160" s="85">
        <f t="shared" si="30"/>
        <v>28.451979352607751</v>
      </c>
      <c r="F160" s="85">
        <f t="shared" si="31"/>
        <v>1.1854991396919896</v>
      </c>
    </row>
    <row r="161" spans="1:6">
      <c r="A161" s="7">
        <v>13</v>
      </c>
      <c r="B161" s="86">
        <f>ROUND(H35*基本公式!$B$168,0)</f>
        <v>134125</v>
      </c>
      <c r="C161" s="85">
        <f>其他表格!G40*基本公式!$B$4*基本公式!$B$126</f>
        <v>121.00788666712499</v>
      </c>
      <c r="D161" s="86">
        <f t="shared" si="29"/>
        <v>156282</v>
      </c>
      <c r="E161" s="85">
        <f t="shared" si="30"/>
        <v>43.4115793418311</v>
      </c>
      <c r="F161" s="85">
        <f t="shared" si="31"/>
        <v>1.8088158059096291</v>
      </c>
    </row>
    <row r="162" spans="1:6">
      <c r="A162" s="7">
        <v>14</v>
      </c>
      <c r="B162" s="86">
        <f>ROUND(H36*基本公式!$B$168,0)</f>
        <v>165655</v>
      </c>
      <c r="C162" s="85">
        <f>其他表格!G41*基本公式!$B$4*基本公式!$B$126</f>
        <v>178.32741193050001</v>
      </c>
      <c r="D162" s="86">
        <f t="shared" si="29"/>
        <v>206350</v>
      </c>
      <c r="E162" s="85">
        <f t="shared" si="30"/>
        <v>57.319525263375013</v>
      </c>
      <c r="F162" s="85">
        <f t="shared" si="31"/>
        <v>2.3883135526406254</v>
      </c>
    </row>
    <row r="163" spans="1:6">
      <c r="A163" s="7">
        <v>15</v>
      </c>
      <c r="B163" s="86">
        <f>ROUND(H37*基本公式!$B$168,0)</f>
        <v>201120</v>
      </c>
      <c r="C163" s="85">
        <f>其他表格!G42*基本公式!$B$4*基本公式!$B$126</f>
        <v>251.40142659374999</v>
      </c>
      <c r="D163" s="86">
        <f t="shared" si="29"/>
        <v>263066</v>
      </c>
      <c r="E163" s="85">
        <f t="shared" si="30"/>
        <v>73.074014663249983</v>
      </c>
      <c r="F163" s="85">
        <f t="shared" si="31"/>
        <v>3.0447506109687494</v>
      </c>
    </row>
    <row r="164" spans="1:6">
      <c r="A164" s="7">
        <v>16</v>
      </c>
      <c r="B164" s="86">
        <f>ROUND(H38*基本公式!$B$168,0)</f>
        <v>235705</v>
      </c>
      <c r="C164" s="85">
        <f>其他表格!G43*基本公式!$B$4*基本公式!$B$126</f>
        <v>342.25878427499998</v>
      </c>
      <c r="D164" s="86">
        <f t="shared" si="29"/>
        <v>327086</v>
      </c>
      <c r="E164" s="85">
        <f t="shared" si="30"/>
        <v>90.857357681249994</v>
      </c>
      <c r="F164" s="85">
        <f t="shared" si="31"/>
        <v>3.7857232367187499</v>
      </c>
    </row>
    <row r="165" spans="1:6">
      <c r="A165" s="7">
        <v>17</v>
      </c>
      <c r="B165" s="86">
        <f>ROUND(H39*基本公式!$B$168,0)</f>
        <v>272825</v>
      </c>
      <c r="C165" s="85">
        <f>其他表格!G44*基本公式!$B$4*基本公式!$B$126</f>
        <v>453.12611700000002</v>
      </c>
      <c r="D165" s="86">
        <f t="shared" si="29"/>
        <v>399122</v>
      </c>
      <c r="E165" s="85">
        <f t="shared" si="30"/>
        <v>110.86733272500004</v>
      </c>
      <c r="F165" s="85">
        <f t="shared" si="31"/>
        <v>4.6194721968750017</v>
      </c>
    </row>
    <row r="166" spans="1:6">
      <c r="A166" s="7">
        <v>18</v>
      </c>
      <c r="B166" s="86">
        <f>ROUND(H40*基本公式!$B$168,0)</f>
        <v>313460</v>
      </c>
      <c r="C166" s="85">
        <f>其他表格!G45*基本公式!$B$4*基本公式!$B$126</f>
        <v>586.44449999999995</v>
      </c>
      <c r="D166" s="86">
        <f t="shared" si="29"/>
        <v>479946</v>
      </c>
      <c r="E166" s="85">
        <f t="shared" si="30"/>
        <v>133.31838299999993</v>
      </c>
      <c r="F166" s="85">
        <f t="shared" si="31"/>
        <v>5.5549326249999966</v>
      </c>
    </row>
    <row r="167" spans="1:6">
      <c r="A167" s="7">
        <v>19</v>
      </c>
      <c r="B167" s="86">
        <f>ROUND(H41*基本公式!$B$168,0)</f>
        <v>356365</v>
      </c>
      <c r="C167" s="85">
        <f>其他表格!G46*基本公式!$B$4*基本公式!$B$126</f>
        <v>744.88739999999984</v>
      </c>
      <c r="D167" s="86">
        <f t="shared" si="29"/>
        <v>570394</v>
      </c>
      <c r="E167" s="85">
        <f t="shared" si="30"/>
        <v>158.4428999999999</v>
      </c>
      <c r="F167" s="85">
        <f t="shared" si="31"/>
        <v>6.6017874999999959</v>
      </c>
    </row>
    <row r="168" spans="1:6">
      <c r="A168" s="7">
        <v>20</v>
      </c>
      <c r="B168" s="86">
        <f>ROUND(H42*基本公式!$B$168,0)</f>
        <v>419250</v>
      </c>
      <c r="C168" s="85">
        <f>其他表格!G47*基本公式!$B$4*基本公式!$B$126</f>
        <v>931.38</v>
      </c>
      <c r="D168" s="86">
        <f t="shared" si="29"/>
        <v>671373</v>
      </c>
      <c r="E168" s="85">
        <f t="shared" si="30"/>
        <v>186.49260000000015</v>
      </c>
      <c r="F168" s="85">
        <f>E168/24</f>
        <v>7.7705250000000063</v>
      </c>
    </row>
    <row r="169" spans="1:6" s="48" customFormat="1" ht="27">
      <c r="A169" s="48" t="s">
        <v>465</v>
      </c>
      <c r="B169" s="49" t="s">
        <v>485</v>
      </c>
      <c r="C169" s="84" t="s">
        <v>463</v>
      </c>
      <c r="D169" s="49" t="s">
        <v>445</v>
      </c>
      <c r="E169" s="84" t="s">
        <v>464</v>
      </c>
      <c r="F169" s="84" t="s">
        <v>468</v>
      </c>
    </row>
    <row r="170" spans="1:6">
      <c r="A170" s="7">
        <v>1</v>
      </c>
      <c r="B170" s="86">
        <f>ROUND(H23*基本公式!$B$169,0)</f>
        <v>168</v>
      </c>
      <c r="C170" s="85">
        <f>其他表格!G28*基本公式!$B$4*基本公式!$B$127</f>
        <v>7.8300221086383594E-3</v>
      </c>
      <c r="D170" s="86">
        <f>ROUND(E170*3600,0)</f>
        <v>28</v>
      </c>
      <c r="E170" s="85">
        <f>C170</f>
        <v>7.8300221086383594E-3</v>
      </c>
      <c r="F170" s="85">
        <f>E170/24</f>
        <v>3.2625092119326499E-4</v>
      </c>
    </row>
    <row r="171" spans="1:6">
      <c r="A171" s="7">
        <v>2</v>
      </c>
      <c r="B171" s="86">
        <f>ROUND(H24*基本公式!$B$169,0)</f>
        <v>326</v>
      </c>
      <c r="C171" s="85">
        <f>其他表格!G29*基本公式!$B$4*基本公式!$B$127</f>
        <v>6.882929710244011E-2</v>
      </c>
      <c r="D171" s="86">
        <f t="shared" ref="D171:D189" si="32">ROUND(E171*3600,0)</f>
        <v>220</v>
      </c>
      <c r="E171" s="85">
        <f t="shared" ref="E171:E189" si="33">C171-C170</f>
        <v>6.0999274993801748E-2</v>
      </c>
      <c r="F171" s="85">
        <f t="shared" ref="F171:F188" si="34">E171/24</f>
        <v>2.541636458075073E-3</v>
      </c>
    </row>
    <row r="172" spans="1:6">
      <c r="A172" s="7">
        <v>3</v>
      </c>
      <c r="B172" s="86">
        <f>ROUND(H25*基本公式!$B$169,0)</f>
        <v>483</v>
      </c>
      <c r="C172" s="85">
        <f>其他表格!G30*基本公式!$B$4*基本公式!$B$127</f>
        <v>0.28980756674711627</v>
      </c>
      <c r="D172" s="86">
        <f t="shared" si="32"/>
        <v>796</v>
      </c>
      <c r="E172" s="85">
        <f t="shared" si="33"/>
        <v>0.22097826964467615</v>
      </c>
      <c r="F172" s="85">
        <f t="shared" si="34"/>
        <v>9.2074279018615063E-3</v>
      </c>
    </row>
    <row r="173" spans="1:6">
      <c r="A173" s="7">
        <v>4</v>
      </c>
      <c r="B173" s="86">
        <f>ROUND(H26*基本公式!$B$169,0)</f>
        <v>798</v>
      </c>
      <c r="C173" s="85">
        <f>其他表格!G31*基本公式!$B$4*基本公式!$B$127</f>
        <v>0.68638634229580153</v>
      </c>
      <c r="D173" s="86">
        <f t="shared" si="32"/>
        <v>1428</v>
      </c>
      <c r="E173" s="85">
        <f t="shared" si="33"/>
        <v>0.39657877554868526</v>
      </c>
      <c r="F173" s="85">
        <f t="shared" si="34"/>
        <v>1.6524115647861885E-2</v>
      </c>
    </row>
    <row r="174" spans="1:6">
      <c r="A174" s="7">
        <v>5</v>
      </c>
      <c r="B174" s="86">
        <f>ROUND(H27*基本公式!$B$169,0)</f>
        <v>1327</v>
      </c>
      <c r="C174" s="85">
        <f>其他表格!G32*基本公式!$B$4*基本公式!$B$127</f>
        <v>1.3647447741553951</v>
      </c>
      <c r="D174" s="86">
        <f t="shared" si="32"/>
        <v>2442</v>
      </c>
      <c r="E174" s="85">
        <f t="shared" si="33"/>
        <v>0.67835843185959355</v>
      </c>
      <c r="F174" s="85">
        <f t="shared" si="34"/>
        <v>2.8264934660816397E-2</v>
      </c>
    </row>
    <row r="175" spans="1:6">
      <c r="A175" s="7">
        <v>6</v>
      </c>
      <c r="B175" s="86">
        <f>ROUND(H28*基本公式!$B$169,0)</f>
        <v>3378</v>
      </c>
      <c r="C175" s="85">
        <f>其他表格!G33*基本公式!$B$4*基本公式!$B$127</f>
        <v>2.3661209706718918</v>
      </c>
      <c r="D175" s="86">
        <f t="shared" si="32"/>
        <v>3605</v>
      </c>
      <c r="E175" s="85">
        <f t="shared" si="33"/>
        <v>1.0013761965164967</v>
      </c>
      <c r="F175" s="85">
        <f t="shared" si="34"/>
        <v>4.1724008188187361E-2</v>
      </c>
    </row>
    <row r="176" spans="1:6">
      <c r="A176" s="7">
        <v>7</v>
      </c>
      <c r="B176" s="86">
        <f>ROUND(H29*基本公式!$B$169,0)</f>
        <v>6654</v>
      </c>
      <c r="C176" s="85">
        <f>其他表格!G34*基本公式!$B$4*基本公式!$B$127</f>
        <v>4.0917881447709403</v>
      </c>
      <c r="D176" s="86">
        <f t="shared" si="32"/>
        <v>6212</v>
      </c>
      <c r="E176" s="85">
        <f t="shared" si="33"/>
        <v>1.7256671740990486</v>
      </c>
      <c r="F176" s="85">
        <f t="shared" si="34"/>
        <v>7.1902798920793695E-2</v>
      </c>
    </row>
    <row r="177" spans="1:6">
      <c r="A177" s="7">
        <v>8</v>
      </c>
      <c r="B177" s="86">
        <f>ROUND(H30*基本公式!$B$169,0)</f>
        <v>11963</v>
      </c>
      <c r="C177" s="85">
        <f>其他表格!G35*基本公式!$B$4*基本公式!$B$127</f>
        <v>8.0524892551556277</v>
      </c>
      <c r="D177" s="86">
        <f t="shared" si="32"/>
        <v>14259</v>
      </c>
      <c r="E177" s="85">
        <f t="shared" si="33"/>
        <v>3.9607011103846874</v>
      </c>
      <c r="F177" s="85">
        <f t="shared" si="34"/>
        <v>0.16502921293269532</v>
      </c>
    </row>
    <row r="178" spans="1:6">
      <c r="A178" s="7">
        <v>9</v>
      </c>
      <c r="B178" s="86">
        <f>ROUND(H31*基本公式!$B$169,0)</f>
        <v>17259</v>
      </c>
      <c r="C178" s="85">
        <f>其他表格!G36*基本公式!$B$4*基本公式!$B$127</f>
        <v>13.798635198553095</v>
      </c>
      <c r="D178" s="86">
        <f t="shared" si="32"/>
        <v>20686</v>
      </c>
      <c r="E178" s="85">
        <f t="shared" si="33"/>
        <v>5.7461459433974671</v>
      </c>
      <c r="F178" s="85">
        <f t="shared" si="34"/>
        <v>0.23942274764156113</v>
      </c>
    </row>
    <row r="179" spans="1:6">
      <c r="A179" s="7">
        <v>10</v>
      </c>
      <c r="B179" s="86">
        <f>ROUND(H32*基本公式!$B$169,0)</f>
        <v>26247</v>
      </c>
      <c r="C179" s="85">
        <f>其他表格!G37*基本公式!$B$4*基本公式!$B$127</f>
        <v>22.824810102869783</v>
      </c>
      <c r="D179" s="86">
        <f t="shared" si="32"/>
        <v>32494</v>
      </c>
      <c r="E179" s="85">
        <f t="shared" si="33"/>
        <v>9.0261749043166883</v>
      </c>
      <c r="F179" s="85">
        <f t="shared" si="34"/>
        <v>0.37609062101319535</v>
      </c>
    </row>
    <row r="180" spans="1:6">
      <c r="A180" s="7">
        <v>11</v>
      </c>
      <c r="B180" s="86">
        <f>ROUND(H33*基本公式!$B$169,0)</f>
        <v>38196</v>
      </c>
      <c r="C180" s="85">
        <f>其他表格!G38*基本公式!$B$4*基本公式!$B$127</f>
        <v>39.315462378148908</v>
      </c>
      <c r="D180" s="86">
        <f t="shared" si="32"/>
        <v>59366</v>
      </c>
      <c r="E180" s="85">
        <f t="shared" si="33"/>
        <v>16.490652275279125</v>
      </c>
      <c r="F180" s="85">
        <f t="shared" si="34"/>
        <v>0.68711051146996349</v>
      </c>
    </row>
    <row r="181" spans="1:6">
      <c r="A181" s="7">
        <v>12</v>
      </c>
      <c r="B181" s="86">
        <f>ROUND(H34*基本公式!$B$169,0)</f>
        <v>68618</v>
      </c>
      <c r="C181" s="85">
        <f>其他表格!G39*基本公式!$B$4*基本公式!$B$127</f>
        <v>62.07704586023511</v>
      </c>
      <c r="D181" s="86">
        <f t="shared" si="32"/>
        <v>81942</v>
      </c>
      <c r="E181" s="85">
        <f t="shared" si="33"/>
        <v>22.761583482086202</v>
      </c>
      <c r="F181" s="85">
        <f t="shared" si="34"/>
        <v>0.94839931175359171</v>
      </c>
    </row>
    <row r="182" spans="1:6">
      <c r="A182" s="7">
        <v>13</v>
      </c>
      <c r="B182" s="86">
        <f>ROUND(H35*基本公式!$B$169,0)</f>
        <v>93888</v>
      </c>
      <c r="C182" s="85">
        <f>其他表格!G40*基本公式!$B$4*基本公式!$B$127</f>
        <v>96.8063093337</v>
      </c>
      <c r="D182" s="86">
        <f t="shared" si="32"/>
        <v>125025</v>
      </c>
      <c r="E182" s="85">
        <f t="shared" si="33"/>
        <v>34.72926347346489</v>
      </c>
      <c r="F182" s="85">
        <f t="shared" si="34"/>
        <v>1.4470526447277037</v>
      </c>
    </row>
    <row r="183" spans="1:6">
      <c r="A183" s="7">
        <v>14</v>
      </c>
      <c r="B183" s="86">
        <f>ROUND(H36*基本公式!$B$169,0)</f>
        <v>115959</v>
      </c>
      <c r="C183" s="85">
        <f>其他表格!G41*基本公式!$B$4*基本公式!$B$127</f>
        <v>142.66192954439998</v>
      </c>
      <c r="D183" s="86">
        <f t="shared" si="32"/>
        <v>165080</v>
      </c>
      <c r="E183" s="85">
        <f t="shared" si="33"/>
        <v>45.855620210699982</v>
      </c>
      <c r="F183" s="85">
        <f t="shared" si="34"/>
        <v>1.9106508421124992</v>
      </c>
    </row>
    <row r="184" spans="1:6">
      <c r="A184" s="7">
        <v>15</v>
      </c>
      <c r="B184" s="86">
        <f>ROUND(H37*基本公式!$B$169,0)</f>
        <v>140784</v>
      </c>
      <c r="C184" s="85">
        <f>其他表格!G42*基本公式!$B$4*基本公式!$B$127</f>
        <v>201.12114127499999</v>
      </c>
      <c r="D184" s="86">
        <f t="shared" si="32"/>
        <v>210453</v>
      </c>
      <c r="E184" s="85">
        <f t="shared" si="33"/>
        <v>58.459211730600003</v>
      </c>
      <c r="F184" s="85">
        <f t="shared" si="34"/>
        <v>2.435800488775</v>
      </c>
    </row>
    <row r="185" spans="1:6">
      <c r="A185" s="7">
        <v>16</v>
      </c>
      <c r="B185" s="86">
        <f>ROUND(H38*基本公式!$B$169,0)</f>
        <v>164994</v>
      </c>
      <c r="C185" s="85">
        <f>其他表格!G43*基本公式!$B$4*基本公式!$B$127</f>
        <v>273.80702742</v>
      </c>
      <c r="D185" s="86">
        <f t="shared" si="32"/>
        <v>261669</v>
      </c>
      <c r="E185" s="85">
        <f t="shared" si="33"/>
        <v>72.685886145000012</v>
      </c>
      <c r="F185" s="85">
        <f t="shared" si="34"/>
        <v>3.0285785893750004</v>
      </c>
    </row>
    <row r="186" spans="1:6">
      <c r="A186" s="7">
        <v>17</v>
      </c>
      <c r="B186" s="86">
        <f>ROUND(H39*基本公式!$B$169,0)</f>
        <v>190978</v>
      </c>
      <c r="C186" s="85">
        <f>其他表格!G44*基本公式!$B$4*基本公式!$B$127</f>
        <v>362.50089359999998</v>
      </c>
      <c r="D186" s="86">
        <f t="shared" si="32"/>
        <v>319298</v>
      </c>
      <c r="E186" s="85">
        <f t="shared" si="33"/>
        <v>88.693866179999986</v>
      </c>
      <c r="F186" s="85">
        <f t="shared" si="34"/>
        <v>3.6955777574999993</v>
      </c>
    </row>
    <row r="187" spans="1:6">
      <c r="A187" s="7">
        <v>18</v>
      </c>
      <c r="B187" s="86">
        <f>ROUND(H40*基本公式!$B$169,0)</f>
        <v>219422</v>
      </c>
      <c r="C187" s="85">
        <f>其他表格!G45*基本公式!$B$4*基本公式!$B$127</f>
        <v>469.15559999999994</v>
      </c>
      <c r="D187" s="86">
        <f t="shared" si="32"/>
        <v>383957</v>
      </c>
      <c r="E187" s="85">
        <f t="shared" si="33"/>
        <v>106.65470639999995</v>
      </c>
      <c r="F187" s="85">
        <f t="shared" si="34"/>
        <v>4.443946099999998</v>
      </c>
    </row>
    <row r="188" spans="1:6">
      <c r="A188" s="7">
        <v>19</v>
      </c>
      <c r="B188" s="86">
        <f>ROUND(H41*基本公式!$B$169,0)</f>
        <v>249456</v>
      </c>
      <c r="C188" s="85">
        <f>其他表格!G46*基本公式!$B$4*基本公式!$B$127</f>
        <v>595.90991999999983</v>
      </c>
      <c r="D188" s="86">
        <f t="shared" si="32"/>
        <v>456316</v>
      </c>
      <c r="E188" s="85">
        <f t="shared" si="33"/>
        <v>126.75431999999989</v>
      </c>
      <c r="F188" s="85">
        <f t="shared" si="34"/>
        <v>5.2814299999999959</v>
      </c>
    </row>
    <row r="189" spans="1:6">
      <c r="A189" s="7">
        <v>20</v>
      </c>
      <c r="B189" s="86">
        <f>ROUND(H42*基本公式!$B$169,0)</f>
        <v>293475</v>
      </c>
      <c r="C189" s="85">
        <f>其他表格!G47*基本公式!$B$4*基本公式!$B$127</f>
        <v>745.10399999999993</v>
      </c>
      <c r="D189" s="86">
        <f t="shared" si="32"/>
        <v>537099</v>
      </c>
      <c r="E189" s="85">
        <f t="shared" si="33"/>
        <v>149.1940800000001</v>
      </c>
      <c r="F189" s="85">
        <f>E189/24</f>
        <v>6.2164200000000038</v>
      </c>
    </row>
    <row r="190" spans="1:6" s="48" customFormat="1" ht="27">
      <c r="A190" s="48" t="s">
        <v>466</v>
      </c>
      <c r="B190" s="49" t="s">
        <v>485</v>
      </c>
      <c r="C190" s="84" t="s">
        <v>463</v>
      </c>
      <c r="D190" s="49" t="s">
        <v>445</v>
      </c>
      <c r="E190" s="84" t="s">
        <v>464</v>
      </c>
      <c r="F190" s="84" t="s">
        <v>468</v>
      </c>
    </row>
    <row r="191" spans="1:6">
      <c r="A191" s="7">
        <v>1</v>
      </c>
      <c r="B191" s="86">
        <f>ROUND(H23*基本公式!$B$170,0)</f>
        <v>240</v>
      </c>
      <c r="C191" s="85">
        <f>其他表格!G28*基本公式!$B$4*基本公式!$B$128</f>
        <v>7.8300221086383594E-3</v>
      </c>
      <c r="D191" s="86">
        <f>ROUND(E191*3600,0)</f>
        <v>28</v>
      </c>
      <c r="E191" s="85">
        <f>C191</f>
        <v>7.8300221086383594E-3</v>
      </c>
      <c r="F191" s="85">
        <f>E191/24</f>
        <v>3.2625092119326499E-4</v>
      </c>
    </row>
    <row r="192" spans="1:6">
      <c r="A192" s="7">
        <v>2</v>
      </c>
      <c r="B192" s="86">
        <f>ROUND(H24*基本公式!$B$170,0)</f>
        <v>465</v>
      </c>
      <c r="C192" s="85">
        <f>其他表格!G29*基本公式!$B$4*基本公式!$B$128</f>
        <v>6.882929710244011E-2</v>
      </c>
      <c r="D192" s="86">
        <f t="shared" ref="D192:D210" si="35">ROUND(E192*3600,0)</f>
        <v>220</v>
      </c>
      <c r="E192" s="85">
        <f t="shared" ref="E192:E210" si="36">C192-C191</f>
        <v>6.0999274993801748E-2</v>
      </c>
      <c r="F192" s="85">
        <f t="shared" ref="F192:F209" si="37">E192/24</f>
        <v>2.541636458075073E-3</v>
      </c>
    </row>
    <row r="193" spans="1:6">
      <c r="A193" s="7">
        <v>3</v>
      </c>
      <c r="B193" s="86">
        <f>ROUND(H25*基本公式!$B$170,0)</f>
        <v>690</v>
      </c>
      <c r="C193" s="85">
        <f>其他表格!G30*基本公式!$B$4*基本公式!$B$128</f>
        <v>0.28980756674711627</v>
      </c>
      <c r="D193" s="86">
        <f t="shared" si="35"/>
        <v>796</v>
      </c>
      <c r="E193" s="85">
        <f t="shared" si="36"/>
        <v>0.22097826964467615</v>
      </c>
      <c r="F193" s="85">
        <f t="shared" si="37"/>
        <v>9.2074279018615063E-3</v>
      </c>
    </row>
    <row r="194" spans="1:6">
      <c r="A194" s="7">
        <v>4</v>
      </c>
      <c r="B194" s="86">
        <f>ROUND(H26*基本公式!$B$170,0)</f>
        <v>1140</v>
      </c>
      <c r="C194" s="85">
        <f>其他表格!G31*基本公式!$B$4*基本公式!$B$128</f>
        <v>0.68638634229580153</v>
      </c>
      <c r="D194" s="86">
        <f t="shared" si="35"/>
        <v>1428</v>
      </c>
      <c r="E194" s="85">
        <f t="shared" si="36"/>
        <v>0.39657877554868526</v>
      </c>
      <c r="F194" s="85">
        <f t="shared" si="37"/>
        <v>1.6524115647861885E-2</v>
      </c>
    </row>
    <row r="195" spans="1:6">
      <c r="A195" s="7">
        <v>5</v>
      </c>
      <c r="B195" s="86">
        <f>ROUND(H27*基本公式!$B$170,0)</f>
        <v>1895</v>
      </c>
      <c r="C195" s="85">
        <f>其他表格!G32*基本公式!$B$4*基本公式!$B$128</f>
        <v>1.3647447741553951</v>
      </c>
      <c r="D195" s="86">
        <f t="shared" si="35"/>
        <v>2442</v>
      </c>
      <c r="E195" s="85">
        <f t="shared" si="36"/>
        <v>0.67835843185959355</v>
      </c>
      <c r="F195" s="85">
        <f t="shared" si="37"/>
        <v>2.8264934660816397E-2</v>
      </c>
    </row>
    <row r="196" spans="1:6">
      <c r="A196" s="7">
        <v>6</v>
      </c>
      <c r="B196" s="86">
        <f>ROUND(H28*基本公式!$B$170,0)</f>
        <v>4825</v>
      </c>
      <c r="C196" s="85">
        <f>其他表格!G33*基本公式!$B$4*基本公式!$B$128</f>
        <v>2.3661209706718918</v>
      </c>
      <c r="D196" s="86">
        <f t="shared" si="35"/>
        <v>3605</v>
      </c>
      <c r="E196" s="85">
        <f t="shared" si="36"/>
        <v>1.0013761965164967</v>
      </c>
      <c r="F196" s="85">
        <f t="shared" si="37"/>
        <v>4.1724008188187361E-2</v>
      </c>
    </row>
    <row r="197" spans="1:6">
      <c r="A197" s="7">
        <v>7</v>
      </c>
      <c r="B197" s="86">
        <f>ROUND(H29*基本公式!$B$170,0)</f>
        <v>9505</v>
      </c>
      <c r="C197" s="85">
        <f>其他表格!G34*基本公式!$B$4*基本公式!$B$128</f>
        <v>4.0917881447709403</v>
      </c>
      <c r="D197" s="86">
        <f t="shared" si="35"/>
        <v>6212</v>
      </c>
      <c r="E197" s="85">
        <f t="shared" si="36"/>
        <v>1.7256671740990486</v>
      </c>
      <c r="F197" s="85">
        <f t="shared" si="37"/>
        <v>7.1902798920793695E-2</v>
      </c>
    </row>
    <row r="198" spans="1:6">
      <c r="A198" s="7">
        <v>8</v>
      </c>
      <c r="B198" s="86">
        <f>ROUND(H30*基本公式!$B$170,0)</f>
        <v>17090</v>
      </c>
      <c r="C198" s="85">
        <f>其他表格!G35*基本公式!$B$4*基本公式!$B$128</f>
        <v>8.0524892551556277</v>
      </c>
      <c r="D198" s="86">
        <f t="shared" si="35"/>
        <v>14259</v>
      </c>
      <c r="E198" s="85">
        <f t="shared" si="36"/>
        <v>3.9607011103846874</v>
      </c>
      <c r="F198" s="85">
        <f t="shared" si="37"/>
        <v>0.16502921293269532</v>
      </c>
    </row>
    <row r="199" spans="1:6">
      <c r="A199" s="7">
        <v>9</v>
      </c>
      <c r="B199" s="86">
        <f>ROUND(H31*基本公式!$B$170,0)</f>
        <v>24655</v>
      </c>
      <c r="C199" s="85">
        <f>其他表格!G36*基本公式!$B$4*基本公式!$B$128</f>
        <v>13.798635198553095</v>
      </c>
      <c r="D199" s="86">
        <f t="shared" si="35"/>
        <v>20686</v>
      </c>
      <c r="E199" s="85">
        <f t="shared" si="36"/>
        <v>5.7461459433974671</v>
      </c>
      <c r="F199" s="85">
        <f t="shared" si="37"/>
        <v>0.23942274764156113</v>
      </c>
    </row>
    <row r="200" spans="1:6">
      <c r="A200" s="7">
        <v>10</v>
      </c>
      <c r="B200" s="86">
        <f>ROUND(H32*基本公式!$B$170,0)</f>
        <v>37495</v>
      </c>
      <c r="C200" s="85">
        <f>其他表格!G37*基本公式!$B$4*基本公式!$B$128</f>
        <v>22.824810102869783</v>
      </c>
      <c r="D200" s="86">
        <f t="shared" si="35"/>
        <v>32494</v>
      </c>
      <c r="E200" s="85">
        <f t="shared" si="36"/>
        <v>9.0261749043166883</v>
      </c>
      <c r="F200" s="85">
        <f t="shared" si="37"/>
        <v>0.37609062101319535</v>
      </c>
    </row>
    <row r="201" spans="1:6">
      <c r="A201" s="7">
        <v>11</v>
      </c>
      <c r="B201" s="86">
        <f>ROUND(H33*基本公式!$B$170,0)</f>
        <v>54565</v>
      </c>
      <c r="C201" s="85">
        <f>其他表格!G38*基本公式!$B$4*基本公式!$B$128</f>
        <v>39.315462378148908</v>
      </c>
      <c r="D201" s="86">
        <f t="shared" si="35"/>
        <v>59366</v>
      </c>
      <c r="E201" s="85">
        <f t="shared" si="36"/>
        <v>16.490652275279125</v>
      </c>
      <c r="F201" s="85">
        <f t="shared" si="37"/>
        <v>0.68711051146996349</v>
      </c>
    </row>
    <row r="202" spans="1:6">
      <c r="A202" s="7">
        <v>12</v>
      </c>
      <c r="B202" s="86">
        <f>ROUND(H34*基本公式!$B$170,0)</f>
        <v>98025</v>
      </c>
      <c r="C202" s="85">
        <f>其他表格!G39*基本公式!$B$4*基本公式!$B$128</f>
        <v>62.07704586023511</v>
      </c>
      <c r="D202" s="86">
        <f t="shared" si="35"/>
        <v>81942</v>
      </c>
      <c r="E202" s="85">
        <f t="shared" si="36"/>
        <v>22.761583482086202</v>
      </c>
      <c r="F202" s="85">
        <f t="shared" si="37"/>
        <v>0.94839931175359171</v>
      </c>
    </row>
    <row r="203" spans="1:6">
      <c r="A203" s="7">
        <v>13</v>
      </c>
      <c r="B203" s="86">
        <f>ROUND(H35*基本公式!$B$170,0)</f>
        <v>134125</v>
      </c>
      <c r="C203" s="85">
        <f>其他表格!G40*基本公式!$B$4*基本公式!$B$128</f>
        <v>96.8063093337</v>
      </c>
      <c r="D203" s="86">
        <f t="shared" si="35"/>
        <v>125025</v>
      </c>
      <c r="E203" s="85">
        <f t="shared" si="36"/>
        <v>34.72926347346489</v>
      </c>
      <c r="F203" s="85">
        <f t="shared" si="37"/>
        <v>1.4470526447277037</v>
      </c>
    </row>
    <row r="204" spans="1:6">
      <c r="A204" s="7">
        <v>14</v>
      </c>
      <c r="B204" s="86">
        <f>ROUND(H36*基本公式!$B$170,0)</f>
        <v>165655</v>
      </c>
      <c r="C204" s="85">
        <f>其他表格!G41*基本公式!$B$4*基本公式!$B$128</f>
        <v>142.66192954439998</v>
      </c>
      <c r="D204" s="86">
        <f t="shared" si="35"/>
        <v>165080</v>
      </c>
      <c r="E204" s="85">
        <f t="shared" si="36"/>
        <v>45.855620210699982</v>
      </c>
      <c r="F204" s="85">
        <f t="shared" si="37"/>
        <v>1.9106508421124992</v>
      </c>
    </row>
    <row r="205" spans="1:6">
      <c r="A205" s="7">
        <v>15</v>
      </c>
      <c r="B205" s="86">
        <f>ROUND(H37*基本公式!$B$170,0)</f>
        <v>201120</v>
      </c>
      <c r="C205" s="85">
        <f>其他表格!G42*基本公式!$B$4*基本公式!$B$128</f>
        <v>201.12114127499999</v>
      </c>
      <c r="D205" s="86">
        <f t="shared" si="35"/>
        <v>210453</v>
      </c>
      <c r="E205" s="85">
        <f t="shared" si="36"/>
        <v>58.459211730600003</v>
      </c>
      <c r="F205" s="85">
        <f t="shared" si="37"/>
        <v>2.435800488775</v>
      </c>
    </row>
    <row r="206" spans="1:6">
      <c r="A206" s="7">
        <v>16</v>
      </c>
      <c r="B206" s="86">
        <f>ROUND(H38*基本公式!$B$170,0)</f>
        <v>235705</v>
      </c>
      <c r="C206" s="85">
        <f>其他表格!G43*基本公式!$B$4*基本公式!$B$128</f>
        <v>273.80702742</v>
      </c>
      <c r="D206" s="86">
        <f t="shared" si="35"/>
        <v>261669</v>
      </c>
      <c r="E206" s="85">
        <f t="shared" si="36"/>
        <v>72.685886145000012</v>
      </c>
      <c r="F206" s="85">
        <f t="shared" si="37"/>
        <v>3.0285785893750004</v>
      </c>
    </row>
    <row r="207" spans="1:6">
      <c r="A207" s="7">
        <v>17</v>
      </c>
      <c r="B207" s="86">
        <f>ROUND(H39*基本公式!$B$170,0)</f>
        <v>272825</v>
      </c>
      <c r="C207" s="85">
        <f>其他表格!G44*基本公式!$B$4*基本公式!$B$128</f>
        <v>362.50089359999998</v>
      </c>
      <c r="D207" s="86">
        <f t="shared" si="35"/>
        <v>319298</v>
      </c>
      <c r="E207" s="85">
        <f t="shared" si="36"/>
        <v>88.693866179999986</v>
      </c>
      <c r="F207" s="85">
        <f t="shared" si="37"/>
        <v>3.6955777574999993</v>
      </c>
    </row>
    <row r="208" spans="1:6">
      <c r="A208" s="7">
        <v>18</v>
      </c>
      <c r="B208" s="86">
        <f>ROUND(H40*基本公式!$B$170,0)</f>
        <v>313460</v>
      </c>
      <c r="C208" s="85">
        <f>其他表格!G45*基本公式!$B$4*基本公式!$B$128</f>
        <v>469.15559999999994</v>
      </c>
      <c r="D208" s="86">
        <f t="shared" si="35"/>
        <v>383957</v>
      </c>
      <c r="E208" s="85">
        <f t="shared" si="36"/>
        <v>106.65470639999995</v>
      </c>
      <c r="F208" s="85">
        <f t="shared" si="37"/>
        <v>4.443946099999998</v>
      </c>
    </row>
    <row r="209" spans="1:6">
      <c r="A209" s="7">
        <v>19</v>
      </c>
      <c r="B209" s="86">
        <f>ROUND(H41*基本公式!$B$170,0)</f>
        <v>356365</v>
      </c>
      <c r="C209" s="85">
        <f>其他表格!G46*基本公式!$B$4*基本公式!$B$128</f>
        <v>595.90991999999983</v>
      </c>
      <c r="D209" s="86">
        <f t="shared" si="35"/>
        <v>456316</v>
      </c>
      <c r="E209" s="85">
        <f t="shared" si="36"/>
        <v>126.75431999999989</v>
      </c>
      <c r="F209" s="85">
        <f t="shared" si="37"/>
        <v>5.2814299999999959</v>
      </c>
    </row>
    <row r="210" spans="1:6">
      <c r="A210" s="7">
        <v>20</v>
      </c>
      <c r="B210" s="86">
        <f>ROUND(H42*基本公式!$B$170,0)</f>
        <v>419250</v>
      </c>
      <c r="C210" s="85">
        <f>其他表格!G47*基本公式!$B$4*基本公式!$B$128</f>
        <v>745.10399999999993</v>
      </c>
      <c r="D210" s="86">
        <f t="shared" si="35"/>
        <v>537099</v>
      </c>
      <c r="E210" s="85">
        <f t="shared" si="36"/>
        <v>149.1940800000001</v>
      </c>
      <c r="F210" s="85">
        <f>E210/24</f>
        <v>6.2164200000000038</v>
      </c>
    </row>
    <row r="211" spans="1:6" s="48" customFormat="1" ht="27">
      <c r="A211" s="48" t="s">
        <v>469</v>
      </c>
      <c r="B211" s="49" t="s">
        <v>485</v>
      </c>
      <c r="C211" s="84" t="s">
        <v>470</v>
      </c>
      <c r="D211" s="49" t="s">
        <v>445</v>
      </c>
      <c r="E211" s="84" t="s">
        <v>464</v>
      </c>
      <c r="F211" s="84" t="s">
        <v>468</v>
      </c>
    </row>
    <row r="212" spans="1:6">
      <c r="A212" s="7">
        <v>1</v>
      </c>
      <c r="B212" s="86">
        <f>ROUND(H23*基本公式!$B$171,0)</f>
        <v>72</v>
      </c>
      <c r="C212" s="85">
        <f>其他表格!G28*基本公式!$B$4*基本公式!$B$129</f>
        <v>7.8300221086383594E-3</v>
      </c>
      <c r="D212" s="86">
        <f>ROUND(E212*3600,0)</f>
        <v>28</v>
      </c>
      <c r="E212" s="85">
        <f>C212</f>
        <v>7.8300221086383594E-3</v>
      </c>
      <c r="F212" s="85">
        <f>E212/24</f>
        <v>3.2625092119326499E-4</v>
      </c>
    </row>
    <row r="213" spans="1:6">
      <c r="A213" s="7">
        <v>2</v>
      </c>
      <c r="B213" s="86">
        <f>ROUND(H24*基本公式!$B$171,0)</f>
        <v>140</v>
      </c>
      <c r="C213" s="85">
        <f>其他表格!G29*基本公式!$B$4*基本公式!$B$129</f>
        <v>6.882929710244011E-2</v>
      </c>
      <c r="D213" s="86">
        <f t="shared" ref="D213:D231" si="38">ROUND(E213*3600,0)</f>
        <v>220</v>
      </c>
      <c r="E213" s="85">
        <f t="shared" ref="E213:E231" si="39">C213-C212</f>
        <v>6.0999274993801748E-2</v>
      </c>
      <c r="F213" s="85">
        <f t="shared" ref="F213:F230" si="40">E213/24</f>
        <v>2.541636458075073E-3</v>
      </c>
    </row>
    <row r="214" spans="1:6">
      <c r="A214" s="7">
        <v>3</v>
      </c>
      <c r="B214" s="86">
        <f>ROUND(H25*基本公式!$B$171,0)</f>
        <v>207</v>
      </c>
      <c r="C214" s="85">
        <f>其他表格!G30*基本公式!$B$4*基本公式!$B$129</f>
        <v>0.28980756674711627</v>
      </c>
      <c r="D214" s="86">
        <f t="shared" si="38"/>
        <v>796</v>
      </c>
      <c r="E214" s="85">
        <f t="shared" si="39"/>
        <v>0.22097826964467615</v>
      </c>
      <c r="F214" s="85">
        <f t="shared" si="40"/>
        <v>9.2074279018615063E-3</v>
      </c>
    </row>
    <row r="215" spans="1:6">
      <c r="A215" s="7">
        <v>4</v>
      </c>
      <c r="B215" s="86">
        <f>ROUND(H26*基本公式!$B$171,0)</f>
        <v>342</v>
      </c>
      <c r="C215" s="85">
        <f>其他表格!G31*基本公式!$B$4*基本公式!$B$129</f>
        <v>0.68638634229580153</v>
      </c>
      <c r="D215" s="86">
        <f t="shared" si="38"/>
        <v>1428</v>
      </c>
      <c r="E215" s="85">
        <f t="shared" si="39"/>
        <v>0.39657877554868526</v>
      </c>
      <c r="F215" s="85">
        <f t="shared" si="40"/>
        <v>1.6524115647861885E-2</v>
      </c>
    </row>
    <row r="216" spans="1:6">
      <c r="A216" s="7">
        <v>5</v>
      </c>
      <c r="B216" s="86">
        <f>ROUND(H27*基本公式!$B$171,0)</f>
        <v>569</v>
      </c>
      <c r="C216" s="85">
        <f>其他表格!G32*基本公式!$B$4*基本公式!$B$129</f>
        <v>1.3647447741553951</v>
      </c>
      <c r="D216" s="86">
        <f t="shared" si="38"/>
        <v>2442</v>
      </c>
      <c r="E216" s="85">
        <f t="shared" si="39"/>
        <v>0.67835843185959355</v>
      </c>
      <c r="F216" s="85">
        <f t="shared" si="40"/>
        <v>2.8264934660816397E-2</v>
      </c>
    </row>
    <row r="217" spans="1:6">
      <c r="A217" s="7">
        <v>6</v>
      </c>
      <c r="B217" s="86">
        <f>ROUND(H28*基本公式!$B$171,0)</f>
        <v>1448</v>
      </c>
      <c r="C217" s="85">
        <f>其他表格!G33*基本公式!$B$4*基本公式!$B$129</f>
        <v>2.3661209706718918</v>
      </c>
      <c r="D217" s="86">
        <f t="shared" si="38"/>
        <v>3605</v>
      </c>
      <c r="E217" s="85">
        <f t="shared" si="39"/>
        <v>1.0013761965164967</v>
      </c>
      <c r="F217" s="85">
        <f t="shared" si="40"/>
        <v>4.1724008188187361E-2</v>
      </c>
    </row>
    <row r="218" spans="1:6">
      <c r="A218" s="7">
        <v>7</v>
      </c>
      <c r="B218" s="86">
        <f>ROUND(H29*基本公式!$B$171,0)</f>
        <v>2852</v>
      </c>
      <c r="C218" s="85">
        <f>其他表格!G34*基本公式!$B$4*基本公式!$B$129</f>
        <v>4.0917881447709403</v>
      </c>
      <c r="D218" s="86">
        <f t="shared" si="38"/>
        <v>6212</v>
      </c>
      <c r="E218" s="85">
        <f t="shared" si="39"/>
        <v>1.7256671740990486</v>
      </c>
      <c r="F218" s="85">
        <f t="shared" si="40"/>
        <v>7.1902798920793695E-2</v>
      </c>
    </row>
    <row r="219" spans="1:6">
      <c r="A219" s="7">
        <v>8</v>
      </c>
      <c r="B219" s="86">
        <f>ROUND(H30*基本公式!$B$171,0)</f>
        <v>5127</v>
      </c>
      <c r="C219" s="85">
        <f>其他表格!G35*基本公式!$B$4*基本公式!$B$129</f>
        <v>8.0524892551556277</v>
      </c>
      <c r="D219" s="86">
        <f t="shared" si="38"/>
        <v>14259</v>
      </c>
      <c r="E219" s="85">
        <f t="shared" si="39"/>
        <v>3.9607011103846874</v>
      </c>
      <c r="F219" s="85">
        <f t="shared" si="40"/>
        <v>0.16502921293269532</v>
      </c>
    </row>
    <row r="220" spans="1:6">
      <c r="A220" s="7">
        <v>9</v>
      </c>
      <c r="B220" s="86">
        <f>ROUND(H31*基本公式!$B$171,0)</f>
        <v>7397</v>
      </c>
      <c r="C220" s="85">
        <f>其他表格!G36*基本公式!$B$4*基本公式!$B$129</f>
        <v>13.798635198553095</v>
      </c>
      <c r="D220" s="86">
        <f t="shared" si="38"/>
        <v>20686</v>
      </c>
      <c r="E220" s="85">
        <f t="shared" si="39"/>
        <v>5.7461459433974671</v>
      </c>
      <c r="F220" s="85">
        <f t="shared" si="40"/>
        <v>0.23942274764156113</v>
      </c>
    </row>
    <row r="221" spans="1:6">
      <c r="A221" s="7">
        <v>10</v>
      </c>
      <c r="B221" s="86">
        <f>ROUND(H32*基本公式!$B$171,0)</f>
        <v>11249</v>
      </c>
      <c r="C221" s="85">
        <f>其他表格!G37*基本公式!$B$4*基本公式!$B$129</f>
        <v>22.824810102869783</v>
      </c>
      <c r="D221" s="86">
        <f t="shared" si="38"/>
        <v>32494</v>
      </c>
      <c r="E221" s="85">
        <f t="shared" si="39"/>
        <v>9.0261749043166883</v>
      </c>
      <c r="F221" s="85">
        <f t="shared" si="40"/>
        <v>0.37609062101319535</v>
      </c>
    </row>
    <row r="222" spans="1:6">
      <c r="A222" s="7">
        <v>11</v>
      </c>
      <c r="B222" s="86">
        <f>ROUND(H33*基本公式!$B$171,0)</f>
        <v>16370</v>
      </c>
      <c r="C222" s="85">
        <f>其他表格!G38*基本公式!$B$4*基本公式!$B$129</f>
        <v>39.315462378148908</v>
      </c>
      <c r="D222" s="86">
        <f t="shared" si="38"/>
        <v>59366</v>
      </c>
      <c r="E222" s="85">
        <f t="shared" si="39"/>
        <v>16.490652275279125</v>
      </c>
      <c r="F222" s="85">
        <f t="shared" si="40"/>
        <v>0.68711051146996349</v>
      </c>
    </row>
    <row r="223" spans="1:6">
      <c r="A223" s="7">
        <v>12</v>
      </c>
      <c r="B223" s="86">
        <f>ROUND(H34*基本公式!$B$171,0)</f>
        <v>29408</v>
      </c>
      <c r="C223" s="85">
        <f>其他表格!G39*基本公式!$B$4*基本公式!$B$129</f>
        <v>62.07704586023511</v>
      </c>
      <c r="D223" s="86">
        <f t="shared" si="38"/>
        <v>81942</v>
      </c>
      <c r="E223" s="85">
        <f t="shared" si="39"/>
        <v>22.761583482086202</v>
      </c>
      <c r="F223" s="85">
        <f t="shared" si="40"/>
        <v>0.94839931175359171</v>
      </c>
    </row>
    <row r="224" spans="1:6">
      <c r="A224" s="7">
        <v>13</v>
      </c>
      <c r="B224" s="86">
        <f>ROUND(H35*基本公式!$B$171,0)</f>
        <v>40238</v>
      </c>
      <c r="C224" s="85">
        <f>其他表格!G40*基本公式!$B$4*基本公式!$B$129</f>
        <v>96.8063093337</v>
      </c>
      <c r="D224" s="86">
        <f t="shared" si="38"/>
        <v>125025</v>
      </c>
      <c r="E224" s="85">
        <f t="shared" si="39"/>
        <v>34.72926347346489</v>
      </c>
      <c r="F224" s="85">
        <f t="shared" si="40"/>
        <v>1.4470526447277037</v>
      </c>
    </row>
    <row r="225" spans="1:6">
      <c r="A225" s="7">
        <v>14</v>
      </c>
      <c r="B225" s="86">
        <f>ROUND(H36*基本公式!$B$171,0)</f>
        <v>49697</v>
      </c>
      <c r="C225" s="85">
        <f>其他表格!G41*基本公式!$B$4*基本公式!$B$129</f>
        <v>142.66192954439998</v>
      </c>
      <c r="D225" s="86">
        <f t="shared" si="38"/>
        <v>165080</v>
      </c>
      <c r="E225" s="85">
        <f t="shared" si="39"/>
        <v>45.855620210699982</v>
      </c>
      <c r="F225" s="85">
        <f t="shared" si="40"/>
        <v>1.9106508421124992</v>
      </c>
    </row>
    <row r="226" spans="1:6">
      <c r="A226" s="7">
        <v>15</v>
      </c>
      <c r="B226" s="86">
        <f>ROUND(H37*基本公式!$B$171,0)</f>
        <v>60336</v>
      </c>
      <c r="C226" s="85">
        <f>其他表格!G42*基本公式!$B$4*基本公式!$B$129</f>
        <v>201.12114127499999</v>
      </c>
      <c r="D226" s="86">
        <f t="shared" si="38"/>
        <v>210453</v>
      </c>
      <c r="E226" s="85">
        <f t="shared" si="39"/>
        <v>58.459211730600003</v>
      </c>
      <c r="F226" s="85">
        <f t="shared" si="40"/>
        <v>2.435800488775</v>
      </c>
    </row>
    <row r="227" spans="1:6">
      <c r="A227" s="7">
        <v>16</v>
      </c>
      <c r="B227" s="86">
        <f>ROUND(H38*基本公式!$B$171,0)</f>
        <v>70712</v>
      </c>
      <c r="C227" s="85">
        <f>其他表格!G43*基本公式!$B$4*基本公式!$B$129</f>
        <v>273.80702742</v>
      </c>
      <c r="D227" s="86">
        <f t="shared" si="38"/>
        <v>261669</v>
      </c>
      <c r="E227" s="85">
        <f t="shared" si="39"/>
        <v>72.685886145000012</v>
      </c>
      <c r="F227" s="85">
        <f t="shared" si="40"/>
        <v>3.0285785893750004</v>
      </c>
    </row>
    <row r="228" spans="1:6">
      <c r="A228" s="7">
        <v>17</v>
      </c>
      <c r="B228" s="86">
        <f>ROUND(H39*基本公式!$B$171,0)</f>
        <v>81848</v>
      </c>
      <c r="C228" s="85">
        <f>其他表格!G44*基本公式!$B$4*基本公式!$B$129</f>
        <v>362.50089359999998</v>
      </c>
      <c r="D228" s="86">
        <f t="shared" si="38"/>
        <v>319298</v>
      </c>
      <c r="E228" s="85">
        <f t="shared" si="39"/>
        <v>88.693866179999986</v>
      </c>
      <c r="F228" s="85">
        <f t="shared" si="40"/>
        <v>3.6955777574999993</v>
      </c>
    </row>
    <row r="229" spans="1:6">
      <c r="A229" s="7">
        <v>18</v>
      </c>
      <c r="B229" s="86">
        <f>ROUND(H40*基本公式!$B$171,0)</f>
        <v>94038</v>
      </c>
      <c r="C229" s="85">
        <f>其他表格!G45*基本公式!$B$4*基本公式!$B$129</f>
        <v>469.15559999999994</v>
      </c>
      <c r="D229" s="86">
        <f t="shared" si="38"/>
        <v>383957</v>
      </c>
      <c r="E229" s="85">
        <f t="shared" si="39"/>
        <v>106.65470639999995</v>
      </c>
      <c r="F229" s="85">
        <f t="shared" si="40"/>
        <v>4.443946099999998</v>
      </c>
    </row>
    <row r="230" spans="1:6">
      <c r="A230" s="7">
        <v>19</v>
      </c>
      <c r="B230" s="86">
        <f>ROUND(H41*基本公式!$B$171,0)</f>
        <v>106910</v>
      </c>
      <c r="C230" s="85">
        <f>其他表格!G46*基本公式!$B$4*基本公式!$B$129</f>
        <v>595.90991999999983</v>
      </c>
      <c r="D230" s="86">
        <f t="shared" si="38"/>
        <v>456316</v>
      </c>
      <c r="E230" s="85">
        <f t="shared" si="39"/>
        <v>126.75431999999989</v>
      </c>
      <c r="F230" s="85">
        <f t="shared" si="40"/>
        <v>5.2814299999999959</v>
      </c>
    </row>
    <row r="231" spans="1:6">
      <c r="A231" s="7">
        <v>20</v>
      </c>
      <c r="B231" s="86">
        <f>ROUND(H42*基本公式!$B$171,0)</f>
        <v>125775</v>
      </c>
      <c r="C231" s="85">
        <f>其他表格!G47*基本公式!$B$4*基本公式!$B$129</f>
        <v>745.10399999999993</v>
      </c>
      <c r="D231" s="86">
        <f t="shared" si="38"/>
        <v>537099</v>
      </c>
      <c r="E231" s="85">
        <f t="shared" si="39"/>
        <v>149.1940800000001</v>
      </c>
      <c r="F231" s="85">
        <f>E231/24</f>
        <v>6.2164200000000038</v>
      </c>
    </row>
    <row r="232" spans="1:6" s="48" customFormat="1" ht="27">
      <c r="A232" s="48" t="s">
        <v>156</v>
      </c>
      <c r="B232" s="49" t="s">
        <v>485</v>
      </c>
      <c r="C232" s="84" t="s">
        <v>470</v>
      </c>
      <c r="D232" s="49" t="s">
        <v>445</v>
      </c>
      <c r="E232" s="84" t="s">
        <v>464</v>
      </c>
      <c r="F232" s="84" t="s">
        <v>468</v>
      </c>
    </row>
    <row r="233" spans="1:6">
      <c r="A233" s="7">
        <v>1</v>
      </c>
      <c r="B233" s="86">
        <f>ROUND(H23*基本公式!$B$173,0)</f>
        <v>360</v>
      </c>
      <c r="C233" s="85">
        <f>其他表格!G28*基本公式!$B$4*基本公式!$B$131</f>
        <v>5.8725165814787691E-3</v>
      </c>
      <c r="D233" s="86">
        <f>ROUND(E233*3600,0)</f>
        <v>21</v>
      </c>
      <c r="E233" s="85">
        <f>C233</f>
        <v>5.8725165814787691E-3</v>
      </c>
      <c r="F233" s="85">
        <f>E233/24</f>
        <v>2.4468819089494873E-4</v>
      </c>
    </row>
    <row r="234" spans="1:6">
      <c r="A234" s="7">
        <v>2</v>
      </c>
      <c r="B234" s="86">
        <f>ROUND(H24*基本公式!$B$173,0)</f>
        <v>698</v>
      </c>
      <c r="C234" s="85">
        <f>其他表格!G29*基本公式!$B$4*基本公式!$B$131</f>
        <v>5.1621972826830072E-2</v>
      </c>
      <c r="D234" s="86">
        <f t="shared" ref="D234:D252" si="41">ROUND(E234*3600,0)</f>
        <v>165</v>
      </c>
      <c r="E234" s="85">
        <f t="shared" ref="E234:E252" si="42">C234-C233</f>
        <v>4.5749456245351303E-2</v>
      </c>
      <c r="F234" s="85">
        <f t="shared" ref="F234:F251" si="43">E234/24</f>
        <v>1.9062273435563042E-3</v>
      </c>
    </row>
    <row r="235" spans="1:6">
      <c r="A235" s="7">
        <v>3</v>
      </c>
      <c r="B235" s="86">
        <f>ROUND(H25*基本公式!$B$173,0)</f>
        <v>1035</v>
      </c>
      <c r="C235" s="85">
        <f>其他表格!G30*基本公式!$B$4*基本公式!$B$131</f>
        <v>0.21735567506033718</v>
      </c>
      <c r="D235" s="86">
        <f t="shared" si="41"/>
        <v>597</v>
      </c>
      <c r="E235" s="85">
        <f t="shared" si="42"/>
        <v>0.16573370223350711</v>
      </c>
      <c r="F235" s="85">
        <f t="shared" si="43"/>
        <v>6.9055709263961297E-3</v>
      </c>
    </row>
    <row r="236" spans="1:6">
      <c r="A236" s="7">
        <v>4</v>
      </c>
      <c r="B236" s="86">
        <f>ROUND(H26*基本公式!$B$173,0)</f>
        <v>1710</v>
      </c>
      <c r="C236" s="85">
        <f>其他表格!G31*基本公式!$B$4*基本公式!$B$131</f>
        <v>0.51478975672185112</v>
      </c>
      <c r="D236" s="86">
        <f t="shared" si="41"/>
        <v>1071</v>
      </c>
      <c r="E236" s="85">
        <f t="shared" si="42"/>
        <v>0.29743408166151397</v>
      </c>
      <c r="F236" s="85">
        <f t="shared" si="43"/>
        <v>1.2393086735896416E-2</v>
      </c>
    </row>
    <row r="237" spans="1:6">
      <c r="A237" s="7">
        <v>5</v>
      </c>
      <c r="B237" s="86">
        <f>ROUND(H27*基本公式!$B$173,0)</f>
        <v>2843</v>
      </c>
      <c r="C237" s="85">
        <f>其他表格!G32*基本公式!$B$4*基本公式!$B$131</f>
        <v>1.0235585806165461</v>
      </c>
      <c r="D237" s="86">
        <f t="shared" si="41"/>
        <v>1832</v>
      </c>
      <c r="E237" s="85">
        <f t="shared" si="42"/>
        <v>0.50876882389469502</v>
      </c>
      <c r="F237" s="85">
        <f t="shared" si="43"/>
        <v>2.1198700995612291E-2</v>
      </c>
    </row>
    <row r="238" spans="1:6">
      <c r="A238" s="7">
        <v>6</v>
      </c>
      <c r="B238" s="86">
        <f>ROUND(H28*基本公式!$B$173,0)</f>
        <v>7238</v>
      </c>
      <c r="C238" s="85">
        <f>其他表格!G33*基本公式!$B$4*基本公式!$B$131</f>
        <v>1.7745907280039188</v>
      </c>
      <c r="D238" s="86">
        <f t="shared" si="41"/>
        <v>2704</v>
      </c>
      <c r="E238" s="85">
        <f t="shared" si="42"/>
        <v>0.75103214738737267</v>
      </c>
      <c r="F238" s="85">
        <f t="shared" si="43"/>
        <v>3.1293006141140528E-2</v>
      </c>
    </row>
    <row r="239" spans="1:6">
      <c r="A239" s="7">
        <v>7</v>
      </c>
      <c r="B239" s="86">
        <f>ROUND(H29*基本公式!$B$173,0)</f>
        <v>14258</v>
      </c>
      <c r="C239" s="85">
        <f>其他表格!G34*基本公式!$B$4*基本公式!$B$131</f>
        <v>3.068841108578205</v>
      </c>
      <c r="D239" s="86">
        <f t="shared" si="41"/>
        <v>4659</v>
      </c>
      <c r="E239" s="85">
        <f t="shared" si="42"/>
        <v>1.2942503805742862</v>
      </c>
      <c r="F239" s="85">
        <f t="shared" si="43"/>
        <v>5.3927099190595261E-2</v>
      </c>
    </row>
    <row r="240" spans="1:6">
      <c r="A240" s="7">
        <v>8</v>
      </c>
      <c r="B240" s="86">
        <f>ROUND(H30*基本公式!$B$173,0)</f>
        <v>25635</v>
      </c>
      <c r="C240" s="85">
        <f>其他表格!G35*基本公式!$B$4*基本公式!$B$131</f>
        <v>6.0393669413667208</v>
      </c>
      <c r="D240" s="86">
        <f t="shared" si="41"/>
        <v>10694</v>
      </c>
      <c r="E240" s="85">
        <f t="shared" si="42"/>
        <v>2.9705258327885158</v>
      </c>
      <c r="F240" s="85">
        <f t="shared" si="43"/>
        <v>0.1237719096995215</v>
      </c>
    </row>
    <row r="241" spans="1:6">
      <c r="A241" s="7">
        <v>9</v>
      </c>
      <c r="B241" s="86">
        <f>ROUND(H31*基本公式!$B$173,0)</f>
        <v>36983</v>
      </c>
      <c r="C241" s="85">
        <f>其他表格!G36*基本公式!$B$4*基本公式!$B$131</f>
        <v>10.348976398914822</v>
      </c>
      <c r="D241" s="86">
        <f t="shared" si="41"/>
        <v>15515</v>
      </c>
      <c r="E241" s="85">
        <f t="shared" si="42"/>
        <v>4.3096094575481008</v>
      </c>
      <c r="F241" s="85">
        <f t="shared" si="43"/>
        <v>0.17956706073117087</v>
      </c>
    </row>
    <row r="242" spans="1:6">
      <c r="A242" s="7">
        <v>10</v>
      </c>
      <c r="B242" s="86">
        <f>ROUND(H32*基本公式!$B$173,0)</f>
        <v>56243</v>
      </c>
      <c r="C242" s="85">
        <f>其他表格!G37*基本公式!$B$4*基本公式!$B$131</f>
        <v>17.118607577152336</v>
      </c>
      <c r="D242" s="86">
        <f t="shared" si="41"/>
        <v>24371</v>
      </c>
      <c r="E242" s="85">
        <f t="shared" si="42"/>
        <v>6.769631178237514</v>
      </c>
      <c r="F242" s="85">
        <f t="shared" si="43"/>
        <v>0.2820679657598964</v>
      </c>
    </row>
    <row r="243" spans="1:6">
      <c r="A243" s="7">
        <v>11</v>
      </c>
      <c r="B243" s="86">
        <f>ROUND(H33*基本公式!$B$173,0)</f>
        <v>81848</v>
      </c>
      <c r="C243" s="85">
        <f>其他表格!G38*基本公式!$B$4*基本公式!$B$131</f>
        <v>29.486596783611681</v>
      </c>
      <c r="D243" s="86">
        <f t="shared" si="41"/>
        <v>44525</v>
      </c>
      <c r="E243" s="85">
        <f t="shared" si="42"/>
        <v>12.367989206459345</v>
      </c>
      <c r="F243" s="85">
        <f t="shared" si="43"/>
        <v>0.51533288360247276</v>
      </c>
    </row>
    <row r="244" spans="1:6">
      <c r="A244" s="7">
        <v>12</v>
      </c>
      <c r="B244" s="86">
        <f>ROUND(H34*基本公式!$B$173,0)</f>
        <v>147038</v>
      </c>
      <c r="C244" s="85">
        <f>其他表格!G39*基本公式!$B$4*基本公式!$B$131</f>
        <v>46.557784395176334</v>
      </c>
      <c r="D244" s="86">
        <f t="shared" si="41"/>
        <v>61456</v>
      </c>
      <c r="E244" s="85">
        <f t="shared" si="42"/>
        <v>17.071187611564653</v>
      </c>
      <c r="F244" s="85">
        <f t="shared" si="43"/>
        <v>0.71129948381519392</v>
      </c>
    </row>
    <row r="245" spans="1:6">
      <c r="A245" s="7">
        <v>13</v>
      </c>
      <c r="B245" s="86">
        <f>ROUND(H35*基本公式!$B$173,0)</f>
        <v>201188</v>
      </c>
      <c r="C245" s="85">
        <f>其他表格!G40*基本公式!$B$4*基本公式!$B$131</f>
        <v>72.604732000274993</v>
      </c>
      <c r="D245" s="86">
        <f t="shared" si="41"/>
        <v>93769</v>
      </c>
      <c r="E245" s="85">
        <f t="shared" si="42"/>
        <v>26.046947605098659</v>
      </c>
      <c r="F245" s="85">
        <f t="shared" si="43"/>
        <v>1.0852894835457774</v>
      </c>
    </row>
    <row r="246" spans="1:6">
      <c r="A246" s="7">
        <v>14</v>
      </c>
      <c r="B246" s="86">
        <f>ROUND(H36*基本公式!$B$173,0)</f>
        <v>248483</v>
      </c>
      <c r="C246" s="85">
        <f>其他表格!G41*基本公式!$B$4*基本公式!$B$131</f>
        <v>106.99644715829999</v>
      </c>
      <c r="D246" s="86">
        <f t="shared" si="41"/>
        <v>123810</v>
      </c>
      <c r="E246" s="85">
        <f t="shared" si="42"/>
        <v>34.391715158024994</v>
      </c>
      <c r="F246" s="85">
        <f t="shared" si="43"/>
        <v>1.4329881315843747</v>
      </c>
    </row>
    <row r="247" spans="1:6">
      <c r="A247" s="7">
        <v>15</v>
      </c>
      <c r="B247" s="86">
        <f>ROUND(H37*基本公式!$B$173,0)</f>
        <v>301680</v>
      </c>
      <c r="C247" s="85">
        <f>其他表格!G42*基本公式!$B$4*基本公式!$B$131</f>
        <v>150.84085595624998</v>
      </c>
      <c r="D247" s="86">
        <f t="shared" si="41"/>
        <v>157840</v>
      </c>
      <c r="E247" s="85">
        <f t="shared" si="42"/>
        <v>43.844408797949995</v>
      </c>
      <c r="F247" s="85">
        <f t="shared" si="43"/>
        <v>1.8268503665812499</v>
      </c>
    </row>
    <row r="248" spans="1:6">
      <c r="A248" s="7">
        <v>16</v>
      </c>
      <c r="B248" s="86">
        <f>ROUND(H38*基本公式!$B$173,0)</f>
        <v>353558</v>
      </c>
      <c r="C248" s="85">
        <f>其他表格!G43*基本公式!$B$4*基本公式!$B$131</f>
        <v>205.35527056499998</v>
      </c>
      <c r="D248" s="86">
        <f t="shared" si="41"/>
        <v>196252</v>
      </c>
      <c r="E248" s="85">
        <f t="shared" si="42"/>
        <v>54.514414608750002</v>
      </c>
      <c r="F248" s="85">
        <f t="shared" si="43"/>
        <v>2.2714339420312499</v>
      </c>
    </row>
    <row r="249" spans="1:6">
      <c r="A249" s="7">
        <v>17</v>
      </c>
      <c r="B249" s="86">
        <f>ROUND(H39*基本公式!$B$173,0)</f>
        <v>409238</v>
      </c>
      <c r="C249" s="85">
        <f>其他表格!G44*基本公式!$B$4*基本公式!$B$131</f>
        <v>271.8756702</v>
      </c>
      <c r="D249" s="86">
        <f t="shared" si="41"/>
        <v>239473</v>
      </c>
      <c r="E249" s="85">
        <f t="shared" si="42"/>
        <v>66.520399635000018</v>
      </c>
      <c r="F249" s="85">
        <f t="shared" si="43"/>
        <v>2.7716833181250009</v>
      </c>
    </row>
    <row r="250" spans="1:6">
      <c r="A250" s="7">
        <v>18</v>
      </c>
      <c r="B250" s="86">
        <f>ROUND(H40*基本公式!$B$173,0)</f>
        <v>470190</v>
      </c>
      <c r="C250" s="85">
        <f>其他表格!G45*基本公式!$B$4*基本公式!$B$131</f>
        <v>351.86669999999992</v>
      </c>
      <c r="D250" s="86">
        <f t="shared" si="41"/>
        <v>287968</v>
      </c>
      <c r="E250" s="85">
        <f t="shared" si="42"/>
        <v>79.991029799999922</v>
      </c>
      <c r="F250" s="85">
        <f t="shared" si="43"/>
        <v>3.3329595749999967</v>
      </c>
    </row>
    <row r="251" spans="1:6">
      <c r="A251" s="7">
        <v>19</v>
      </c>
      <c r="B251" s="86">
        <f>ROUND(H41*基本公式!$B$173,0)</f>
        <v>534548</v>
      </c>
      <c r="C251" s="85">
        <f>其他表格!G46*基本公式!$B$4*基本公式!$B$131</f>
        <v>446.93243999999987</v>
      </c>
      <c r="D251" s="86">
        <f t="shared" si="41"/>
        <v>342237</v>
      </c>
      <c r="E251" s="85">
        <f t="shared" si="42"/>
        <v>95.065739999999948</v>
      </c>
      <c r="F251" s="85">
        <f t="shared" si="43"/>
        <v>3.961072499999998</v>
      </c>
    </row>
    <row r="252" spans="1:6">
      <c r="A252" s="7">
        <v>20</v>
      </c>
      <c r="B252" s="86">
        <f>ROUND(H42*基本公式!$B$173,0)</f>
        <v>628875</v>
      </c>
      <c r="C252" s="85">
        <f>其他表格!G47*基本公式!$B$4*基本公式!$B$131</f>
        <v>558.82799999999997</v>
      </c>
      <c r="D252" s="86">
        <f t="shared" si="41"/>
        <v>402824</v>
      </c>
      <c r="E252" s="85">
        <f t="shared" si="42"/>
        <v>111.8955600000001</v>
      </c>
      <c r="F252" s="85">
        <f>E252/24</f>
        <v>4.662315000000004</v>
      </c>
    </row>
    <row r="253" spans="1:6" s="48" customFormat="1" ht="27">
      <c r="A253" s="48" t="s">
        <v>158</v>
      </c>
      <c r="B253" s="49" t="s">
        <v>485</v>
      </c>
      <c r="C253" s="84" t="s">
        <v>470</v>
      </c>
      <c r="D253" s="49" t="s">
        <v>445</v>
      </c>
      <c r="E253" s="84" t="s">
        <v>464</v>
      </c>
      <c r="F253" s="84" t="s">
        <v>468</v>
      </c>
    </row>
    <row r="254" spans="1:6">
      <c r="A254" s="7">
        <v>1</v>
      </c>
      <c r="B254" s="86">
        <f>ROUND(H23*基本公式!$B$174,0)</f>
        <v>408</v>
      </c>
      <c r="C254" s="85">
        <f>其他表格!G28*基本公式!$B$4*基本公式!$B$132</f>
        <v>6.8512693450585652E-3</v>
      </c>
      <c r="D254" s="86">
        <f>ROUND(E254*3600,0)</f>
        <v>25</v>
      </c>
      <c r="E254" s="85">
        <f>C254</f>
        <v>6.8512693450585652E-3</v>
      </c>
      <c r="F254" s="85">
        <f>E254/24</f>
        <v>2.8546955604410686E-4</v>
      </c>
    </row>
    <row r="255" spans="1:6">
      <c r="A255" s="7">
        <v>2</v>
      </c>
      <c r="B255" s="86">
        <f>ROUND(H24*基本公式!$B$174,0)</f>
        <v>791</v>
      </c>
      <c r="C255" s="85">
        <f>其他表格!G29*基本公式!$B$4*基本公式!$B$132</f>
        <v>6.0225634964635094E-2</v>
      </c>
      <c r="D255" s="86">
        <f t="shared" ref="D255:D273" si="44">ROUND(E255*3600,0)</f>
        <v>192</v>
      </c>
      <c r="E255" s="85">
        <f t="shared" ref="E255:E273" si="45">C255-C254</f>
        <v>5.3374365619576529E-2</v>
      </c>
      <c r="F255" s="85">
        <f t="shared" ref="F255:F272" si="46">E255/24</f>
        <v>2.2239319008156887E-3</v>
      </c>
    </row>
    <row r="256" spans="1:6">
      <c r="A256" s="7">
        <v>3</v>
      </c>
      <c r="B256" s="86">
        <f>ROUND(H25*基本公式!$B$174,0)</f>
        <v>1173</v>
      </c>
      <c r="C256" s="85">
        <f>其他表格!G30*基本公式!$B$4*基本公式!$B$132</f>
        <v>0.25358162090372677</v>
      </c>
      <c r="D256" s="86">
        <f t="shared" si="44"/>
        <v>696</v>
      </c>
      <c r="E256" s="85">
        <f t="shared" si="45"/>
        <v>0.19335598593909167</v>
      </c>
      <c r="F256" s="85">
        <f t="shared" si="46"/>
        <v>8.0564994141288197E-3</v>
      </c>
    </row>
    <row r="257" spans="1:6">
      <c r="A257" s="7">
        <v>4</v>
      </c>
      <c r="B257" s="86">
        <f>ROUND(H26*基本公式!$B$174,0)</f>
        <v>1938</v>
      </c>
      <c r="C257" s="85">
        <f>其他表格!G31*基本公式!$B$4*基本公式!$B$132</f>
        <v>0.60058804950882638</v>
      </c>
      <c r="D257" s="86">
        <f t="shared" si="44"/>
        <v>1249</v>
      </c>
      <c r="E257" s="85">
        <f t="shared" si="45"/>
        <v>0.34700642860509961</v>
      </c>
      <c r="F257" s="85">
        <f t="shared" si="46"/>
        <v>1.4458601191879151E-2</v>
      </c>
    </row>
    <row r="258" spans="1:6">
      <c r="A258" s="7">
        <v>5</v>
      </c>
      <c r="B258" s="86">
        <f>ROUND(H27*基本公式!$B$174,0)</f>
        <v>3222</v>
      </c>
      <c r="C258" s="85">
        <f>其他表格!G32*基本公式!$B$4*基本公式!$B$132</f>
        <v>1.1941516773859706</v>
      </c>
      <c r="D258" s="86">
        <f t="shared" si="44"/>
        <v>2137</v>
      </c>
      <c r="E258" s="85">
        <f t="shared" si="45"/>
        <v>0.59356362787714423</v>
      </c>
      <c r="F258" s="85">
        <f t="shared" si="46"/>
        <v>2.4731817828214344E-2</v>
      </c>
    </row>
    <row r="259" spans="1:6">
      <c r="A259" s="7">
        <v>6</v>
      </c>
      <c r="B259" s="86">
        <f>ROUND(H28*基本公式!$B$174,0)</f>
        <v>8203</v>
      </c>
      <c r="C259" s="85">
        <f>其他表格!G33*基本公式!$B$4*基本公式!$B$132</f>
        <v>2.0703558493379055</v>
      </c>
      <c r="D259" s="86">
        <f t="shared" si="44"/>
        <v>3154</v>
      </c>
      <c r="E259" s="85">
        <f t="shared" si="45"/>
        <v>0.8762041719519349</v>
      </c>
      <c r="F259" s="85">
        <f t="shared" si="46"/>
        <v>3.6508507164663952E-2</v>
      </c>
    </row>
    <row r="260" spans="1:6">
      <c r="A260" s="7">
        <v>7</v>
      </c>
      <c r="B260" s="86">
        <f>ROUND(H29*基本公式!$B$174,0)</f>
        <v>16159</v>
      </c>
      <c r="C260" s="85">
        <f>其他表格!G34*基本公式!$B$4*基本公式!$B$132</f>
        <v>3.5803146266745731</v>
      </c>
      <c r="D260" s="86">
        <f t="shared" si="44"/>
        <v>5436</v>
      </c>
      <c r="E260" s="85">
        <f t="shared" si="45"/>
        <v>1.5099587773366676</v>
      </c>
      <c r="F260" s="85">
        <f t="shared" si="46"/>
        <v>6.2914949055694488E-2</v>
      </c>
    </row>
    <row r="261" spans="1:6">
      <c r="A261" s="7">
        <v>8</v>
      </c>
      <c r="B261" s="86">
        <f>ROUND(H30*基本公式!$B$174,0)</f>
        <v>29053</v>
      </c>
      <c r="C261" s="85">
        <f>其他表格!G35*基本公式!$B$4*基本公式!$B$132</f>
        <v>7.0459280982611743</v>
      </c>
      <c r="D261" s="86">
        <f t="shared" si="44"/>
        <v>12476</v>
      </c>
      <c r="E261" s="85">
        <f t="shared" si="45"/>
        <v>3.4656134715866012</v>
      </c>
      <c r="F261" s="85">
        <f t="shared" si="46"/>
        <v>0.14440056131610837</v>
      </c>
    </row>
    <row r="262" spans="1:6">
      <c r="A262" s="7">
        <v>9</v>
      </c>
      <c r="B262" s="86">
        <f>ROUND(H31*基本公式!$B$174,0)</f>
        <v>41914</v>
      </c>
      <c r="C262" s="85">
        <f>其他表格!G36*基本公式!$B$4*基本公式!$B$132</f>
        <v>12.073805798733959</v>
      </c>
      <c r="D262" s="86">
        <f t="shared" si="44"/>
        <v>18100</v>
      </c>
      <c r="E262" s="85">
        <f t="shared" si="45"/>
        <v>5.0278777004727848</v>
      </c>
      <c r="F262" s="85">
        <f t="shared" si="46"/>
        <v>0.20949490418636604</v>
      </c>
    </row>
    <row r="263" spans="1:6">
      <c r="A263" s="7">
        <v>10</v>
      </c>
      <c r="B263" s="86">
        <f>ROUND(H32*基本公式!$B$174,0)</f>
        <v>63742</v>
      </c>
      <c r="C263" s="85">
        <f>其他表格!G37*基本公式!$B$4*基本公式!$B$132</f>
        <v>19.971708840011061</v>
      </c>
      <c r="D263" s="86">
        <f t="shared" si="44"/>
        <v>28432</v>
      </c>
      <c r="E263" s="85">
        <f t="shared" si="45"/>
        <v>7.8979030412771021</v>
      </c>
      <c r="F263" s="85">
        <f t="shared" si="46"/>
        <v>0.3290792933865459</v>
      </c>
    </row>
    <row r="264" spans="1:6">
      <c r="A264" s="7">
        <v>11</v>
      </c>
      <c r="B264" s="86">
        <f>ROUND(H33*基本公式!$B$174,0)</f>
        <v>92761</v>
      </c>
      <c r="C264" s="85">
        <f>其他表格!G38*基本公式!$B$4*基本公式!$B$132</f>
        <v>34.401029580880298</v>
      </c>
      <c r="D264" s="86">
        <f t="shared" si="44"/>
        <v>51946</v>
      </c>
      <c r="E264" s="85">
        <f t="shared" si="45"/>
        <v>14.429320740869237</v>
      </c>
      <c r="F264" s="85">
        <f t="shared" si="46"/>
        <v>0.60122169753621824</v>
      </c>
    </row>
    <row r="265" spans="1:6">
      <c r="A265" s="7">
        <v>12</v>
      </c>
      <c r="B265" s="86">
        <f>ROUND(H34*基本公式!$B$174,0)</f>
        <v>166643</v>
      </c>
      <c r="C265" s="85">
        <f>其他表格!G39*基本公式!$B$4*基本公式!$B$132</f>
        <v>54.317415127705729</v>
      </c>
      <c r="D265" s="86">
        <f t="shared" si="44"/>
        <v>71699</v>
      </c>
      <c r="E265" s="85">
        <f t="shared" si="45"/>
        <v>19.916385546825431</v>
      </c>
      <c r="F265" s="85">
        <f t="shared" si="46"/>
        <v>0.82984939778439293</v>
      </c>
    </row>
    <row r="266" spans="1:6">
      <c r="A266" s="7">
        <v>13</v>
      </c>
      <c r="B266" s="86">
        <f>ROUND(H35*基本公式!$B$174,0)</f>
        <v>228013</v>
      </c>
      <c r="C266" s="85">
        <f>其他表格!G40*基本公式!$B$4*基本公式!$B$132</f>
        <v>84.705520666987496</v>
      </c>
      <c r="D266" s="86">
        <f t="shared" si="44"/>
        <v>109397</v>
      </c>
      <c r="E266" s="85">
        <f t="shared" si="45"/>
        <v>30.388105539281767</v>
      </c>
      <c r="F266" s="85">
        <f t="shared" si="46"/>
        <v>1.2661710641367403</v>
      </c>
    </row>
    <row r="267" spans="1:6">
      <c r="A267" s="7">
        <v>14</v>
      </c>
      <c r="B267" s="86">
        <f>ROUND(H36*基本公式!$B$174,0)</f>
        <v>281614</v>
      </c>
      <c r="C267" s="85">
        <f>其他表格!G41*基本公式!$B$4*基本公式!$B$132</f>
        <v>124.82918835135</v>
      </c>
      <c r="D267" s="86">
        <f t="shared" si="44"/>
        <v>144445</v>
      </c>
      <c r="E267" s="85">
        <f t="shared" si="45"/>
        <v>40.123667684362502</v>
      </c>
      <c r="F267" s="85">
        <f t="shared" si="46"/>
        <v>1.6718194868484375</v>
      </c>
    </row>
    <row r="268" spans="1:6">
      <c r="A268" s="7">
        <v>15</v>
      </c>
      <c r="B268" s="86">
        <f>ROUND(H37*基本公式!$B$174,0)</f>
        <v>341904</v>
      </c>
      <c r="C268" s="85">
        <f>其他表格!G42*基本公式!$B$4*基本公式!$B$132</f>
        <v>175.980998615625</v>
      </c>
      <c r="D268" s="86">
        <f t="shared" si="44"/>
        <v>184147</v>
      </c>
      <c r="E268" s="85">
        <f t="shared" si="45"/>
        <v>51.151810264274999</v>
      </c>
      <c r="F268" s="85">
        <f t="shared" si="46"/>
        <v>2.1313254276781248</v>
      </c>
    </row>
    <row r="269" spans="1:6">
      <c r="A269" s="7">
        <v>16</v>
      </c>
      <c r="B269" s="86">
        <f>ROUND(H38*基本公式!$B$174,0)</f>
        <v>400699</v>
      </c>
      <c r="C269" s="85">
        <f>其他表格!G43*基本公式!$B$4*基本公式!$B$132</f>
        <v>239.5811489925</v>
      </c>
      <c r="D269" s="86">
        <f t="shared" si="44"/>
        <v>228961</v>
      </c>
      <c r="E269" s="85">
        <f t="shared" si="45"/>
        <v>63.600150376875007</v>
      </c>
      <c r="F269" s="85">
        <f t="shared" si="46"/>
        <v>2.6500062657031251</v>
      </c>
    </row>
    <row r="270" spans="1:6">
      <c r="A270" s="7">
        <v>17</v>
      </c>
      <c r="B270" s="86">
        <f>ROUND(H39*基本公式!$B$174,0)</f>
        <v>463803</v>
      </c>
      <c r="C270" s="85">
        <f>其他表格!G44*基本公式!$B$4*基本公式!$B$132</f>
        <v>317.18828189999999</v>
      </c>
      <c r="D270" s="86">
        <f t="shared" si="44"/>
        <v>279386</v>
      </c>
      <c r="E270" s="85">
        <f t="shared" si="45"/>
        <v>77.607132907499988</v>
      </c>
      <c r="F270" s="85">
        <f t="shared" si="46"/>
        <v>3.2336305378124997</v>
      </c>
    </row>
    <row r="271" spans="1:6">
      <c r="A271" s="7">
        <v>18</v>
      </c>
      <c r="B271" s="86">
        <f>ROUND(H40*基本公式!$B$174,0)</f>
        <v>532882</v>
      </c>
      <c r="C271" s="85">
        <f>其他表格!G45*基本公式!$B$4*基本公式!$B$132</f>
        <v>410.51114999999993</v>
      </c>
      <c r="D271" s="86">
        <f t="shared" si="44"/>
        <v>335962</v>
      </c>
      <c r="E271" s="85">
        <f t="shared" si="45"/>
        <v>93.322868099999937</v>
      </c>
      <c r="F271" s="85">
        <f t="shared" si="46"/>
        <v>3.8884528374999974</v>
      </c>
    </row>
    <row r="272" spans="1:6">
      <c r="A272" s="7">
        <v>19</v>
      </c>
      <c r="B272" s="86">
        <f>ROUND(H41*基本公式!$B$174,0)</f>
        <v>605821</v>
      </c>
      <c r="C272" s="85">
        <f>其他表格!G46*基本公式!$B$4*基本公式!$B$132</f>
        <v>521.42117999999994</v>
      </c>
      <c r="D272" s="86">
        <f t="shared" si="44"/>
        <v>399276</v>
      </c>
      <c r="E272" s="85">
        <f t="shared" si="45"/>
        <v>110.91003000000001</v>
      </c>
      <c r="F272" s="85">
        <f t="shared" si="46"/>
        <v>4.6212512500000003</v>
      </c>
    </row>
    <row r="273" spans="1:6">
      <c r="A273" s="7">
        <v>20</v>
      </c>
      <c r="B273" s="86">
        <f>ROUND(H42*基本公式!$B$174,0)</f>
        <v>712725</v>
      </c>
      <c r="C273" s="85">
        <f>其他表格!G47*基本公式!$B$4*基本公式!$B$132</f>
        <v>651.96600000000001</v>
      </c>
      <c r="D273" s="86">
        <f t="shared" si="44"/>
        <v>469961</v>
      </c>
      <c r="E273" s="85">
        <f t="shared" si="45"/>
        <v>130.54482000000007</v>
      </c>
      <c r="F273" s="85">
        <f>E273/24</f>
        <v>5.439367500000003</v>
      </c>
    </row>
    <row r="274" spans="1:6" s="48" customFormat="1" ht="27">
      <c r="A274" s="48" t="s">
        <v>157</v>
      </c>
      <c r="B274" s="49" t="s">
        <v>485</v>
      </c>
      <c r="C274" s="84" t="s">
        <v>470</v>
      </c>
      <c r="D274" s="49" t="s">
        <v>445</v>
      </c>
      <c r="E274" s="84" t="s">
        <v>464</v>
      </c>
      <c r="F274" s="84" t="s">
        <v>468</v>
      </c>
    </row>
    <row r="275" spans="1:6">
      <c r="A275" s="7">
        <v>1</v>
      </c>
      <c r="B275" s="86">
        <f>ROUND(H23*基本公式!$B$175,0)</f>
        <v>480</v>
      </c>
      <c r="C275" s="85">
        <f>其他表格!G28*基本公式!$B$4*基本公式!$B$133</f>
        <v>7.8300221086383594E-3</v>
      </c>
      <c r="D275" s="86">
        <f>ROUND(E275*3600,0)</f>
        <v>28</v>
      </c>
      <c r="E275" s="85">
        <f>C275</f>
        <v>7.8300221086383594E-3</v>
      </c>
      <c r="F275" s="85">
        <f>E275/24</f>
        <v>3.2625092119326499E-4</v>
      </c>
    </row>
    <row r="276" spans="1:6">
      <c r="A276" s="7">
        <v>2</v>
      </c>
      <c r="B276" s="86">
        <f>ROUND(H24*基本公式!$B$175,0)</f>
        <v>930</v>
      </c>
      <c r="C276" s="85">
        <f>其他表格!G29*基本公式!$B$4*基本公式!$B$133</f>
        <v>6.882929710244011E-2</v>
      </c>
      <c r="D276" s="86">
        <f t="shared" ref="D276:D294" si="47">ROUND(E276*3600,0)</f>
        <v>220</v>
      </c>
      <c r="E276" s="85">
        <f t="shared" ref="E276:E294" si="48">C276-C275</f>
        <v>6.0999274993801748E-2</v>
      </c>
      <c r="F276" s="85">
        <f t="shared" ref="F276:F293" si="49">E276/24</f>
        <v>2.541636458075073E-3</v>
      </c>
    </row>
    <row r="277" spans="1:6">
      <c r="A277" s="7">
        <v>3</v>
      </c>
      <c r="B277" s="86">
        <f>ROUND(H25*基本公式!$B$175,0)</f>
        <v>1380</v>
      </c>
      <c r="C277" s="85">
        <f>其他表格!G30*基本公式!$B$4*基本公式!$B$133</f>
        <v>0.28980756674711627</v>
      </c>
      <c r="D277" s="86">
        <f t="shared" si="47"/>
        <v>796</v>
      </c>
      <c r="E277" s="85">
        <f t="shared" si="48"/>
        <v>0.22097826964467615</v>
      </c>
      <c r="F277" s="85">
        <f t="shared" si="49"/>
        <v>9.2074279018615063E-3</v>
      </c>
    </row>
    <row r="278" spans="1:6">
      <c r="A278" s="7">
        <v>4</v>
      </c>
      <c r="B278" s="86">
        <f>ROUND(H26*基本公式!$B$175,0)</f>
        <v>2280</v>
      </c>
      <c r="C278" s="85">
        <f>其他表格!G31*基本公式!$B$4*基本公式!$B$133</f>
        <v>0.68638634229580153</v>
      </c>
      <c r="D278" s="86">
        <f t="shared" si="47"/>
        <v>1428</v>
      </c>
      <c r="E278" s="85">
        <f t="shared" si="48"/>
        <v>0.39657877554868526</v>
      </c>
      <c r="F278" s="85">
        <f t="shared" si="49"/>
        <v>1.6524115647861885E-2</v>
      </c>
    </row>
    <row r="279" spans="1:6">
      <c r="A279" s="7">
        <v>5</v>
      </c>
      <c r="B279" s="86">
        <f>ROUND(H27*基本公式!$B$175,0)</f>
        <v>3790</v>
      </c>
      <c r="C279" s="85">
        <f>其他表格!G32*基本公式!$B$4*基本公式!$B$133</f>
        <v>1.3647447741553951</v>
      </c>
      <c r="D279" s="86">
        <f t="shared" si="47"/>
        <v>2442</v>
      </c>
      <c r="E279" s="85">
        <f t="shared" si="48"/>
        <v>0.67835843185959355</v>
      </c>
      <c r="F279" s="85">
        <f t="shared" si="49"/>
        <v>2.8264934660816397E-2</v>
      </c>
    </row>
    <row r="280" spans="1:6">
      <c r="A280" s="7">
        <v>6</v>
      </c>
      <c r="B280" s="86">
        <f>ROUND(H28*基本公式!$B$175,0)</f>
        <v>9650</v>
      </c>
      <c r="C280" s="85">
        <f>其他表格!G33*基本公式!$B$4*基本公式!$B$133</f>
        <v>2.3661209706718918</v>
      </c>
      <c r="D280" s="86">
        <f t="shared" si="47"/>
        <v>3605</v>
      </c>
      <c r="E280" s="85">
        <f t="shared" si="48"/>
        <v>1.0013761965164967</v>
      </c>
      <c r="F280" s="85">
        <f t="shared" si="49"/>
        <v>4.1724008188187361E-2</v>
      </c>
    </row>
    <row r="281" spans="1:6">
      <c r="A281" s="7">
        <v>7</v>
      </c>
      <c r="B281" s="86">
        <f>ROUND(H29*基本公式!$B$175,0)</f>
        <v>19010</v>
      </c>
      <c r="C281" s="85">
        <f>其他表格!G34*基本公式!$B$4*基本公式!$B$133</f>
        <v>4.0917881447709403</v>
      </c>
      <c r="D281" s="86">
        <f t="shared" si="47"/>
        <v>6212</v>
      </c>
      <c r="E281" s="85">
        <f t="shared" si="48"/>
        <v>1.7256671740990486</v>
      </c>
      <c r="F281" s="85">
        <f t="shared" si="49"/>
        <v>7.1902798920793695E-2</v>
      </c>
    </row>
    <row r="282" spans="1:6">
      <c r="A282" s="7">
        <v>8</v>
      </c>
      <c r="B282" s="86">
        <f>ROUND(H30*基本公式!$B$175,0)</f>
        <v>34180</v>
      </c>
      <c r="C282" s="85">
        <f>其他表格!G35*基本公式!$B$4*基本公式!$B$133</f>
        <v>8.0524892551556277</v>
      </c>
      <c r="D282" s="86">
        <f t="shared" si="47"/>
        <v>14259</v>
      </c>
      <c r="E282" s="85">
        <f t="shared" si="48"/>
        <v>3.9607011103846874</v>
      </c>
      <c r="F282" s="85">
        <f t="shared" si="49"/>
        <v>0.16502921293269532</v>
      </c>
    </row>
    <row r="283" spans="1:6">
      <c r="A283" s="7">
        <v>9</v>
      </c>
      <c r="B283" s="86">
        <f>ROUND(H31*基本公式!$B$175,0)</f>
        <v>49310</v>
      </c>
      <c r="C283" s="85">
        <f>其他表格!G36*基本公式!$B$4*基本公式!$B$133</f>
        <v>13.798635198553095</v>
      </c>
      <c r="D283" s="86">
        <f t="shared" si="47"/>
        <v>20686</v>
      </c>
      <c r="E283" s="85">
        <f t="shared" si="48"/>
        <v>5.7461459433974671</v>
      </c>
      <c r="F283" s="85">
        <f t="shared" si="49"/>
        <v>0.23942274764156113</v>
      </c>
    </row>
    <row r="284" spans="1:6">
      <c r="A284" s="7">
        <v>10</v>
      </c>
      <c r="B284" s="86">
        <f>ROUND(H32*基本公式!$B$175,0)</f>
        <v>74990</v>
      </c>
      <c r="C284" s="85">
        <f>其他表格!G37*基本公式!$B$4*基本公式!$B$133</f>
        <v>22.824810102869783</v>
      </c>
      <c r="D284" s="86">
        <f t="shared" si="47"/>
        <v>32494</v>
      </c>
      <c r="E284" s="85">
        <f t="shared" si="48"/>
        <v>9.0261749043166883</v>
      </c>
      <c r="F284" s="85">
        <f t="shared" si="49"/>
        <v>0.37609062101319535</v>
      </c>
    </row>
    <row r="285" spans="1:6">
      <c r="A285" s="7">
        <v>11</v>
      </c>
      <c r="B285" s="86">
        <f>ROUND(H33*基本公式!$B$175,0)</f>
        <v>109130</v>
      </c>
      <c r="C285" s="85">
        <f>其他表格!G38*基本公式!$B$4*基本公式!$B$133</f>
        <v>39.315462378148908</v>
      </c>
      <c r="D285" s="86">
        <f t="shared" si="47"/>
        <v>59366</v>
      </c>
      <c r="E285" s="85">
        <f t="shared" si="48"/>
        <v>16.490652275279125</v>
      </c>
      <c r="F285" s="85">
        <f t="shared" si="49"/>
        <v>0.68711051146996349</v>
      </c>
    </row>
    <row r="286" spans="1:6">
      <c r="A286" s="7">
        <v>12</v>
      </c>
      <c r="B286" s="86">
        <f>ROUND(H34*基本公式!$B$175,0)</f>
        <v>196050</v>
      </c>
      <c r="C286" s="85">
        <f>其他表格!G39*基本公式!$B$4*基本公式!$B$133</f>
        <v>62.07704586023511</v>
      </c>
      <c r="D286" s="86">
        <f t="shared" si="47"/>
        <v>81942</v>
      </c>
      <c r="E286" s="85">
        <f t="shared" si="48"/>
        <v>22.761583482086202</v>
      </c>
      <c r="F286" s="85">
        <f t="shared" si="49"/>
        <v>0.94839931175359171</v>
      </c>
    </row>
    <row r="287" spans="1:6">
      <c r="A287" s="7">
        <v>13</v>
      </c>
      <c r="B287" s="86">
        <f>ROUND(H35*基本公式!$B$175,0)</f>
        <v>268250</v>
      </c>
      <c r="C287" s="85">
        <f>其他表格!G40*基本公式!$B$4*基本公式!$B$133</f>
        <v>96.8063093337</v>
      </c>
      <c r="D287" s="86">
        <f t="shared" si="47"/>
        <v>125025</v>
      </c>
      <c r="E287" s="85">
        <f t="shared" si="48"/>
        <v>34.72926347346489</v>
      </c>
      <c r="F287" s="85">
        <f t="shared" si="49"/>
        <v>1.4470526447277037</v>
      </c>
    </row>
    <row r="288" spans="1:6">
      <c r="A288" s="7">
        <v>14</v>
      </c>
      <c r="B288" s="86">
        <f>ROUND(H36*基本公式!$B$175,0)</f>
        <v>331310</v>
      </c>
      <c r="C288" s="85">
        <f>其他表格!G41*基本公式!$B$4*基本公式!$B$133</f>
        <v>142.66192954439998</v>
      </c>
      <c r="D288" s="86">
        <f t="shared" si="47"/>
        <v>165080</v>
      </c>
      <c r="E288" s="85">
        <f t="shared" si="48"/>
        <v>45.855620210699982</v>
      </c>
      <c r="F288" s="85">
        <f t="shared" si="49"/>
        <v>1.9106508421124992</v>
      </c>
    </row>
    <row r="289" spans="1:8">
      <c r="A289" s="7">
        <v>15</v>
      </c>
      <c r="B289" s="86">
        <f>ROUND(H37*基本公式!$B$175,0)</f>
        <v>402240</v>
      </c>
      <c r="C289" s="85">
        <f>其他表格!G42*基本公式!$B$4*基本公式!$B$133</f>
        <v>201.12114127499999</v>
      </c>
      <c r="D289" s="86">
        <f t="shared" si="47"/>
        <v>210453</v>
      </c>
      <c r="E289" s="85">
        <f t="shared" si="48"/>
        <v>58.459211730600003</v>
      </c>
      <c r="F289" s="85">
        <f t="shared" si="49"/>
        <v>2.435800488775</v>
      </c>
    </row>
    <row r="290" spans="1:8">
      <c r="A290" s="7">
        <v>16</v>
      </c>
      <c r="B290" s="86">
        <f>ROUND(H38*基本公式!$B$175,0)</f>
        <v>471410</v>
      </c>
      <c r="C290" s="85">
        <f>其他表格!G43*基本公式!$B$4*基本公式!$B$133</f>
        <v>273.80702742</v>
      </c>
      <c r="D290" s="86">
        <f t="shared" si="47"/>
        <v>261669</v>
      </c>
      <c r="E290" s="85">
        <f t="shared" si="48"/>
        <v>72.685886145000012</v>
      </c>
      <c r="F290" s="85">
        <f t="shared" si="49"/>
        <v>3.0285785893750004</v>
      </c>
    </row>
    <row r="291" spans="1:8">
      <c r="A291" s="7">
        <v>17</v>
      </c>
      <c r="B291" s="86">
        <f>ROUND(H39*基本公式!$B$175,0)</f>
        <v>545650</v>
      </c>
      <c r="C291" s="85">
        <f>其他表格!G44*基本公式!$B$4*基本公式!$B$133</f>
        <v>362.50089359999998</v>
      </c>
      <c r="D291" s="86">
        <f t="shared" si="47"/>
        <v>319298</v>
      </c>
      <c r="E291" s="85">
        <f t="shared" si="48"/>
        <v>88.693866179999986</v>
      </c>
      <c r="F291" s="85">
        <f t="shared" si="49"/>
        <v>3.6955777574999993</v>
      </c>
    </row>
    <row r="292" spans="1:8">
      <c r="A292" s="7">
        <v>18</v>
      </c>
      <c r="B292" s="86">
        <f>ROUND(H40*基本公式!$B$175,0)</f>
        <v>626920</v>
      </c>
      <c r="C292" s="85">
        <f>其他表格!G45*基本公式!$B$4*基本公式!$B$133</f>
        <v>469.15559999999994</v>
      </c>
      <c r="D292" s="86">
        <f t="shared" si="47"/>
        <v>383957</v>
      </c>
      <c r="E292" s="85">
        <f t="shared" si="48"/>
        <v>106.65470639999995</v>
      </c>
      <c r="F292" s="85">
        <f t="shared" si="49"/>
        <v>4.443946099999998</v>
      </c>
    </row>
    <row r="293" spans="1:8">
      <c r="A293" s="7">
        <v>19</v>
      </c>
      <c r="B293" s="86">
        <f>ROUND(H41*基本公式!$B$175,0)</f>
        <v>712730</v>
      </c>
      <c r="C293" s="85">
        <f>其他表格!G46*基本公式!$B$4*基本公式!$B$133</f>
        <v>595.90991999999983</v>
      </c>
      <c r="D293" s="86">
        <f t="shared" si="47"/>
        <v>456316</v>
      </c>
      <c r="E293" s="85">
        <f t="shared" si="48"/>
        <v>126.75431999999989</v>
      </c>
      <c r="F293" s="85">
        <f t="shared" si="49"/>
        <v>5.2814299999999959</v>
      </c>
    </row>
    <row r="294" spans="1:8">
      <c r="A294" s="7">
        <v>20</v>
      </c>
      <c r="B294" s="86">
        <f>ROUND(H42*基本公式!$B$175,0)</f>
        <v>838500</v>
      </c>
      <c r="C294" s="85">
        <f>其他表格!G47*基本公式!$B$4*基本公式!$B$133</f>
        <v>745.10399999999993</v>
      </c>
      <c r="D294" s="86">
        <f t="shared" si="47"/>
        <v>537099</v>
      </c>
      <c r="E294" s="85">
        <f t="shared" si="48"/>
        <v>149.1940800000001</v>
      </c>
      <c r="F294" s="85">
        <f>E294/24</f>
        <v>6.2164200000000038</v>
      </c>
    </row>
    <row r="295" spans="1:8" s="48" customFormat="1" ht="27">
      <c r="A295" s="48" t="s">
        <v>481</v>
      </c>
      <c r="B295" s="49" t="s">
        <v>485</v>
      </c>
      <c r="C295" s="84" t="s">
        <v>470</v>
      </c>
      <c r="D295" s="49" t="s">
        <v>445</v>
      </c>
      <c r="E295" s="84" t="s">
        <v>464</v>
      </c>
      <c r="F295" s="84" t="s">
        <v>468</v>
      </c>
      <c r="G295" s="48" t="s">
        <v>488</v>
      </c>
      <c r="H295" s="48" t="s">
        <v>489</v>
      </c>
    </row>
    <row r="296" spans="1:8">
      <c r="A296" s="7">
        <v>1</v>
      </c>
      <c r="B296" s="86">
        <f>ROUND(H23*基本公式!$B$172,0)</f>
        <v>96</v>
      </c>
      <c r="C296" s="85">
        <f>其他表格!G28*基本公式!$B$4*基本公式!$B$130</f>
        <v>1.370253869011713E-2</v>
      </c>
      <c r="D296" s="86">
        <f>ROUND(E296*3600,0)</f>
        <v>49</v>
      </c>
      <c r="E296" s="85">
        <f>C296</f>
        <v>1.370253869011713E-2</v>
      </c>
      <c r="F296" s="85">
        <f>E296/24</f>
        <v>5.7093911208821373E-4</v>
      </c>
      <c r="G296" s="1">
        <v>1</v>
      </c>
    </row>
    <row r="297" spans="1:8">
      <c r="A297" s="7">
        <v>2</v>
      </c>
      <c r="B297" s="86">
        <f>ROUND(H24*基本公式!$B$172,0)</f>
        <v>186</v>
      </c>
      <c r="C297" s="85">
        <f>其他表格!G29*基本公式!$B$4*基本公式!$B$130</f>
        <v>0.12045126992927019</v>
      </c>
      <c r="D297" s="86">
        <f t="shared" ref="D297:D315" si="50">ROUND(E297*3600,0)</f>
        <v>384</v>
      </c>
      <c r="E297" s="85">
        <f t="shared" ref="E297:E315" si="51">C297-C296</f>
        <v>0.10674873123915306</v>
      </c>
      <c r="F297" s="85">
        <f t="shared" ref="F297:F314" si="52">E297/24</f>
        <v>4.4478638016313774E-3</v>
      </c>
      <c r="G297" s="1">
        <v>2</v>
      </c>
    </row>
    <row r="298" spans="1:8">
      <c r="A298" s="7">
        <v>3</v>
      </c>
      <c r="B298" s="86">
        <f>ROUND(H25*基本公式!$B$172,0)</f>
        <v>276</v>
      </c>
      <c r="C298" s="85">
        <f>其他表格!G30*基本公式!$B$4*基本公式!$B$130</f>
        <v>0.50716324180745354</v>
      </c>
      <c r="D298" s="86">
        <f t="shared" si="50"/>
        <v>1392</v>
      </c>
      <c r="E298" s="85">
        <f t="shared" si="51"/>
        <v>0.38671197187818335</v>
      </c>
      <c r="F298" s="85">
        <f t="shared" si="52"/>
        <v>1.6112998828257639E-2</v>
      </c>
      <c r="G298" s="1">
        <v>3</v>
      </c>
    </row>
    <row r="299" spans="1:8">
      <c r="A299" s="7">
        <v>4</v>
      </c>
      <c r="B299" s="86">
        <f>ROUND(H26*基本公式!$B$172,0)</f>
        <v>456</v>
      </c>
      <c r="C299" s="85">
        <f>其他表格!G31*基本公式!$B$4*基本公式!$B$130</f>
        <v>1.2011760990176528</v>
      </c>
      <c r="D299" s="86">
        <f t="shared" si="50"/>
        <v>2498</v>
      </c>
      <c r="E299" s="85">
        <f t="shared" si="51"/>
        <v>0.69401285721019923</v>
      </c>
      <c r="F299" s="85">
        <f t="shared" si="52"/>
        <v>2.8917202383758302E-2</v>
      </c>
      <c r="G299" s="1">
        <v>4</v>
      </c>
    </row>
    <row r="300" spans="1:8">
      <c r="A300" s="7">
        <v>5</v>
      </c>
      <c r="B300" s="86">
        <f>ROUND(H27*基本公式!$B$172,0)</f>
        <v>758</v>
      </c>
      <c r="C300" s="85">
        <f>其他表格!G32*基本公式!$B$4*基本公式!$B$130</f>
        <v>2.3883033547719412</v>
      </c>
      <c r="D300" s="86">
        <f t="shared" si="50"/>
        <v>4274</v>
      </c>
      <c r="E300" s="85">
        <f t="shared" si="51"/>
        <v>1.1871272557542885</v>
      </c>
      <c r="F300" s="85">
        <f t="shared" si="52"/>
        <v>4.9463635656428688E-2</v>
      </c>
      <c r="G300" s="1">
        <v>5</v>
      </c>
    </row>
    <row r="301" spans="1:8">
      <c r="A301" s="7">
        <v>6</v>
      </c>
      <c r="B301" s="86">
        <f>ROUND(H28*基本公式!$B$172,0)</f>
        <v>1930</v>
      </c>
      <c r="C301" s="85">
        <f>其他表格!G33*基本公式!$B$4*基本公式!$B$130</f>
        <v>4.140711698675811</v>
      </c>
      <c r="D301" s="86">
        <f t="shared" si="50"/>
        <v>6309</v>
      </c>
      <c r="E301" s="85">
        <f t="shared" si="51"/>
        <v>1.7524083439038698</v>
      </c>
      <c r="F301" s="85">
        <f t="shared" si="52"/>
        <v>7.3017014329327903E-2</v>
      </c>
      <c r="G301" s="1">
        <v>6</v>
      </c>
    </row>
    <row r="302" spans="1:8">
      <c r="A302" s="7">
        <v>7</v>
      </c>
      <c r="B302" s="86">
        <f>ROUND(H29*基本公式!$B$172,0)</f>
        <v>3802</v>
      </c>
      <c r="C302" s="85">
        <f>其他表格!G34*基本公式!$B$4*基本公式!$B$130</f>
        <v>7.1606292533491462</v>
      </c>
      <c r="D302" s="86">
        <f t="shared" si="50"/>
        <v>10872</v>
      </c>
      <c r="E302" s="85">
        <f t="shared" si="51"/>
        <v>3.0199175546733352</v>
      </c>
      <c r="F302" s="85">
        <f t="shared" si="52"/>
        <v>0.12582989811138898</v>
      </c>
      <c r="G302" s="1">
        <v>7</v>
      </c>
    </row>
    <row r="303" spans="1:8">
      <c r="A303" s="7">
        <v>8</v>
      </c>
      <c r="B303" s="86">
        <f>ROUND(H30*基本公式!$B$172,0)</f>
        <v>6836</v>
      </c>
      <c r="C303" s="85">
        <f>其他表格!G35*基本公式!$B$4*基本公式!$B$130</f>
        <v>14.091856196522349</v>
      </c>
      <c r="D303" s="86">
        <f t="shared" si="50"/>
        <v>24952</v>
      </c>
      <c r="E303" s="85">
        <f t="shared" si="51"/>
        <v>6.9312269431732023</v>
      </c>
      <c r="F303" s="85">
        <f t="shared" si="52"/>
        <v>0.28880112263221674</v>
      </c>
      <c r="G303" s="1">
        <v>8</v>
      </c>
    </row>
    <row r="304" spans="1:8">
      <c r="A304" s="7">
        <v>9</v>
      </c>
      <c r="B304" s="86">
        <f>ROUND(H31*基本公式!$B$172,0)</f>
        <v>9862</v>
      </c>
      <c r="C304" s="85">
        <f>其他表格!G36*基本公式!$B$4*基本公式!$B$130</f>
        <v>24.147611597467918</v>
      </c>
      <c r="D304" s="86">
        <f t="shared" si="50"/>
        <v>36201</v>
      </c>
      <c r="E304" s="85">
        <f t="shared" si="51"/>
        <v>10.05575540094557</v>
      </c>
      <c r="F304" s="85">
        <f t="shared" si="52"/>
        <v>0.41898980837273209</v>
      </c>
      <c r="G304" s="1">
        <v>9</v>
      </c>
    </row>
    <row r="305" spans="1:7">
      <c r="A305" s="7">
        <v>10</v>
      </c>
      <c r="B305" s="86">
        <f>ROUND(H32*基本公式!$B$172,0)</f>
        <v>14998</v>
      </c>
      <c r="C305" s="85">
        <f>其他表格!G37*基本公式!$B$4*基本公式!$B$130</f>
        <v>39.943417680022122</v>
      </c>
      <c r="D305" s="86">
        <f t="shared" si="50"/>
        <v>56865</v>
      </c>
      <c r="E305" s="85">
        <f t="shared" si="51"/>
        <v>15.795806082554204</v>
      </c>
      <c r="F305" s="85">
        <f t="shared" si="52"/>
        <v>0.6581585867730918</v>
      </c>
      <c r="G305" s="1">
        <v>10</v>
      </c>
    </row>
    <row r="306" spans="1:7">
      <c r="A306" s="7">
        <v>11</v>
      </c>
      <c r="B306" s="86">
        <f>ROUND(H33*基本公式!$B$172,0)</f>
        <v>21826</v>
      </c>
      <c r="C306" s="85">
        <f>其他表格!G38*基本公式!$B$4*基本公式!$B$130</f>
        <v>68.802059161760596</v>
      </c>
      <c r="D306" s="86">
        <f t="shared" si="50"/>
        <v>103891</v>
      </c>
      <c r="E306" s="85">
        <f t="shared" si="51"/>
        <v>28.858641481738474</v>
      </c>
      <c r="F306" s="85">
        <f t="shared" si="52"/>
        <v>1.2024433950724365</v>
      </c>
      <c r="G306" s="1">
        <v>11</v>
      </c>
    </row>
    <row r="307" spans="1:7">
      <c r="A307" s="7">
        <v>12</v>
      </c>
      <c r="B307" s="86">
        <f>ROUND(H34*基本公式!$B$172,0)</f>
        <v>39210</v>
      </c>
      <c r="C307" s="85">
        <f>其他表格!G39*基本公式!$B$4*基本公式!$B$130</f>
        <v>108.63483025541146</v>
      </c>
      <c r="D307" s="86">
        <f t="shared" si="50"/>
        <v>143398</v>
      </c>
      <c r="E307" s="85">
        <f t="shared" si="51"/>
        <v>39.832771093650862</v>
      </c>
      <c r="F307" s="85">
        <f t="shared" si="52"/>
        <v>1.6596987955687859</v>
      </c>
      <c r="G307" s="1">
        <v>12</v>
      </c>
    </row>
    <row r="308" spans="1:7">
      <c r="A308" s="7">
        <v>13</v>
      </c>
      <c r="B308" s="86">
        <f>ROUND(H35*基本公式!$B$172,0)</f>
        <v>53650</v>
      </c>
      <c r="C308" s="85">
        <f>其他表格!G40*基本公式!$B$4*基本公式!$B$130</f>
        <v>169.41104133397499</v>
      </c>
      <c r="D308" s="86">
        <f t="shared" si="50"/>
        <v>218794</v>
      </c>
      <c r="E308" s="85">
        <f t="shared" si="51"/>
        <v>60.776211078563534</v>
      </c>
      <c r="F308" s="85">
        <f t="shared" si="52"/>
        <v>2.5323421282734806</v>
      </c>
      <c r="G308" s="1">
        <v>13</v>
      </c>
    </row>
    <row r="309" spans="1:7">
      <c r="A309" s="7">
        <v>14</v>
      </c>
      <c r="B309" s="86">
        <f>ROUND(H36*基本公式!$B$172,0)</f>
        <v>66262</v>
      </c>
      <c r="C309" s="85">
        <f>其他表格!G41*基本公式!$B$4*基本公式!$B$130</f>
        <v>249.6583767027</v>
      </c>
      <c r="D309" s="86">
        <f t="shared" si="50"/>
        <v>288890</v>
      </c>
      <c r="E309" s="85">
        <f t="shared" si="51"/>
        <v>80.247335368725004</v>
      </c>
      <c r="F309" s="85">
        <f t="shared" si="52"/>
        <v>3.343638973696875</v>
      </c>
      <c r="G309" s="1">
        <v>14</v>
      </c>
    </row>
    <row r="310" spans="1:7">
      <c r="A310" s="7">
        <v>15</v>
      </c>
      <c r="B310" s="86">
        <f>ROUND(H37*基本公式!$B$172,0)</f>
        <v>80448</v>
      </c>
      <c r="C310" s="85">
        <f>其他表格!G42*基本公式!$B$4*基本公式!$B$130</f>
        <v>351.96199723125</v>
      </c>
      <c r="D310" s="86">
        <f t="shared" si="50"/>
        <v>368293</v>
      </c>
      <c r="E310" s="85">
        <f t="shared" si="51"/>
        <v>102.30362052855</v>
      </c>
      <c r="F310" s="85">
        <f t="shared" si="52"/>
        <v>4.2626508553562497</v>
      </c>
      <c r="G310" s="1">
        <v>15</v>
      </c>
    </row>
    <row r="311" spans="1:7">
      <c r="A311" s="7">
        <v>16</v>
      </c>
      <c r="B311" s="86">
        <f>ROUND(H38*基本公式!$B$172,0)</f>
        <v>94282</v>
      </c>
      <c r="C311" s="85">
        <f>其他表格!G43*基本公式!$B$4*基本公式!$B$130</f>
        <v>479.16229798500001</v>
      </c>
      <c r="D311" s="86">
        <f t="shared" si="50"/>
        <v>457921</v>
      </c>
      <c r="E311" s="85">
        <f t="shared" si="51"/>
        <v>127.20030075375001</v>
      </c>
      <c r="F311" s="85">
        <f t="shared" si="52"/>
        <v>5.3000125314062503</v>
      </c>
      <c r="G311" s="1">
        <v>16</v>
      </c>
    </row>
    <row r="312" spans="1:7">
      <c r="A312" s="7">
        <v>17</v>
      </c>
      <c r="B312" s="86">
        <f>ROUND(H39*基本公式!$B$172,0)</f>
        <v>109130</v>
      </c>
      <c r="C312" s="85">
        <f>其他表格!G44*基本公式!$B$4*基本公式!$B$130</f>
        <v>634.37656379999999</v>
      </c>
      <c r="D312" s="86">
        <f t="shared" si="50"/>
        <v>558771</v>
      </c>
      <c r="E312" s="85">
        <f t="shared" si="51"/>
        <v>155.21426581499998</v>
      </c>
      <c r="F312" s="85">
        <f t="shared" si="52"/>
        <v>6.4672610756249993</v>
      </c>
      <c r="G312" s="1">
        <v>17</v>
      </c>
    </row>
    <row r="313" spans="1:7">
      <c r="A313" s="7">
        <v>18</v>
      </c>
      <c r="B313" s="86">
        <f>ROUND(H40*基本公式!$B$172,0)</f>
        <v>125384</v>
      </c>
      <c r="C313" s="85">
        <f>其他表格!G45*基本公式!$B$4*基本公式!$B$130</f>
        <v>821.02229999999986</v>
      </c>
      <c r="D313" s="86">
        <f t="shared" si="50"/>
        <v>671925</v>
      </c>
      <c r="E313" s="85">
        <f t="shared" si="51"/>
        <v>186.64573619999987</v>
      </c>
      <c r="F313" s="85">
        <f t="shared" si="52"/>
        <v>7.7769056749999947</v>
      </c>
      <c r="G313" s="1">
        <v>18</v>
      </c>
    </row>
    <row r="314" spans="1:7">
      <c r="A314" s="7">
        <v>19</v>
      </c>
      <c r="B314" s="86">
        <f>ROUND(H41*基本公式!$B$172,0)</f>
        <v>142546</v>
      </c>
      <c r="C314" s="85">
        <f>其他表格!G46*基本公式!$B$4*基本公式!$B$130</f>
        <v>1042.8423599999999</v>
      </c>
      <c r="D314" s="86">
        <f t="shared" si="50"/>
        <v>798552</v>
      </c>
      <c r="E314" s="85">
        <f t="shared" si="51"/>
        <v>221.82006000000001</v>
      </c>
      <c r="F314" s="85">
        <f t="shared" si="52"/>
        <v>9.2425025000000005</v>
      </c>
      <c r="G314" s="1">
        <v>19</v>
      </c>
    </row>
    <row r="315" spans="1:7">
      <c r="A315" s="7">
        <v>20</v>
      </c>
      <c r="B315" s="86">
        <f>ROUND(H42*基本公式!$B$172,0)</f>
        <v>167700</v>
      </c>
      <c r="C315" s="85">
        <f>其他表格!G47*基本公式!$B$4*基本公式!$B$130</f>
        <v>1303.932</v>
      </c>
      <c r="D315" s="86">
        <f t="shared" si="50"/>
        <v>939923</v>
      </c>
      <c r="E315" s="85">
        <f t="shared" si="51"/>
        <v>261.08964000000014</v>
      </c>
      <c r="F315" s="85">
        <f>E315/24</f>
        <v>10.878735000000006</v>
      </c>
      <c r="G315" s="1">
        <v>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" sqref="I2"/>
    </sheetView>
  </sheetViews>
  <sheetFormatPr defaultRowHeight="13.5"/>
  <cols>
    <col min="1" max="1" width="12.75" customWidth="1"/>
    <col min="2" max="2" width="6.5" customWidth="1"/>
    <col min="3" max="3" width="10.5" bestFit="1" customWidth="1"/>
    <col min="4" max="4" width="10.5" style="1" customWidth="1"/>
    <col min="5" max="5" width="12.25" customWidth="1"/>
    <col min="6" max="6" width="10.5" style="1" customWidth="1"/>
    <col min="7" max="7" width="11.375" style="69" customWidth="1"/>
    <col min="8" max="9" width="13.625" style="69" customWidth="1"/>
    <col min="10" max="10" width="10.5" style="80" customWidth="1"/>
    <col min="11" max="11" width="10.5" style="1" customWidth="1"/>
    <col min="12" max="12" width="12.75" style="69" bestFit="1" customWidth="1"/>
    <col min="13" max="13" width="12" style="34" customWidth="1"/>
    <col min="14" max="14" width="12" style="1" customWidth="1"/>
    <col min="15" max="15" width="12.75" style="69" bestFit="1" customWidth="1"/>
    <col min="16" max="16" width="12" style="34" customWidth="1"/>
    <col min="17" max="17" width="12" style="1" customWidth="1"/>
    <col min="18" max="18" width="12.75" style="69" bestFit="1" customWidth="1"/>
    <col min="19" max="19" width="12" style="34" customWidth="1"/>
    <col min="20" max="20" width="12" style="11" customWidth="1"/>
    <col min="21" max="21" width="9.5" style="34" customWidth="1"/>
    <col min="22" max="23" width="9" style="34"/>
  </cols>
  <sheetData>
    <row r="1" spans="1:23" s="7" customFormat="1" ht="27">
      <c r="A1" s="3" t="s">
        <v>260</v>
      </c>
      <c r="B1" s="65"/>
      <c r="C1" s="65" t="s">
        <v>232</v>
      </c>
      <c r="D1" s="66" t="s">
        <v>250</v>
      </c>
      <c r="E1" s="65" t="s">
        <v>288</v>
      </c>
      <c r="F1" s="66" t="s">
        <v>249</v>
      </c>
      <c r="G1" s="70" t="s">
        <v>251</v>
      </c>
      <c r="H1" s="70" t="s">
        <v>256</v>
      </c>
      <c r="I1" s="70" t="s">
        <v>259</v>
      </c>
      <c r="J1" s="79" t="s">
        <v>302</v>
      </c>
      <c r="K1" s="66" t="s">
        <v>240</v>
      </c>
      <c r="L1" s="68" t="s">
        <v>218</v>
      </c>
      <c r="M1" s="67" t="s">
        <v>233</v>
      </c>
      <c r="N1" s="16" t="s">
        <v>241</v>
      </c>
      <c r="O1" s="68" t="s">
        <v>219</v>
      </c>
      <c r="P1" s="67" t="s">
        <v>234</v>
      </c>
      <c r="Q1" s="16" t="s">
        <v>242</v>
      </c>
      <c r="R1" s="68" t="s">
        <v>235</v>
      </c>
      <c r="S1" s="67" t="s">
        <v>236</v>
      </c>
      <c r="T1" s="12" t="s">
        <v>243</v>
      </c>
      <c r="U1" s="67" t="s">
        <v>237</v>
      </c>
      <c r="V1" s="67" t="s">
        <v>238</v>
      </c>
      <c r="W1" s="67" t="s">
        <v>239</v>
      </c>
    </row>
    <row r="2" spans="1:23">
      <c r="A2" t="s">
        <v>205</v>
      </c>
      <c r="B2">
        <v>1</v>
      </c>
      <c r="C2">
        <f>ROUND(C3-(C4-C3)/(产出与消耗!$K$6-产出与消耗!$K$5)*(产出与消耗!$K$5-产出与消耗!$K$4),0)</f>
        <v>119</v>
      </c>
      <c r="D2" s="1">
        <v>2</v>
      </c>
      <c r="E2">
        <f>ROUND(D2*C2/3600/(建筑!G86*基本公式!$B$153),2)</f>
        <v>0.03</v>
      </c>
      <c r="F2" s="1">
        <v>10</v>
      </c>
      <c r="G2" s="69">
        <f t="shared" ref="G2:G21" si="0">F2*C2</f>
        <v>1190</v>
      </c>
      <c r="H2" s="69">
        <f>ROUND((G2+G23+G44+G65+G86+G107+G128+G149+G170+G191+G212+G233)/12,0)</f>
        <v>367</v>
      </c>
      <c r="I2" s="69">
        <f>H2*其他表格!Y2</f>
        <v>367</v>
      </c>
      <c r="J2" s="80">
        <f>ROUND(C3-(C4-C3)/(产出与消耗!K6-产出与消耗!K5)*(产出与消耗!K5-产出与消耗!K4),0)</f>
        <v>119</v>
      </c>
      <c r="K2" s="1">
        <v>8</v>
      </c>
      <c r="L2" s="69">
        <f t="shared" ref="L2:L21" si="1">ROUND(K2*C2,0)</f>
        <v>952</v>
      </c>
      <c r="M2" s="34">
        <f>ROUND(L2/产出与消耗!T4,4)</f>
        <v>0.23719999999999999</v>
      </c>
      <c r="N2" s="1">
        <v>9</v>
      </c>
      <c r="O2" s="69">
        <f t="shared" ref="O2:O21" si="2">ROUND(N2*C2,0)</f>
        <v>1071</v>
      </c>
      <c r="P2" s="34">
        <f>ROUND(O2/产出与消耗!T26,4)</f>
        <v>0.21360000000000001</v>
      </c>
      <c r="Q2" s="1">
        <v>3</v>
      </c>
      <c r="R2" s="69">
        <f t="shared" ref="R2:R21" si="3">ROUND(Q2*C2,0)</f>
        <v>357</v>
      </c>
      <c r="S2" s="34">
        <f>ROUND(R2/产出与消耗!T48,4)</f>
        <v>8.8999999999999996E-2</v>
      </c>
      <c r="T2" s="64">
        <f>M2+P2+S2</f>
        <v>0.53979999999999995</v>
      </c>
      <c r="U2" s="34">
        <f>M2+M23+M44+M65+M86+M107+M128+M149+M170+M191+M212+M233</f>
        <v>0.83020000000000005</v>
      </c>
      <c r="V2" s="34">
        <f>P2+P23+P44+P65+P86+P107+P128+P149+P170+P191+P212+P233</f>
        <v>0.66460000000000008</v>
      </c>
      <c r="W2" s="34">
        <f>S2+S23+S44+S65+S86+S107+S128+S149+S170+S191+S212+S233</f>
        <v>0.56390000000000007</v>
      </c>
    </row>
    <row r="3" spans="1:23">
      <c r="B3">
        <v>2</v>
      </c>
      <c r="C3">
        <f>ROUND(C4-(C5-C4)/(产出与消耗!$K$7-产出与消耗!$K$6)*(产出与消耗!$K$6-产出与消耗!$K$5),0)</f>
        <v>231</v>
      </c>
      <c r="D3" s="1">
        <v>2</v>
      </c>
      <c r="E3">
        <f>ROUND(D3*C3/3600/(建筑!G87*基本公式!$B$153),2)</f>
        <v>0.06</v>
      </c>
      <c r="F3" s="1">
        <v>10</v>
      </c>
      <c r="G3" s="69">
        <f t="shared" si="0"/>
        <v>2310</v>
      </c>
      <c r="H3" s="69">
        <f t="shared" ref="H3:H21" si="4">ROUND((G3+G24+G45+G66+G87+G108+G129+G150+G171+G192+G213+G234)/12,0)</f>
        <v>712</v>
      </c>
      <c r="I3" s="69">
        <f>H3*其他表格!Y3</f>
        <v>712</v>
      </c>
      <c r="J3" s="80">
        <f>ROUND(C4-(C5-C4)/(产出与消耗!K7-产出与消耗!K6)*(产出与消耗!K6-产出与消耗!K5),0)</f>
        <v>231</v>
      </c>
      <c r="K3" s="1">
        <v>8</v>
      </c>
      <c r="L3" s="69">
        <f t="shared" si="1"/>
        <v>1848</v>
      </c>
      <c r="M3" s="34">
        <f>ROUND(L3/产出与消耗!T5,4)</f>
        <v>0.25819999999999999</v>
      </c>
      <c r="N3" s="1">
        <v>9</v>
      </c>
      <c r="O3" s="69">
        <f t="shared" si="2"/>
        <v>2079</v>
      </c>
      <c r="P3" s="34">
        <f>ROUND(O3/产出与消耗!T27,4)</f>
        <v>0.25490000000000002</v>
      </c>
      <c r="Q3" s="1">
        <v>3</v>
      </c>
      <c r="R3" s="69">
        <f t="shared" si="3"/>
        <v>693</v>
      </c>
      <c r="S3" s="34">
        <f>ROUND(R3/产出与消耗!T49,4)</f>
        <v>9.7600000000000006E-2</v>
      </c>
      <c r="T3" s="64">
        <f t="shared" ref="T3:T21" si="5">M3+P3+S3</f>
        <v>0.61070000000000002</v>
      </c>
      <c r="U3" s="34">
        <f t="shared" ref="U3:U21" si="6">M3+M24+M45+M66+M87+M108+M129+M150+M171+M192+M213+M234</f>
        <v>0.90379999999999994</v>
      </c>
      <c r="V3" s="34">
        <f t="shared" ref="V3:V21" si="7">P3+P24+P45+P66+P87+P108+P129+P150+P171+P192+P213+P234</f>
        <v>0.79310000000000003</v>
      </c>
      <c r="W3" s="34">
        <f t="shared" ref="W3:W21" si="8">S3+S24+S45+S66+S87+S108+S129+S150+S171+S192+S213+S234</f>
        <v>0.61780000000000002</v>
      </c>
    </row>
    <row r="4" spans="1:23">
      <c r="B4">
        <v>3</v>
      </c>
      <c r="C4">
        <f>ROUND(C5-(C6-C5)/(产出与消耗!$K$8-产出与消耗!$K$7)*(产出与消耗!$K$7-产出与消耗!$K$6),0)</f>
        <v>343</v>
      </c>
      <c r="D4" s="1">
        <v>2</v>
      </c>
      <c r="E4">
        <f>ROUND(D4*C4/3600/(建筑!G88*基本公式!$B$153),2)</f>
        <v>0.1</v>
      </c>
      <c r="F4" s="1">
        <v>10</v>
      </c>
      <c r="G4" s="69">
        <f t="shared" si="0"/>
        <v>3430</v>
      </c>
      <c r="H4" s="69">
        <f t="shared" si="4"/>
        <v>1058</v>
      </c>
      <c r="I4" s="69">
        <f>H4*其他表格!Y4</f>
        <v>2116</v>
      </c>
      <c r="J4" s="80">
        <f>ROUND(C5-(C6-C5)/(产出与消耗!K8-产出与消耗!K7)*(产出与消耗!K7-产出与消耗!K6),0)</f>
        <v>343</v>
      </c>
      <c r="K4" s="1">
        <v>8</v>
      </c>
      <c r="L4" s="69">
        <f t="shared" si="1"/>
        <v>2744</v>
      </c>
      <c r="M4" s="34">
        <f>ROUND(L4/产出与消耗!T6,4)</f>
        <v>0.2492</v>
      </c>
      <c r="N4" s="1">
        <v>9</v>
      </c>
      <c r="O4" s="69">
        <f t="shared" si="2"/>
        <v>3087</v>
      </c>
      <c r="P4" s="34">
        <f>ROUND(O4/产出与消耗!T28,4)</f>
        <v>0.25700000000000001</v>
      </c>
      <c r="Q4" s="1">
        <v>3</v>
      </c>
      <c r="R4" s="69">
        <f t="shared" si="3"/>
        <v>1029</v>
      </c>
      <c r="S4" s="34">
        <f>ROUND(R4/产出与消耗!T50,4)</f>
        <v>9.64E-2</v>
      </c>
      <c r="T4" s="64">
        <f t="shared" si="5"/>
        <v>0.60260000000000002</v>
      </c>
      <c r="U4" s="34">
        <f t="shared" si="6"/>
        <v>0.87220000000000009</v>
      </c>
      <c r="V4" s="34">
        <f t="shared" si="7"/>
        <v>0.79970000000000008</v>
      </c>
      <c r="W4" s="34">
        <f t="shared" si="8"/>
        <v>0.61059999999999992</v>
      </c>
    </row>
    <row r="5" spans="1:23">
      <c r="B5">
        <v>4</v>
      </c>
      <c r="C5">
        <f>ROUND(C6-(C7-C6)/(产出与消耗!$K$9-产出与消耗!$K$8)*(产出与消耗!$K$8-产出与消耗!$K$7),0)</f>
        <v>568</v>
      </c>
      <c r="D5" s="1">
        <v>2</v>
      </c>
      <c r="E5">
        <f>ROUND(D5*C5/3600/(建筑!G89*基本公式!$B$153),2)</f>
        <v>0.16</v>
      </c>
      <c r="F5" s="1">
        <v>10</v>
      </c>
      <c r="G5" s="69">
        <f t="shared" si="0"/>
        <v>5680</v>
      </c>
      <c r="H5" s="69">
        <f t="shared" si="4"/>
        <v>1751</v>
      </c>
      <c r="I5" s="69">
        <f>H5*其他表格!Y5</f>
        <v>5253</v>
      </c>
      <c r="J5" s="80">
        <f>ROUND(C6-(C7-C6)/(产出与消耗!K9-产出与消耗!K8)*(产出与消耗!K8-产出与消耗!K7),0)</f>
        <v>568</v>
      </c>
      <c r="K5" s="1">
        <v>8</v>
      </c>
      <c r="L5" s="69">
        <f t="shared" si="1"/>
        <v>4544</v>
      </c>
      <c r="M5" s="34">
        <f>ROUND(L5/产出与消耗!T7,4)</f>
        <v>0.28260000000000002</v>
      </c>
      <c r="N5" s="1">
        <v>9</v>
      </c>
      <c r="O5" s="69">
        <f t="shared" si="2"/>
        <v>5112</v>
      </c>
      <c r="P5" s="34">
        <f>ROUND(O5/产出与消耗!T29,4)</f>
        <v>0.29930000000000001</v>
      </c>
      <c r="Q5" s="1">
        <v>3</v>
      </c>
      <c r="R5" s="69">
        <f t="shared" si="3"/>
        <v>1704</v>
      </c>
      <c r="S5" s="34">
        <f>ROUND(R5/产出与消耗!T51,4)</f>
        <v>0.1157</v>
      </c>
      <c r="T5" s="64">
        <f t="shared" si="5"/>
        <v>0.69760000000000011</v>
      </c>
      <c r="U5" s="34">
        <f t="shared" si="6"/>
        <v>0.9890000000000001</v>
      </c>
      <c r="V5" s="34">
        <f t="shared" si="7"/>
        <v>0.93110000000000004</v>
      </c>
      <c r="W5" s="34">
        <f t="shared" si="8"/>
        <v>0.73310000000000008</v>
      </c>
    </row>
    <row r="6" spans="1:23">
      <c r="B6">
        <v>5</v>
      </c>
      <c r="C6">
        <f>ROUND(C7-(C8-C7)/(产出与消耗!$K$10-产出与消耗!$K$9)*(产出与消耗!$K$9-产出与消耗!$K$8),0)</f>
        <v>905</v>
      </c>
      <c r="D6" s="1">
        <v>2</v>
      </c>
      <c r="E6">
        <f>ROUND(D6*C6/3600/(建筑!G90*基本公式!$B$153),2)</f>
        <v>0.25</v>
      </c>
      <c r="F6" s="1">
        <v>10</v>
      </c>
      <c r="G6" s="69">
        <f t="shared" si="0"/>
        <v>9050</v>
      </c>
      <c r="H6" s="69">
        <f t="shared" si="4"/>
        <v>2916</v>
      </c>
      <c r="I6" s="69">
        <f>H6*其他表格!Y6</f>
        <v>11664</v>
      </c>
      <c r="J6" s="80">
        <f>ROUND(C7-(C8-C7)/(产出与消耗!K10-产出与消耗!K9)*(产出与消耗!K9-产出与消耗!K8),0)</f>
        <v>905</v>
      </c>
      <c r="K6" s="1">
        <v>8</v>
      </c>
      <c r="L6" s="69">
        <f t="shared" si="1"/>
        <v>7240</v>
      </c>
      <c r="M6" s="34">
        <f>ROUND(L6/产出与消耗!T8,4)</f>
        <v>0.28710000000000002</v>
      </c>
      <c r="N6" s="1">
        <v>9</v>
      </c>
      <c r="O6" s="69">
        <f t="shared" si="2"/>
        <v>8145</v>
      </c>
      <c r="P6" s="34">
        <f>ROUND(O6/产出与消耗!T30,4)</f>
        <v>0.32300000000000001</v>
      </c>
      <c r="Q6" s="1">
        <v>3</v>
      </c>
      <c r="R6" s="69">
        <f t="shared" si="3"/>
        <v>2715</v>
      </c>
      <c r="S6" s="34">
        <f>ROUND(R6/产出与消耗!T52,4)</f>
        <v>0.13039999999999999</v>
      </c>
      <c r="T6" s="64">
        <f t="shared" si="5"/>
        <v>0.74050000000000005</v>
      </c>
      <c r="U6" s="34">
        <f t="shared" si="6"/>
        <v>1.0947</v>
      </c>
      <c r="V6" s="34">
        <f t="shared" si="7"/>
        <v>1.0937000000000001</v>
      </c>
      <c r="W6" s="34">
        <f t="shared" si="8"/>
        <v>0.89629999999999987</v>
      </c>
    </row>
    <row r="7" spans="1:23">
      <c r="B7">
        <v>6</v>
      </c>
      <c r="C7">
        <f>ROUND(C8-(C9-C8)/(产出与消耗!$K$11-产出与消耗!$K$10)*(产出与消耗!$K$10-产出与消耗!$K$9),0)</f>
        <v>1467</v>
      </c>
      <c r="D7" s="1">
        <v>2</v>
      </c>
      <c r="E7">
        <f>ROUND(D7*C7/3600/(建筑!G91*基本公式!$B$153),2)</f>
        <v>0.41</v>
      </c>
      <c r="F7" s="1">
        <v>10</v>
      </c>
      <c r="G7" s="69">
        <f t="shared" si="0"/>
        <v>14670</v>
      </c>
      <c r="H7" s="69">
        <f t="shared" si="4"/>
        <v>7426</v>
      </c>
      <c r="I7" s="69">
        <f>H7*其他表格!Y7</f>
        <v>37130</v>
      </c>
      <c r="J7" s="80">
        <f>ROUND(C8-(C9-C8)/(产出与消耗!K11-产出与消耗!K10)*(产出与消耗!K10-产出与消耗!K9),0)</f>
        <v>1467</v>
      </c>
      <c r="K7" s="1">
        <v>8</v>
      </c>
      <c r="L7" s="69">
        <f t="shared" si="1"/>
        <v>11736</v>
      </c>
      <c r="M7" s="34">
        <f>ROUND(L7/产出与消耗!T9,4)</f>
        <v>0.18709999999999999</v>
      </c>
      <c r="N7" s="1">
        <v>9</v>
      </c>
      <c r="O7" s="69">
        <f t="shared" si="2"/>
        <v>13203</v>
      </c>
      <c r="P7" s="34">
        <f>ROUND(O7/产出与消耗!T31,4)</f>
        <v>0.2104</v>
      </c>
      <c r="Q7" s="1">
        <v>3</v>
      </c>
      <c r="R7" s="69">
        <f t="shared" si="3"/>
        <v>4401</v>
      </c>
      <c r="S7" s="34">
        <f>ROUND(R7/产出与消耗!T53,4)</f>
        <v>9.7500000000000003E-2</v>
      </c>
      <c r="T7" s="64">
        <f t="shared" si="5"/>
        <v>0.495</v>
      </c>
      <c r="U7" s="34">
        <f t="shared" si="6"/>
        <v>1.4875</v>
      </c>
      <c r="V7" s="34">
        <f t="shared" si="7"/>
        <v>1.4775</v>
      </c>
      <c r="W7" s="34">
        <f t="shared" si="8"/>
        <v>1.3611</v>
      </c>
    </row>
    <row r="8" spans="1:23">
      <c r="B8">
        <v>7</v>
      </c>
      <c r="C8">
        <f>ROUND(C9-(C10-C9)/(产出与消耗!$K$12-产出与消耗!$K$11)*(产出与消耗!$K$11-产出与消耗!$K$10),0)</f>
        <v>2367</v>
      </c>
      <c r="D8" s="1">
        <v>2</v>
      </c>
      <c r="E8">
        <f>ROUND(D8*C8/3600/(建筑!G92*基本公式!$B$153),2)</f>
        <v>0.33</v>
      </c>
      <c r="F8" s="1">
        <v>10</v>
      </c>
      <c r="G8" s="69">
        <f t="shared" si="0"/>
        <v>23670</v>
      </c>
      <c r="H8" s="69">
        <f t="shared" si="4"/>
        <v>14625</v>
      </c>
      <c r="I8" s="69">
        <f>H8*其他表格!Y8</f>
        <v>87750</v>
      </c>
      <c r="J8" s="80">
        <f>ROUND(C9-(C10-C9)/(产出与消耗!K12-产出与消耗!K11)*(产出与消耗!K11-产出与消耗!K10),0)</f>
        <v>2367</v>
      </c>
      <c r="K8" s="1">
        <v>8</v>
      </c>
      <c r="L8" s="69">
        <f t="shared" si="1"/>
        <v>18936</v>
      </c>
      <c r="M8" s="34">
        <f>ROUND(L8/产出与消耗!T10,4)</f>
        <v>0.14410000000000001</v>
      </c>
      <c r="N8" s="1">
        <v>9</v>
      </c>
      <c r="O8" s="69">
        <f t="shared" si="2"/>
        <v>21303</v>
      </c>
      <c r="P8" s="34">
        <f>ROUND(O8/产出与消耗!T32,4)</f>
        <v>0.16209999999999999</v>
      </c>
      <c r="Q8" s="1">
        <v>3</v>
      </c>
      <c r="R8" s="69">
        <f t="shared" si="3"/>
        <v>7101</v>
      </c>
      <c r="S8" s="34">
        <f>ROUND(R8/产出与消耗!T54,4)</f>
        <v>7.8100000000000003E-2</v>
      </c>
      <c r="T8" s="64">
        <f t="shared" si="5"/>
        <v>0.38430000000000003</v>
      </c>
      <c r="U8" s="34">
        <f t="shared" si="6"/>
        <v>1.5078</v>
      </c>
      <c r="V8" s="34">
        <f t="shared" si="7"/>
        <v>1.4959</v>
      </c>
      <c r="W8" s="34">
        <f t="shared" si="8"/>
        <v>1.4269000000000001</v>
      </c>
    </row>
    <row r="9" spans="1:23">
      <c r="A9" s="11"/>
      <c r="B9">
        <v>8</v>
      </c>
      <c r="C9">
        <f>ROUND(C10-(C11-C10)/(产出与消耗!$K$13-产出与消耗!$K$12)*(产出与消耗!$K$12-产出与消耗!$K$11),0)</f>
        <v>3829</v>
      </c>
      <c r="D9" s="1">
        <v>2</v>
      </c>
      <c r="E9">
        <f>ROUND(D9*C9/3600/(建筑!G93*基本公式!$B$153),2)</f>
        <v>0.53</v>
      </c>
      <c r="F9" s="1">
        <v>10</v>
      </c>
      <c r="G9" s="69">
        <f t="shared" si="0"/>
        <v>38290</v>
      </c>
      <c r="H9" s="69">
        <f t="shared" si="4"/>
        <v>26291</v>
      </c>
      <c r="I9" s="69">
        <f>H9*其他表格!Y9</f>
        <v>184037</v>
      </c>
      <c r="J9" s="80">
        <f>ROUND(C10-(C11-C10)/(产出与消耗!K13-产出与消耗!K12)*(产出与消耗!K12-产出与消耗!K11),0)</f>
        <v>3829</v>
      </c>
      <c r="K9" s="1">
        <v>8</v>
      </c>
      <c r="L9" s="69">
        <f t="shared" si="1"/>
        <v>30632</v>
      </c>
      <c r="M9" s="34">
        <f>ROUND(L9/产出与消耗!T11,4)</f>
        <v>8.3699999999999997E-2</v>
      </c>
      <c r="N9" s="1">
        <v>9</v>
      </c>
      <c r="O9" s="69">
        <f t="shared" si="2"/>
        <v>34461</v>
      </c>
      <c r="P9" s="34">
        <f>ROUND(O9/产出与消耗!T33,4)</f>
        <v>9.4100000000000003E-2</v>
      </c>
      <c r="Q9" s="1">
        <v>3</v>
      </c>
      <c r="R9" s="69">
        <f t="shared" si="3"/>
        <v>11487</v>
      </c>
      <c r="S9" s="34">
        <f>ROUND(R9/产出与消耗!T55,4)</f>
        <v>4.6399999999999997E-2</v>
      </c>
      <c r="T9" s="64">
        <f t="shared" si="5"/>
        <v>0.22420000000000001</v>
      </c>
      <c r="U9" s="34">
        <f t="shared" si="6"/>
        <v>1.0051999999999999</v>
      </c>
      <c r="V9" s="34">
        <f t="shared" si="7"/>
        <v>0.99669999999999992</v>
      </c>
      <c r="W9" s="34">
        <f t="shared" si="8"/>
        <v>0.97170000000000001</v>
      </c>
    </row>
    <row r="10" spans="1:23">
      <c r="B10">
        <v>9</v>
      </c>
      <c r="C10">
        <f>ROUND(C11-(C12-C11)/(产出与消耗!$K$14-产出与消耗!$K$13)*(产出与消耗!$K$13-产出与消耗!$K$12),0)</f>
        <v>5291</v>
      </c>
      <c r="D10" s="1">
        <v>2</v>
      </c>
      <c r="E10">
        <f>ROUND(D10*C10/3600/(建筑!G94*基本公式!$B$153),2)</f>
        <v>0.73</v>
      </c>
      <c r="F10" s="1">
        <v>10</v>
      </c>
      <c r="G10" s="69">
        <f t="shared" si="0"/>
        <v>52910</v>
      </c>
      <c r="H10" s="69">
        <f t="shared" si="4"/>
        <v>37930</v>
      </c>
      <c r="I10" s="69">
        <f>H10*其他表格!Y10</f>
        <v>303440</v>
      </c>
      <c r="J10" s="80">
        <f>ROUND(C11-(C12-C11)/(产出与消耗!K14-产出与消耗!K13)*(产出与消耗!K13-产出与消耗!K12),0)</f>
        <v>5291</v>
      </c>
      <c r="K10" s="1">
        <v>8</v>
      </c>
      <c r="L10" s="69">
        <f t="shared" si="1"/>
        <v>42328</v>
      </c>
      <c r="M10" s="34">
        <f>ROUND(L10/产出与消耗!T12,4)</f>
        <v>5.0700000000000002E-2</v>
      </c>
      <c r="N10" s="1">
        <v>9</v>
      </c>
      <c r="O10" s="69">
        <f t="shared" si="2"/>
        <v>47619</v>
      </c>
      <c r="P10" s="34">
        <f>ROUND(O10/产出与消耗!T34,4)</f>
        <v>5.7000000000000002E-2</v>
      </c>
      <c r="Q10" s="1">
        <v>3</v>
      </c>
      <c r="R10" s="69">
        <f t="shared" si="3"/>
        <v>15873</v>
      </c>
      <c r="S10" s="34">
        <f>ROUND(R10/产出与消耗!T56,4)</f>
        <v>2.8299999999999999E-2</v>
      </c>
      <c r="T10" s="64">
        <f t="shared" si="5"/>
        <v>0.13600000000000001</v>
      </c>
      <c r="U10" s="34">
        <f t="shared" si="6"/>
        <v>0.64329999999999998</v>
      </c>
      <c r="V10" s="34">
        <f t="shared" si="7"/>
        <v>0.63779999999999992</v>
      </c>
      <c r="W10" s="34">
        <f t="shared" si="8"/>
        <v>0.62619999999999998</v>
      </c>
    </row>
    <row r="11" spans="1:23">
      <c r="A11" s="38" t="s">
        <v>133</v>
      </c>
      <c r="B11">
        <v>10</v>
      </c>
      <c r="C11">
        <f>ROUND(C12-(C13-C12)/(产出与消耗!$K$15-产出与消耗!$K$14)*(产出与消耗!$K$14-产出与消耗!$K$13),0)</f>
        <v>7653</v>
      </c>
      <c r="D11" s="1">
        <v>2</v>
      </c>
      <c r="E11">
        <f>ROUND(D11*C11/3600/(建筑!G95*基本公式!$B$153),2)</f>
        <v>1.06</v>
      </c>
      <c r="F11" s="1">
        <v>10</v>
      </c>
      <c r="G11" s="69">
        <f t="shared" si="0"/>
        <v>76530</v>
      </c>
      <c r="H11" s="69">
        <f t="shared" si="4"/>
        <v>57682</v>
      </c>
      <c r="I11" s="69">
        <f>H11*其他表格!Y11</f>
        <v>519138</v>
      </c>
      <c r="J11" s="80">
        <f>ROUND(C12-(C13-C12)/(产出与消耗!K15-产出与消耗!K14)*(产出与消耗!K14-产出与消耗!K13),0)</f>
        <v>7653</v>
      </c>
      <c r="K11" s="1">
        <v>8</v>
      </c>
      <c r="L11" s="69">
        <f t="shared" si="1"/>
        <v>61224</v>
      </c>
      <c r="M11" s="34">
        <f>ROUND(L11/产出与消耗!T13,4)</f>
        <v>3.1199999999999999E-2</v>
      </c>
      <c r="N11" s="1">
        <v>9</v>
      </c>
      <c r="O11" s="69">
        <f t="shared" si="2"/>
        <v>68877</v>
      </c>
      <c r="P11" s="34">
        <f>ROUND(O11/产出与消耗!T35,4)</f>
        <v>3.5099999999999999E-2</v>
      </c>
      <c r="Q11" s="1">
        <v>3</v>
      </c>
      <c r="R11" s="69">
        <f t="shared" si="3"/>
        <v>22959</v>
      </c>
      <c r="S11" s="34">
        <f>ROUND(R11/产出与消耗!T57,4)</f>
        <v>1.7500000000000002E-2</v>
      </c>
      <c r="T11" s="64">
        <f t="shared" si="5"/>
        <v>8.3799999999999999E-2</v>
      </c>
      <c r="U11" s="34">
        <f t="shared" si="6"/>
        <v>0.53320000000000001</v>
      </c>
      <c r="V11" s="34">
        <f t="shared" si="7"/>
        <v>0.53039999999999998</v>
      </c>
      <c r="W11" s="34">
        <f t="shared" si="8"/>
        <v>0.52329999999999999</v>
      </c>
    </row>
    <row r="12" spans="1:23">
      <c r="B12">
        <v>11</v>
      </c>
      <c r="C12">
        <f>ROUND(C13-(C14-C13)/(产出与消耗!$K$16-产出与消耗!$K$15)*(产出与消耗!$K$15-产出与消耗!$K$14),0)</f>
        <v>9115</v>
      </c>
      <c r="D12" s="1">
        <v>2</v>
      </c>
      <c r="E12">
        <f>ROUND(D12*C12/3600/(建筑!G96*基本公式!$B$153),2)</f>
        <v>1.27</v>
      </c>
      <c r="F12" s="1">
        <v>10</v>
      </c>
      <c r="G12" s="69">
        <f t="shared" si="0"/>
        <v>91150</v>
      </c>
      <c r="H12" s="69">
        <f t="shared" si="4"/>
        <v>83946</v>
      </c>
      <c r="I12" s="69">
        <f>H12*其他表格!Y12</f>
        <v>839460</v>
      </c>
      <c r="J12" s="80">
        <f>ROUND(C13-(C14-C13)/(产出与消耗!K16-产出与消耗!K15)*(产出与消耗!K15-产出与消耗!K14),0)</f>
        <v>9115</v>
      </c>
      <c r="K12" s="1">
        <v>8</v>
      </c>
      <c r="L12" s="69">
        <f t="shared" si="1"/>
        <v>72920</v>
      </c>
      <c r="M12" s="34">
        <f>ROUND(L12/产出与消耗!T14,4)</f>
        <v>1.84E-2</v>
      </c>
      <c r="N12" s="1">
        <v>9</v>
      </c>
      <c r="O12" s="69">
        <f t="shared" si="2"/>
        <v>82035</v>
      </c>
      <c r="P12" s="34">
        <f>ROUND(O12/产出与消耗!T36,4)</f>
        <v>2.07E-2</v>
      </c>
      <c r="Q12" s="1">
        <v>3</v>
      </c>
      <c r="R12" s="69">
        <f t="shared" si="3"/>
        <v>27345</v>
      </c>
      <c r="S12" s="34">
        <f>ROUND(R12/产出与消耗!T58,4)</f>
        <v>1.03E-2</v>
      </c>
      <c r="T12" s="64">
        <f t="shared" si="5"/>
        <v>4.9399999999999999E-2</v>
      </c>
      <c r="U12" s="34">
        <f t="shared" si="6"/>
        <v>1.1886000000000001</v>
      </c>
      <c r="V12" s="34">
        <f t="shared" si="7"/>
        <v>1.1925000000000001</v>
      </c>
      <c r="W12" s="34">
        <f t="shared" si="8"/>
        <v>1.1861999999999999</v>
      </c>
    </row>
    <row r="13" spans="1:23">
      <c r="B13">
        <v>12</v>
      </c>
      <c r="C13">
        <f>ROUND(C14-(C15-C14)/(产出与消耗!$K$17-产出与消耗!$K$16)*(产出与消耗!$K$16-产出与消耗!$K$15),0)</f>
        <v>12939</v>
      </c>
      <c r="D13" s="1">
        <v>2</v>
      </c>
      <c r="E13">
        <f>ROUND(D13*C13/3600/(建筑!G97*基本公式!$B$153),2)</f>
        <v>1.2</v>
      </c>
      <c r="F13" s="1">
        <v>10</v>
      </c>
      <c r="G13" s="69">
        <f t="shared" si="0"/>
        <v>129390</v>
      </c>
      <c r="H13" s="69">
        <f t="shared" si="4"/>
        <v>150808</v>
      </c>
      <c r="I13" s="69">
        <f>H13*其他表格!Y13</f>
        <v>1658888</v>
      </c>
      <c r="J13" s="80">
        <f>ROUND(C14-(C15-C14)/(产出与消耗!K17-产出与消耗!K16)*(产出与消耗!K16-产出与消耗!K15),0)</f>
        <v>12939</v>
      </c>
      <c r="K13" s="1">
        <v>8</v>
      </c>
      <c r="L13" s="69">
        <f t="shared" si="1"/>
        <v>103512</v>
      </c>
      <c r="M13" s="34">
        <f>ROUND(L13/产出与消耗!T15,4)</f>
        <v>1.17E-2</v>
      </c>
      <c r="N13" s="1">
        <v>9</v>
      </c>
      <c r="O13" s="69">
        <f t="shared" si="2"/>
        <v>116451</v>
      </c>
      <c r="P13" s="34">
        <f>ROUND(O13/产出与消耗!T37,4)</f>
        <v>1.32E-2</v>
      </c>
      <c r="Q13" s="1">
        <v>3</v>
      </c>
      <c r="R13" s="69">
        <f t="shared" si="3"/>
        <v>38817</v>
      </c>
      <c r="S13" s="34">
        <f>ROUND(R13/产出与消耗!T59,4)</f>
        <v>6.6E-3</v>
      </c>
      <c r="T13" s="64">
        <f t="shared" si="5"/>
        <v>3.15E-2</v>
      </c>
      <c r="U13" s="34">
        <f t="shared" si="6"/>
        <v>1.5693999999999999</v>
      </c>
      <c r="V13" s="34">
        <f t="shared" si="7"/>
        <v>1.577</v>
      </c>
      <c r="W13" s="34">
        <f t="shared" si="8"/>
        <v>1.5704</v>
      </c>
    </row>
    <row r="14" spans="1:23">
      <c r="A14" s="11"/>
      <c r="B14">
        <v>13</v>
      </c>
      <c r="C14">
        <f>ROUND(C15-(C16-C15)/(产出与消耗!$K$18-产出与消耗!$K$17)*(产出与消耗!$K$17-产出与消耗!$K$16),0)</f>
        <v>16201</v>
      </c>
      <c r="D14" s="1">
        <v>2</v>
      </c>
      <c r="E14">
        <f>ROUND(D14*C14/3600/(建筑!G98*基本公式!$B$153),2)</f>
        <v>1.5</v>
      </c>
      <c r="F14" s="1">
        <v>10</v>
      </c>
      <c r="G14" s="69">
        <f t="shared" si="0"/>
        <v>162010</v>
      </c>
      <c r="H14" s="69">
        <f t="shared" si="4"/>
        <v>206345</v>
      </c>
      <c r="I14" s="69">
        <f>H14*其他表格!Y14</f>
        <v>2476140</v>
      </c>
      <c r="J14" s="80">
        <f>ROUND(C15-(C16-C15)/(产出与消耗!K18-产出与消耗!K17)*(产出与消耗!K17-产出与消耗!K16),0)</f>
        <v>16201</v>
      </c>
      <c r="K14" s="1">
        <v>8</v>
      </c>
      <c r="L14" s="69">
        <f t="shared" si="1"/>
        <v>129608</v>
      </c>
      <c r="M14" s="34">
        <f>ROUND(L14/产出与消耗!T16,4)</f>
        <v>7.4999999999999997E-3</v>
      </c>
      <c r="N14" s="1">
        <v>9</v>
      </c>
      <c r="O14" s="69">
        <f t="shared" si="2"/>
        <v>145809</v>
      </c>
      <c r="P14" s="34">
        <f>ROUND(O14/产出与消耗!T38,4)</f>
        <v>8.5000000000000006E-3</v>
      </c>
      <c r="Q14" s="1">
        <v>3</v>
      </c>
      <c r="R14" s="69">
        <f t="shared" si="3"/>
        <v>48603</v>
      </c>
      <c r="S14" s="34">
        <f>ROUND(R14/产出与消耗!T60,4)</f>
        <v>4.1999999999999997E-3</v>
      </c>
      <c r="T14" s="64">
        <f t="shared" si="5"/>
        <v>2.0199999999999999E-2</v>
      </c>
      <c r="U14" s="34">
        <f t="shared" si="6"/>
        <v>1.2450000000000001</v>
      </c>
      <c r="V14" s="34">
        <f t="shared" si="7"/>
        <v>1.2515000000000001</v>
      </c>
      <c r="W14" s="34">
        <f t="shared" si="8"/>
        <v>1.2464</v>
      </c>
    </row>
    <row r="15" spans="1:23">
      <c r="A15" s="39" t="s">
        <v>134</v>
      </c>
      <c r="B15">
        <v>14</v>
      </c>
      <c r="C15">
        <f>ROUND(C16-(C17-C16)/(产出与消耗!$K$19-产出与消耗!$K$18)*(产出与消耗!$K$18-产出与消耗!$K$17),0)</f>
        <v>19126</v>
      </c>
      <c r="D15" s="1">
        <v>2</v>
      </c>
      <c r="E15">
        <f>ROUND(D15*C15/3600/(建筑!G99*基本公式!$B$153),2)</f>
        <v>1.77</v>
      </c>
      <c r="F15" s="1">
        <v>10</v>
      </c>
      <c r="G15" s="69">
        <f t="shared" si="0"/>
        <v>191260</v>
      </c>
      <c r="H15" s="69">
        <f t="shared" si="4"/>
        <v>254855</v>
      </c>
      <c r="I15" s="69">
        <f>H15*其他表格!Y15</f>
        <v>3313115</v>
      </c>
      <c r="J15" s="80">
        <f>ROUND(C16-(C17-C16)/(产出与消耗!K19-产出与消耗!K18)*(产出与消耗!K18-产出与消耗!K17),0)</f>
        <v>19126</v>
      </c>
      <c r="K15" s="1">
        <v>8</v>
      </c>
      <c r="L15" s="69">
        <f t="shared" si="1"/>
        <v>153008</v>
      </c>
      <c r="M15" s="34">
        <f>ROUND(L15/产出与消耗!T17,4)</f>
        <v>5.1999999999999998E-3</v>
      </c>
      <c r="N15" s="1">
        <v>9</v>
      </c>
      <c r="O15" s="69">
        <f t="shared" si="2"/>
        <v>172134</v>
      </c>
      <c r="P15" s="34">
        <f>ROUND(O15/产出与消耗!T39,4)</f>
        <v>5.7999999999999996E-3</v>
      </c>
      <c r="Q15" s="1">
        <v>3</v>
      </c>
      <c r="R15" s="69">
        <f t="shared" si="3"/>
        <v>57378</v>
      </c>
      <c r="S15" s="34">
        <f>ROUND(R15/产出与消耗!T61,4)</f>
        <v>2.8999999999999998E-3</v>
      </c>
      <c r="T15" s="64">
        <f t="shared" si="5"/>
        <v>1.3899999999999999E-2</v>
      </c>
      <c r="U15" s="34">
        <f t="shared" si="6"/>
        <v>0.93880000000000008</v>
      </c>
      <c r="V15" s="34">
        <f t="shared" si="7"/>
        <v>0.94359999999999999</v>
      </c>
      <c r="W15" s="34">
        <f t="shared" si="8"/>
        <v>0.93979999999999997</v>
      </c>
    </row>
    <row r="16" spans="1:23">
      <c r="B16">
        <v>15</v>
      </c>
      <c r="C16">
        <f>ROUND(C17-(C18-C17)/(产出与消耗!$K$20-产出与消耗!$K$19)*(产出与消耗!$K$19-产出与消耗!$K$18),0)</f>
        <v>22501</v>
      </c>
      <c r="D16" s="1">
        <v>2</v>
      </c>
      <c r="E16">
        <f>ROUND(D16*C16/3600/(建筑!G100*基本公式!$B$153),2)</f>
        <v>2.08</v>
      </c>
      <c r="F16" s="1">
        <v>10</v>
      </c>
      <c r="G16" s="69">
        <f t="shared" si="0"/>
        <v>225010</v>
      </c>
      <c r="H16" s="69">
        <f t="shared" si="4"/>
        <v>309413</v>
      </c>
      <c r="I16" s="69">
        <f>H16*其他表格!Y16</f>
        <v>4331782</v>
      </c>
      <c r="J16" s="80">
        <f>ROUND(C17-(C18-C17)/(产出与消耗!K20-产出与消耗!K19)*(产出与消耗!K19-产出与消耗!K18),0)</f>
        <v>22501</v>
      </c>
      <c r="K16" s="1">
        <v>8</v>
      </c>
      <c r="L16" s="69">
        <f t="shared" si="1"/>
        <v>180008</v>
      </c>
      <c r="M16" s="34">
        <f>ROUND(L16/产出与消耗!T18,4)</f>
        <v>3.7000000000000002E-3</v>
      </c>
      <c r="N16" s="1">
        <v>9</v>
      </c>
      <c r="O16" s="69">
        <f t="shared" si="2"/>
        <v>202509</v>
      </c>
      <c r="P16" s="34">
        <f>ROUND(O16/产出与消耗!T40,4)</f>
        <v>4.1999999999999997E-3</v>
      </c>
      <c r="Q16" s="1">
        <v>3</v>
      </c>
      <c r="R16" s="69">
        <f t="shared" si="3"/>
        <v>67503</v>
      </c>
      <c r="S16" s="34">
        <f>ROUND(R16/产出与消耗!T62,4)</f>
        <v>2.0999999999999999E-3</v>
      </c>
      <c r="T16" s="64">
        <f t="shared" si="5"/>
        <v>0.01</v>
      </c>
      <c r="U16" s="34">
        <f t="shared" si="6"/>
        <v>0.71779999999999999</v>
      </c>
      <c r="V16" s="34">
        <f t="shared" si="7"/>
        <v>0.72150000000000003</v>
      </c>
      <c r="W16" s="34">
        <f t="shared" si="8"/>
        <v>0.71879999999999999</v>
      </c>
    </row>
    <row r="17" spans="1:23">
      <c r="B17">
        <v>16</v>
      </c>
      <c r="C17">
        <f>ROUND(C18-(C19-C18)/(产出与消耗!$K$21-产出与消耗!$K$20)*(产出与消耗!$K$20-产出与消耗!$K$19),0)</f>
        <v>25876</v>
      </c>
      <c r="D17" s="1">
        <v>2</v>
      </c>
      <c r="E17">
        <f>ROUND(D17*C17/3600/(建筑!G101*基本公式!$B$153),2)</f>
        <v>1.8</v>
      </c>
      <c r="F17" s="1">
        <v>10</v>
      </c>
      <c r="G17" s="69">
        <f t="shared" si="0"/>
        <v>258760</v>
      </c>
      <c r="H17" s="69">
        <f t="shared" si="4"/>
        <v>362622</v>
      </c>
      <c r="I17" s="69">
        <f>H17*其他表格!Y17</f>
        <v>5439330</v>
      </c>
      <c r="J17" s="80">
        <f>ROUND(C18-(C19-C18)/(产出与消耗!K21-产出与消耗!K20)*(产出与消耗!K20-产出与消耗!K19),0)</f>
        <v>25876</v>
      </c>
      <c r="K17" s="1">
        <v>8</v>
      </c>
      <c r="L17" s="69">
        <f t="shared" si="1"/>
        <v>207008</v>
      </c>
      <c r="M17" s="34">
        <f>ROUND(L17/产出与消耗!T19,4)</f>
        <v>2.8E-3</v>
      </c>
      <c r="N17" s="1">
        <v>9</v>
      </c>
      <c r="O17" s="69">
        <f t="shared" si="2"/>
        <v>232884</v>
      </c>
      <c r="P17" s="34">
        <f>ROUND(O17/产出与消耗!T41,4)</f>
        <v>3.0999999999999999E-3</v>
      </c>
      <c r="Q17" s="1">
        <v>3</v>
      </c>
      <c r="R17" s="69">
        <f t="shared" si="3"/>
        <v>77628</v>
      </c>
      <c r="S17" s="34">
        <f>ROUND(R17/产出与消耗!T63,4)</f>
        <v>1.5E-3</v>
      </c>
      <c r="T17" s="64">
        <f t="shared" si="5"/>
        <v>7.4000000000000003E-3</v>
      </c>
      <c r="U17" s="34">
        <f t="shared" si="6"/>
        <v>0.55410000000000004</v>
      </c>
      <c r="V17" s="34">
        <f t="shared" si="7"/>
        <v>0.55710000000000004</v>
      </c>
      <c r="W17" s="34">
        <f t="shared" si="8"/>
        <v>0.55469999999999997</v>
      </c>
    </row>
    <row r="18" spans="1:23">
      <c r="B18">
        <v>17</v>
      </c>
      <c r="C18">
        <f>ROUND(C19-(C20-C19)/(产出与消耗!$K$22-产出与消耗!$K$21)*(产出与消耗!$K$21-产出与消耗!$K$20),0)</f>
        <v>29588</v>
      </c>
      <c r="D18" s="1">
        <v>2</v>
      </c>
      <c r="E18">
        <f>ROUND(D18*C18/3600/(建筑!G102*基本公式!$B$153),2)</f>
        <v>2.0499999999999998</v>
      </c>
      <c r="F18" s="1">
        <v>10</v>
      </c>
      <c r="G18" s="69">
        <f t="shared" si="0"/>
        <v>295880</v>
      </c>
      <c r="H18" s="69">
        <f t="shared" si="4"/>
        <v>419731</v>
      </c>
      <c r="I18" s="69">
        <f>H18*其他表格!Y18</f>
        <v>6715696</v>
      </c>
      <c r="J18" s="80">
        <f>ROUND(C19-(C20-C19)/(产出与消耗!K22-产出与消耗!K21)*(产出与消耗!K21-产出与消耗!K20),0)</f>
        <v>29588</v>
      </c>
      <c r="K18" s="1">
        <v>8</v>
      </c>
      <c r="L18" s="69">
        <f t="shared" si="1"/>
        <v>236704</v>
      </c>
      <c r="M18" s="34">
        <f>ROUND(L18/产出与消耗!T20,4)</f>
        <v>2.0999999999999999E-3</v>
      </c>
      <c r="N18" s="1">
        <v>9</v>
      </c>
      <c r="O18" s="69">
        <f t="shared" si="2"/>
        <v>266292</v>
      </c>
      <c r="P18" s="34">
        <f>ROUND(O18/产出与消耗!T42,4)</f>
        <v>2.3999999999999998E-3</v>
      </c>
      <c r="Q18" s="1">
        <v>3</v>
      </c>
      <c r="R18" s="69">
        <f t="shared" si="3"/>
        <v>88764</v>
      </c>
      <c r="S18" s="34">
        <f>ROUND(R18/产出与消耗!T64,4)</f>
        <v>1.1999999999999999E-3</v>
      </c>
      <c r="T18" s="64">
        <f t="shared" si="5"/>
        <v>5.6999999999999993E-3</v>
      </c>
      <c r="U18" s="34">
        <f t="shared" si="6"/>
        <v>0.43430000000000002</v>
      </c>
      <c r="V18" s="34">
        <f t="shared" si="7"/>
        <v>0.43669999999999998</v>
      </c>
      <c r="W18" s="34">
        <f t="shared" si="8"/>
        <v>0.43509999999999999</v>
      </c>
    </row>
    <row r="19" spans="1:23">
      <c r="B19">
        <v>18</v>
      </c>
      <c r="C19">
        <f>ROUND(C20-(C21-C20)/(产出与消耗!$K$23-产出与消耗!$K$22)*(产出与消耗!$K$22-产出与消耗!$K$21),0)</f>
        <v>33750</v>
      </c>
      <c r="D19" s="1">
        <v>2</v>
      </c>
      <c r="E19">
        <f>ROUND(D19*C19/3600/(建筑!G103*基本公式!$B$153),2)</f>
        <v>2.34</v>
      </c>
      <c r="F19" s="1">
        <v>10</v>
      </c>
      <c r="G19" s="69">
        <f t="shared" si="0"/>
        <v>337500</v>
      </c>
      <c r="H19" s="69">
        <f t="shared" si="4"/>
        <v>482244</v>
      </c>
      <c r="I19" s="69">
        <f>H19*其他表格!Y19</f>
        <v>8198148</v>
      </c>
      <c r="J19" s="80">
        <f>ROUND(C20-(C21-C20)/(产出与消耗!K23-产出与消耗!K22)*(产出与消耗!K22-产出与消耗!K21),0)</f>
        <v>33750</v>
      </c>
      <c r="K19" s="1">
        <v>8</v>
      </c>
      <c r="L19" s="69">
        <f t="shared" si="1"/>
        <v>270000</v>
      </c>
      <c r="M19" s="34">
        <f>ROUND(L19/产出与消耗!T21,4)</f>
        <v>1.6999999999999999E-3</v>
      </c>
      <c r="N19" s="1">
        <v>9</v>
      </c>
      <c r="O19" s="69">
        <f t="shared" si="2"/>
        <v>303750</v>
      </c>
      <c r="P19" s="34">
        <f>ROUND(O19/产出与消耗!T43,4)</f>
        <v>1.9E-3</v>
      </c>
      <c r="Q19" s="1">
        <v>3</v>
      </c>
      <c r="R19" s="69">
        <f t="shared" si="3"/>
        <v>101250</v>
      </c>
      <c r="S19" s="34">
        <f>ROUND(R19/产出与消耗!T65,4)</f>
        <v>8.9999999999999998E-4</v>
      </c>
      <c r="T19" s="64">
        <f t="shared" si="5"/>
        <v>4.4999999999999997E-3</v>
      </c>
      <c r="U19" s="34">
        <f t="shared" si="6"/>
        <v>0.34560000000000002</v>
      </c>
      <c r="V19" s="34">
        <f t="shared" si="7"/>
        <v>0.34740000000000004</v>
      </c>
      <c r="W19" s="34">
        <f t="shared" si="8"/>
        <v>0.34610000000000002</v>
      </c>
    </row>
    <row r="20" spans="1:23">
      <c r="A20" s="40" t="s">
        <v>135</v>
      </c>
      <c r="B20">
        <v>19</v>
      </c>
      <c r="C20">
        <f>ROUND(产出与消耗!$K$22*C21/产出与消耗!$K$23,0)</f>
        <v>38250</v>
      </c>
      <c r="D20" s="1">
        <v>2</v>
      </c>
      <c r="E20">
        <f>ROUND(D20*C20/3600/(建筑!G104*基本公式!$B$153),2)</f>
        <v>2.66</v>
      </c>
      <c r="F20" s="1">
        <v>10</v>
      </c>
      <c r="G20" s="69">
        <f t="shared" si="0"/>
        <v>382500</v>
      </c>
      <c r="H20" s="69">
        <f t="shared" si="4"/>
        <v>548250</v>
      </c>
      <c r="I20" s="69">
        <f>H20*其他表格!Y20</f>
        <v>9868500</v>
      </c>
      <c r="J20" s="80">
        <f>ROUND(产出与消耗!$K$22*C21/产出与消耗!$K$23,0)</f>
        <v>38250</v>
      </c>
      <c r="K20" s="1">
        <v>8</v>
      </c>
      <c r="L20" s="69">
        <f t="shared" si="1"/>
        <v>306000</v>
      </c>
      <c r="M20" s="34">
        <f>ROUND(L20/产出与消耗!T22,4)</f>
        <v>1.2999999999999999E-3</v>
      </c>
      <c r="N20" s="1">
        <v>9</v>
      </c>
      <c r="O20" s="69">
        <f t="shared" si="2"/>
        <v>344250</v>
      </c>
      <c r="P20" s="34">
        <f>ROUND(O20/产出与消耗!T44,4)</f>
        <v>1.5E-3</v>
      </c>
      <c r="Q20" s="1">
        <v>3</v>
      </c>
      <c r="R20" s="69">
        <f t="shared" si="3"/>
        <v>114750</v>
      </c>
      <c r="S20" s="34">
        <f>ROUND(R20/产出与消耗!T66,4)</f>
        <v>6.9999999999999999E-4</v>
      </c>
      <c r="T20" s="64">
        <f t="shared" si="5"/>
        <v>3.5000000000000001E-3</v>
      </c>
      <c r="U20" s="34">
        <f t="shared" si="6"/>
        <v>0.2782</v>
      </c>
      <c r="V20" s="34">
        <f t="shared" si="7"/>
        <v>0.2797</v>
      </c>
      <c r="W20" s="34">
        <f t="shared" si="8"/>
        <v>0.27860000000000001</v>
      </c>
    </row>
    <row r="21" spans="1:23">
      <c r="B21">
        <v>20</v>
      </c>
      <c r="C21">
        <v>45000</v>
      </c>
      <c r="D21" s="1">
        <v>2</v>
      </c>
      <c r="E21">
        <f>ROUND(D21*C21/3600/(建筑!G105*基本公式!$B$153),2)</f>
        <v>2.5</v>
      </c>
      <c r="F21" s="1">
        <v>10</v>
      </c>
      <c r="G21" s="69">
        <f t="shared" si="0"/>
        <v>450000</v>
      </c>
      <c r="H21" s="69">
        <f t="shared" si="4"/>
        <v>645000</v>
      </c>
      <c r="I21" s="69">
        <f>H21*其他表格!Y21</f>
        <v>12255000</v>
      </c>
      <c r="J21" s="80">
        <v>45000</v>
      </c>
      <c r="K21" s="1">
        <v>8</v>
      </c>
      <c r="L21" s="69">
        <f t="shared" si="1"/>
        <v>360000</v>
      </c>
      <c r="M21" s="34">
        <f>ROUND(L21/产出与消耗!T23,4)</f>
        <v>1.1000000000000001E-3</v>
      </c>
      <c r="N21" s="1">
        <v>9</v>
      </c>
      <c r="O21" s="69">
        <f t="shared" si="2"/>
        <v>405000</v>
      </c>
      <c r="P21" s="34">
        <f>ROUND(O21/产出与消耗!T45,4)</f>
        <v>1.1999999999999999E-3</v>
      </c>
      <c r="Q21" s="1">
        <v>3</v>
      </c>
      <c r="R21" s="69">
        <f t="shared" si="3"/>
        <v>135000</v>
      </c>
      <c r="S21" s="34">
        <f>ROUND(R21/产出与消耗!T67,4)</f>
        <v>5.9999999999999995E-4</v>
      </c>
      <c r="T21" s="64">
        <f t="shared" si="5"/>
        <v>2.8999999999999998E-3</v>
      </c>
      <c r="U21" s="34">
        <f t="shared" si="6"/>
        <v>0.2263</v>
      </c>
      <c r="V21" s="34">
        <f t="shared" si="7"/>
        <v>0.22760000000000002</v>
      </c>
      <c r="W21" s="34">
        <f t="shared" si="8"/>
        <v>0.22669999999999998</v>
      </c>
    </row>
    <row r="23" spans="1:23">
      <c r="A23" t="s">
        <v>208</v>
      </c>
      <c r="B23">
        <v>1</v>
      </c>
      <c r="C23">
        <f>ROUND(C24-(C25-C24)/(产出与消耗!$K$6-产出与消耗!$K$5)*(产出与消耗!$K$5-产出与消耗!$K$4),0)</f>
        <v>119</v>
      </c>
      <c r="D23" s="1">
        <v>2</v>
      </c>
      <c r="E23">
        <f>ROUND(D23*C23/3600/(建筑!G86*基本公式!$B$153),2)</f>
        <v>0.03</v>
      </c>
      <c r="F23" s="1">
        <v>10</v>
      </c>
      <c r="G23" s="69">
        <f t="shared" ref="G23:G42" si="9">F23*C23</f>
        <v>1190</v>
      </c>
      <c r="K23" s="1">
        <v>6</v>
      </c>
      <c r="L23" s="69">
        <f t="shared" ref="L23:L42" si="10">ROUND(K23*C23,0)</f>
        <v>714</v>
      </c>
      <c r="M23" s="34">
        <f>ROUND(L23/产出与消耗!T4,4)</f>
        <v>0.1779</v>
      </c>
      <c r="N23" s="1">
        <v>3</v>
      </c>
      <c r="O23" s="69">
        <f t="shared" ref="O23:O42" si="11">ROUND(N23*C23,0)</f>
        <v>357</v>
      </c>
      <c r="P23" s="34">
        <f>ROUND(O23/产出与消耗!T26,4)</f>
        <v>7.1199999999999999E-2</v>
      </c>
      <c r="Q23" s="1">
        <v>8</v>
      </c>
      <c r="R23" s="69">
        <f t="shared" ref="R23:R42" si="12">ROUND(Q23*C23,0)</f>
        <v>952</v>
      </c>
      <c r="S23" s="34">
        <f>ROUND(R23/产出与消耗!T48,4)</f>
        <v>0.2374</v>
      </c>
      <c r="T23" s="64">
        <f>M23+P23+S23</f>
        <v>0.48649999999999999</v>
      </c>
    </row>
    <row r="24" spans="1:23">
      <c r="B24">
        <v>2</v>
      </c>
      <c r="C24">
        <f>ROUND(C25-(C26-C25)/(产出与消耗!$K$7-产出与消耗!$K$6)*(产出与消耗!$K$6-产出与消耗!$K$5),0)</f>
        <v>231</v>
      </c>
      <c r="D24" s="1">
        <v>2</v>
      </c>
      <c r="E24">
        <f>ROUND(D24*C24/3600/(建筑!G87*基本公式!$B$153),2)</f>
        <v>0.06</v>
      </c>
      <c r="F24" s="1">
        <v>10</v>
      </c>
      <c r="G24" s="69">
        <f t="shared" si="9"/>
        <v>2310</v>
      </c>
      <c r="K24" s="1">
        <v>6</v>
      </c>
      <c r="L24" s="69">
        <f t="shared" si="10"/>
        <v>1386</v>
      </c>
      <c r="M24" s="34">
        <f>ROUND(L24/产出与消耗!T5,4)</f>
        <v>0.19370000000000001</v>
      </c>
      <c r="N24" s="1">
        <v>3</v>
      </c>
      <c r="O24" s="69">
        <f t="shared" si="11"/>
        <v>693</v>
      </c>
      <c r="P24" s="34">
        <f>ROUND(O24/产出与消耗!T27,4)</f>
        <v>8.5000000000000006E-2</v>
      </c>
      <c r="Q24" s="1">
        <v>8</v>
      </c>
      <c r="R24" s="69">
        <f t="shared" si="12"/>
        <v>1848</v>
      </c>
      <c r="S24" s="34">
        <f>ROUND(R24/产出与消耗!T49,4)</f>
        <v>0.2601</v>
      </c>
      <c r="T24" s="64">
        <f t="shared" ref="T24:T42" si="13">M24+P24+S24</f>
        <v>0.53879999999999995</v>
      </c>
    </row>
    <row r="25" spans="1:23">
      <c r="B25">
        <v>3</v>
      </c>
      <c r="C25">
        <f>ROUND(C26-(C27-C26)/(产出与消耗!$K$8-产出与消耗!$K$7)*(产出与消耗!$K$7-产出与消耗!$K$6),0)</f>
        <v>343</v>
      </c>
      <c r="D25" s="1">
        <v>2</v>
      </c>
      <c r="E25">
        <f>ROUND(D25*C25/3600/(建筑!G88*基本公式!$B$153),2)</f>
        <v>0.1</v>
      </c>
      <c r="F25" s="1">
        <v>10</v>
      </c>
      <c r="G25" s="69">
        <f t="shared" si="9"/>
        <v>3430</v>
      </c>
      <c r="K25" s="1">
        <v>6</v>
      </c>
      <c r="L25" s="69">
        <f t="shared" si="10"/>
        <v>2058</v>
      </c>
      <c r="M25" s="34">
        <f>ROUND(L25/产出与消耗!T6,4)</f>
        <v>0.18690000000000001</v>
      </c>
      <c r="N25" s="1">
        <v>3</v>
      </c>
      <c r="O25" s="69">
        <f t="shared" si="11"/>
        <v>1029</v>
      </c>
      <c r="P25" s="34">
        <f>ROUND(O25/产出与消耗!T28,4)</f>
        <v>8.5699999999999998E-2</v>
      </c>
      <c r="Q25" s="1">
        <v>8</v>
      </c>
      <c r="R25" s="69">
        <f t="shared" si="12"/>
        <v>2744</v>
      </c>
      <c r="S25" s="34">
        <f>ROUND(R25/产出与消耗!T50,4)</f>
        <v>0.2571</v>
      </c>
      <c r="T25" s="64">
        <f t="shared" si="13"/>
        <v>0.52970000000000006</v>
      </c>
    </row>
    <row r="26" spans="1:23">
      <c r="B26">
        <v>4</v>
      </c>
      <c r="C26">
        <f>ROUND(C27-(C28-C27)/(产出与消耗!$K$9-产出与消耗!$K$8)*(产出与消耗!$K$8-产出与消耗!$K$7),0)</f>
        <v>568</v>
      </c>
      <c r="D26" s="1">
        <v>2</v>
      </c>
      <c r="E26">
        <f>ROUND(D26*C26/3600/(建筑!G89*基本公式!$B$153),2)</f>
        <v>0.16</v>
      </c>
      <c r="F26" s="1">
        <v>10</v>
      </c>
      <c r="G26" s="69">
        <f t="shared" si="9"/>
        <v>5680</v>
      </c>
      <c r="K26" s="1">
        <v>6</v>
      </c>
      <c r="L26" s="69">
        <f t="shared" si="10"/>
        <v>3408</v>
      </c>
      <c r="M26" s="34">
        <f>ROUND(L26/产出与消耗!T7,4)</f>
        <v>0.21190000000000001</v>
      </c>
      <c r="N26" s="1">
        <v>3</v>
      </c>
      <c r="O26" s="69">
        <f t="shared" si="11"/>
        <v>1704</v>
      </c>
      <c r="P26" s="34">
        <f>ROUND(O26/产出与消耗!T29,4)</f>
        <v>9.98E-2</v>
      </c>
      <c r="Q26" s="1">
        <v>8</v>
      </c>
      <c r="R26" s="69">
        <f t="shared" si="12"/>
        <v>4544</v>
      </c>
      <c r="S26" s="34">
        <f>ROUND(R26/产出与消耗!T51,4)</f>
        <v>0.30869999999999997</v>
      </c>
      <c r="T26" s="64">
        <f t="shared" si="13"/>
        <v>0.62039999999999995</v>
      </c>
    </row>
    <row r="27" spans="1:23">
      <c r="B27">
        <v>5</v>
      </c>
      <c r="C27">
        <f>ROUND(C28-(C29-C28)/(产出与消耗!$K$10-产出与消耗!$K$9)*(产出与消耗!$K$9-产出与消耗!$K$8),0)</f>
        <v>905</v>
      </c>
      <c r="D27" s="1">
        <v>2</v>
      </c>
      <c r="E27">
        <f>ROUND(D27*C27/3600/(建筑!G90*基本公式!$B$153),2)</f>
        <v>0.25</v>
      </c>
      <c r="F27" s="1">
        <v>10</v>
      </c>
      <c r="G27" s="69">
        <f t="shared" si="9"/>
        <v>9050</v>
      </c>
      <c r="K27" s="1">
        <v>6</v>
      </c>
      <c r="L27" s="69">
        <f t="shared" si="10"/>
        <v>5430</v>
      </c>
      <c r="M27" s="34">
        <f>ROUND(L27/产出与消耗!T8,4)</f>
        <v>0.21529999999999999</v>
      </c>
      <c r="N27" s="1">
        <v>3</v>
      </c>
      <c r="O27" s="69">
        <f t="shared" si="11"/>
        <v>2715</v>
      </c>
      <c r="P27" s="34">
        <f>ROUND(O27/产出与消耗!T30,4)</f>
        <v>0.1077</v>
      </c>
      <c r="Q27" s="1">
        <v>8</v>
      </c>
      <c r="R27" s="69">
        <f t="shared" si="12"/>
        <v>7240</v>
      </c>
      <c r="S27" s="34">
        <f>ROUND(R27/产出与消耗!T52,4)</f>
        <v>0.34789999999999999</v>
      </c>
      <c r="T27" s="64">
        <f t="shared" si="13"/>
        <v>0.67090000000000005</v>
      </c>
    </row>
    <row r="28" spans="1:23">
      <c r="B28">
        <v>6</v>
      </c>
      <c r="C28">
        <f>ROUND(C29-(C30-C29)/(产出与消耗!$K$11-产出与消耗!$K$10)*(产出与消耗!$K$10-产出与消耗!$K$9),0)</f>
        <v>1467</v>
      </c>
      <c r="D28" s="1">
        <v>2</v>
      </c>
      <c r="E28">
        <f>ROUND(D28*C28/3600/(建筑!G91*基本公式!$B$153),2)</f>
        <v>0.41</v>
      </c>
      <c r="F28" s="1">
        <v>10</v>
      </c>
      <c r="G28" s="69">
        <f t="shared" si="9"/>
        <v>14670</v>
      </c>
      <c r="K28" s="1">
        <v>6</v>
      </c>
      <c r="L28" s="69">
        <f t="shared" si="10"/>
        <v>8802</v>
      </c>
      <c r="M28" s="34">
        <f>ROUND(L28/产出与消耗!T9,4)</f>
        <v>0.14030000000000001</v>
      </c>
      <c r="N28" s="1">
        <v>3</v>
      </c>
      <c r="O28" s="69">
        <f t="shared" si="11"/>
        <v>4401</v>
      </c>
      <c r="P28" s="34">
        <f>ROUND(O28/产出与消耗!T31,4)</f>
        <v>7.0099999999999996E-2</v>
      </c>
      <c r="Q28" s="1">
        <v>8</v>
      </c>
      <c r="R28" s="69">
        <f t="shared" si="12"/>
        <v>11736</v>
      </c>
      <c r="S28" s="34">
        <f>ROUND(R28/产出与消耗!T53,4)</f>
        <v>0.25990000000000002</v>
      </c>
      <c r="T28" s="64">
        <f t="shared" si="13"/>
        <v>0.47030000000000005</v>
      </c>
    </row>
    <row r="29" spans="1:23">
      <c r="B29">
        <v>7</v>
      </c>
      <c r="C29">
        <f>ROUND(C30-(C31-C30)/(产出与消耗!$K$12-产出与消耗!$K$11)*(产出与消耗!$K$11-产出与消耗!$K$10),0)</f>
        <v>2367</v>
      </c>
      <c r="D29" s="1">
        <v>2</v>
      </c>
      <c r="E29">
        <f>ROUND(D29*C29/3600/(建筑!G92*基本公式!$B$153),2)</f>
        <v>0.33</v>
      </c>
      <c r="F29" s="1">
        <v>10</v>
      </c>
      <c r="G29" s="69">
        <f t="shared" si="9"/>
        <v>23670</v>
      </c>
      <c r="K29" s="1">
        <v>6</v>
      </c>
      <c r="L29" s="69">
        <f t="shared" si="10"/>
        <v>14202</v>
      </c>
      <c r="M29" s="34">
        <f>ROUND(L29/产出与消耗!T10,4)</f>
        <v>0.1081</v>
      </c>
      <c r="N29" s="1">
        <v>3</v>
      </c>
      <c r="O29" s="69">
        <f t="shared" si="11"/>
        <v>7101</v>
      </c>
      <c r="P29" s="34">
        <f>ROUND(O29/产出与消耗!T32,4)</f>
        <v>5.3999999999999999E-2</v>
      </c>
      <c r="Q29" s="1">
        <v>8</v>
      </c>
      <c r="R29" s="69">
        <f t="shared" si="12"/>
        <v>18936</v>
      </c>
      <c r="S29" s="34">
        <f>ROUND(R29/产出与消耗!T54,4)</f>
        <v>0.2082</v>
      </c>
      <c r="T29" s="64">
        <f t="shared" si="13"/>
        <v>0.37029999999999996</v>
      </c>
    </row>
    <row r="30" spans="1:23">
      <c r="A30" s="11"/>
      <c r="B30">
        <v>8</v>
      </c>
      <c r="C30">
        <f>ROUND(C31-(C32-C31)/(产出与消耗!$K$13-产出与消耗!$K$12)*(产出与消耗!$K$12-产出与消耗!$K$11),0)</f>
        <v>3829</v>
      </c>
      <c r="D30" s="1">
        <v>2</v>
      </c>
      <c r="E30">
        <f>ROUND(D30*C30/3600/(建筑!G93*基本公式!$B$153),2)</f>
        <v>0.53</v>
      </c>
      <c r="F30" s="1">
        <v>10</v>
      </c>
      <c r="G30" s="69">
        <f t="shared" si="9"/>
        <v>38290</v>
      </c>
      <c r="K30" s="1">
        <v>6</v>
      </c>
      <c r="L30" s="69">
        <f t="shared" si="10"/>
        <v>22974</v>
      </c>
      <c r="M30" s="34">
        <f>ROUND(L30/产出与消耗!T11,4)</f>
        <v>6.2799999999999995E-2</v>
      </c>
      <c r="N30" s="1">
        <v>3</v>
      </c>
      <c r="O30" s="69">
        <f t="shared" si="11"/>
        <v>11487</v>
      </c>
      <c r="P30" s="34">
        <f>ROUND(O30/产出与消耗!T33,4)</f>
        <v>3.1399999999999997E-2</v>
      </c>
      <c r="Q30" s="1">
        <v>8</v>
      </c>
      <c r="R30" s="69">
        <f t="shared" si="12"/>
        <v>30632</v>
      </c>
      <c r="S30" s="34">
        <f>ROUND(R30/产出与消耗!T55,4)</f>
        <v>0.12379999999999999</v>
      </c>
      <c r="T30" s="64">
        <f t="shared" si="13"/>
        <v>0.21799999999999997</v>
      </c>
    </row>
    <row r="31" spans="1:23">
      <c r="B31">
        <v>9</v>
      </c>
      <c r="C31">
        <f>ROUND(C32-(C33-C32)/(产出与消耗!$K$14-产出与消耗!$K$13)*(产出与消耗!$K$13-产出与消耗!$K$12),0)</f>
        <v>5291</v>
      </c>
      <c r="D31" s="1">
        <v>2</v>
      </c>
      <c r="E31">
        <f>ROUND(D31*C31/3600/(建筑!G94*基本公式!$B$153),2)</f>
        <v>0.73</v>
      </c>
      <c r="F31" s="1">
        <v>10</v>
      </c>
      <c r="G31" s="69">
        <f t="shared" si="9"/>
        <v>52910</v>
      </c>
      <c r="K31" s="1">
        <v>6</v>
      </c>
      <c r="L31" s="69">
        <f t="shared" si="10"/>
        <v>31746</v>
      </c>
      <c r="M31" s="34">
        <f>ROUND(L31/产出与消耗!T12,4)</f>
        <v>3.7999999999999999E-2</v>
      </c>
      <c r="N31" s="1">
        <v>3</v>
      </c>
      <c r="O31" s="69">
        <f t="shared" si="11"/>
        <v>15873</v>
      </c>
      <c r="P31" s="34">
        <f>ROUND(O31/产出与消耗!T34,4)</f>
        <v>1.9E-2</v>
      </c>
      <c r="Q31" s="1">
        <v>8</v>
      </c>
      <c r="R31" s="69">
        <f t="shared" si="12"/>
        <v>42328</v>
      </c>
      <c r="S31" s="34">
        <f>ROUND(R31/产出与消耗!T56,4)</f>
        <v>7.5600000000000001E-2</v>
      </c>
      <c r="T31" s="64">
        <f t="shared" si="13"/>
        <v>0.1326</v>
      </c>
    </row>
    <row r="32" spans="1:23">
      <c r="A32" s="38" t="s">
        <v>133</v>
      </c>
      <c r="B32">
        <v>10</v>
      </c>
      <c r="C32">
        <f>ROUND(C33-(C34-C33)/(产出与消耗!$K$15-产出与消耗!$K$14)*(产出与消耗!$K$14-产出与消耗!$K$13),0)</f>
        <v>7653</v>
      </c>
      <c r="D32" s="1">
        <v>2</v>
      </c>
      <c r="E32">
        <f>ROUND(D32*C32/3600/(建筑!G95*基本公式!$B$153),2)</f>
        <v>1.06</v>
      </c>
      <c r="F32" s="1">
        <v>10</v>
      </c>
      <c r="G32" s="69">
        <f t="shared" si="9"/>
        <v>76530</v>
      </c>
      <c r="K32" s="1">
        <v>6</v>
      </c>
      <c r="L32" s="69">
        <f t="shared" si="10"/>
        <v>45918</v>
      </c>
      <c r="M32" s="34">
        <f>ROUND(L32/产出与消耗!T13,4)</f>
        <v>2.3400000000000001E-2</v>
      </c>
      <c r="N32" s="1">
        <v>3</v>
      </c>
      <c r="O32" s="69">
        <f t="shared" si="11"/>
        <v>22959</v>
      </c>
      <c r="P32" s="34">
        <f>ROUND(O32/产出与消耗!T35,4)</f>
        <v>1.17E-2</v>
      </c>
      <c r="Q32" s="1">
        <v>8</v>
      </c>
      <c r="R32" s="69">
        <f t="shared" si="12"/>
        <v>61224</v>
      </c>
      <c r="S32" s="34">
        <f>ROUND(R32/产出与消耗!T57,4)</f>
        <v>4.6600000000000003E-2</v>
      </c>
      <c r="T32" s="64">
        <f t="shared" si="13"/>
        <v>8.1699999999999995E-2</v>
      </c>
    </row>
    <row r="33" spans="1:20">
      <c r="B33">
        <v>11</v>
      </c>
      <c r="C33">
        <f>ROUND(C34-(C35-C34)/(产出与消耗!$K$16-产出与消耗!$K$15)*(产出与消耗!$K$15-产出与消耗!$K$14),0)</f>
        <v>9115</v>
      </c>
      <c r="D33" s="1">
        <v>2</v>
      </c>
      <c r="E33">
        <f>ROUND(D33*C33/3600/(建筑!G96*基本公式!$B$153),2)</f>
        <v>1.27</v>
      </c>
      <c r="F33" s="1">
        <v>10</v>
      </c>
      <c r="G33" s="69">
        <f t="shared" si="9"/>
        <v>91150</v>
      </c>
      <c r="K33" s="1">
        <v>6</v>
      </c>
      <c r="L33" s="69">
        <f t="shared" si="10"/>
        <v>54690</v>
      </c>
      <c r="M33" s="34">
        <f>ROUND(L33/产出与消耗!T14,4)</f>
        <v>1.38E-2</v>
      </c>
      <c r="N33" s="1">
        <v>3</v>
      </c>
      <c r="O33" s="69">
        <f t="shared" si="11"/>
        <v>27345</v>
      </c>
      <c r="P33" s="34">
        <f>ROUND(O33/产出与消耗!T36,4)</f>
        <v>6.8999999999999999E-3</v>
      </c>
      <c r="Q33" s="1">
        <v>8</v>
      </c>
      <c r="R33" s="69">
        <f t="shared" si="12"/>
        <v>72920</v>
      </c>
      <c r="S33" s="34">
        <f>ROUND(R33/产出与消耗!T58,4)</f>
        <v>2.76E-2</v>
      </c>
      <c r="T33" s="64">
        <f t="shared" si="13"/>
        <v>4.8299999999999996E-2</v>
      </c>
    </row>
    <row r="34" spans="1:20">
      <c r="B34">
        <v>12</v>
      </c>
      <c r="C34">
        <f>ROUND(C35-(C36-C35)/(产出与消耗!$K$17-产出与消耗!$K$16)*(产出与消耗!$K$16-产出与消耗!$K$15),0)</f>
        <v>12939</v>
      </c>
      <c r="D34" s="1">
        <v>2</v>
      </c>
      <c r="E34">
        <f>ROUND(D34*C34/3600/(建筑!G97*基本公式!$B$153),2)</f>
        <v>1.2</v>
      </c>
      <c r="F34" s="1">
        <v>10</v>
      </c>
      <c r="G34" s="69">
        <f t="shared" si="9"/>
        <v>129390</v>
      </c>
      <c r="K34" s="1">
        <v>6</v>
      </c>
      <c r="L34" s="69">
        <f t="shared" si="10"/>
        <v>77634</v>
      </c>
      <c r="M34" s="34">
        <f>ROUND(L34/产出与消耗!T15,4)</f>
        <v>8.8000000000000005E-3</v>
      </c>
      <c r="N34" s="1">
        <v>3</v>
      </c>
      <c r="O34" s="69">
        <f t="shared" si="11"/>
        <v>38817</v>
      </c>
      <c r="P34" s="34">
        <f>ROUND(O34/产出与消耗!T37,4)</f>
        <v>4.4000000000000003E-3</v>
      </c>
      <c r="Q34" s="1">
        <v>8</v>
      </c>
      <c r="R34" s="69">
        <f t="shared" si="12"/>
        <v>103512</v>
      </c>
      <c r="S34" s="34">
        <f>ROUND(R34/产出与消耗!T59,4)</f>
        <v>1.7500000000000002E-2</v>
      </c>
      <c r="T34" s="64">
        <f t="shared" si="13"/>
        <v>3.0700000000000002E-2</v>
      </c>
    </row>
    <row r="35" spans="1:20">
      <c r="A35" s="11"/>
      <c r="B35">
        <v>13</v>
      </c>
      <c r="C35">
        <f>ROUND(C36-(C37-C36)/(产出与消耗!$K$18-产出与消耗!$K$17)*(产出与消耗!$K$17-产出与消耗!$K$16),0)</f>
        <v>16201</v>
      </c>
      <c r="D35" s="1">
        <v>2</v>
      </c>
      <c r="E35">
        <f>ROUND(D35*C35/3600/(建筑!G98*基本公式!$B$153),2)</f>
        <v>1.5</v>
      </c>
      <c r="F35" s="1">
        <v>10</v>
      </c>
      <c r="G35" s="69">
        <f t="shared" si="9"/>
        <v>162010</v>
      </c>
      <c r="K35" s="1">
        <v>6</v>
      </c>
      <c r="L35" s="69">
        <f t="shared" si="10"/>
        <v>97206</v>
      </c>
      <c r="M35" s="34">
        <f>ROUND(L35/产出与消耗!T16,4)</f>
        <v>5.7000000000000002E-3</v>
      </c>
      <c r="N35" s="1">
        <v>3</v>
      </c>
      <c r="O35" s="69">
        <f t="shared" si="11"/>
        <v>48603</v>
      </c>
      <c r="P35" s="34">
        <f>ROUND(O35/产出与消耗!T38,4)</f>
        <v>2.8E-3</v>
      </c>
      <c r="Q35" s="1">
        <v>8</v>
      </c>
      <c r="R35" s="69">
        <f t="shared" si="12"/>
        <v>129608</v>
      </c>
      <c r="S35" s="34">
        <f>ROUND(R35/产出与消耗!T60,4)</f>
        <v>1.1299999999999999E-2</v>
      </c>
      <c r="T35" s="64">
        <f t="shared" si="13"/>
        <v>1.9799999999999998E-2</v>
      </c>
    </row>
    <row r="36" spans="1:20">
      <c r="A36" s="39" t="s">
        <v>134</v>
      </c>
      <c r="B36">
        <v>14</v>
      </c>
      <c r="C36">
        <f>ROUND(C37-(C38-C37)/(产出与消耗!$K$19-产出与消耗!$K$18)*(产出与消耗!$K$18-产出与消耗!$K$17),0)</f>
        <v>19126</v>
      </c>
      <c r="D36" s="1">
        <v>2</v>
      </c>
      <c r="E36">
        <f>ROUND(D36*C36/3600/(建筑!G99*基本公式!$B$153),2)</f>
        <v>1.77</v>
      </c>
      <c r="F36" s="1">
        <v>10</v>
      </c>
      <c r="G36" s="69">
        <f t="shared" si="9"/>
        <v>191260</v>
      </c>
      <c r="K36" s="1">
        <v>6</v>
      </c>
      <c r="L36" s="69">
        <f t="shared" si="10"/>
        <v>114756</v>
      </c>
      <c r="M36" s="34">
        <f>ROUND(L36/产出与消耗!T17,4)</f>
        <v>3.8999999999999998E-3</v>
      </c>
      <c r="N36" s="1">
        <v>3</v>
      </c>
      <c r="O36" s="69">
        <f t="shared" si="11"/>
        <v>57378</v>
      </c>
      <c r="P36" s="34">
        <f>ROUND(O36/产出与消耗!T39,4)</f>
        <v>1.9E-3</v>
      </c>
      <c r="Q36" s="1">
        <v>8</v>
      </c>
      <c r="R36" s="69">
        <f t="shared" si="12"/>
        <v>153008</v>
      </c>
      <c r="S36" s="34">
        <f>ROUND(R36/产出与消耗!T61,4)</f>
        <v>7.7999999999999996E-3</v>
      </c>
      <c r="T36" s="64">
        <f t="shared" si="13"/>
        <v>1.3599999999999999E-2</v>
      </c>
    </row>
    <row r="37" spans="1:20">
      <c r="B37">
        <v>15</v>
      </c>
      <c r="C37">
        <f>ROUND(C38-(C39-C38)/(产出与消耗!$K$20-产出与消耗!$K$19)*(产出与消耗!$K$19-产出与消耗!$K$18),0)</f>
        <v>22501</v>
      </c>
      <c r="D37" s="1">
        <v>2</v>
      </c>
      <c r="E37">
        <f>ROUND(D37*C37/3600/(建筑!G100*基本公式!$B$153),2)</f>
        <v>2.08</v>
      </c>
      <c r="F37" s="1">
        <v>10</v>
      </c>
      <c r="G37" s="69">
        <f t="shared" si="9"/>
        <v>225010</v>
      </c>
      <c r="K37" s="1">
        <v>6</v>
      </c>
      <c r="L37" s="69">
        <f t="shared" si="10"/>
        <v>135006</v>
      </c>
      <c r="M37" s="34">
        <f>ROUND(L37/产出与消耗!T18,4)</f>
        <v>2.8E-3</v>
      </c>
      <c r="N37" s="1">
        <v>3</v>
      </c>
      <c r="O37" s="69">
        <f t="shared" si="11"/>
        <v>67503</v>
      </c>
      <c r="P37" s="34">
        <f>ROUND(O37/产出与消耗!T40,4)</f>
        <v>1.4E-3</v>
      </c>
      <c r="Q37" s="1">
        <v>8</v>
      </c>
      <c r="R37" s="69">
        <f t="shared" si="12"/>
        <v>180008</v>
      </c>
      <c r="S37" s="34">
        <f>ROUND(R37/产出与消耗!T62,4)</f>
        <v>5.5999999999999999E-3</v>
      </c>
      <c r="T37" s="64">
        <f t="shared" si="13"/>
        <v>9.7999999999999997E-3</v>
      </c>
    </row>
    <row r="38" spans="1:20">
      <c r="B38">
        <v>16</v>
      </c>
      <c r="C38">
        <f>ROUND(C39-(C40-C39)/(产出与消耗!$K$21-产出与消耗!$K$20)*(产出与消耗!$K$20-产出与消耗!$K$19),0)</f>
        <v>25876</v>
      </c>
      <c r="D38" s="1">
        <v>2</v>
      </c>
      <c r="E38">
        <f>ROUND(D38*C38/3600/(建筑!G101*基本公式!$B$153),2)</f>
        <v>1.8</v>
      </c>
      <c r="F38" s="1">
        <v>10</v>
      </c>
      <c r="G38" s="69">
        <f t="shared" si="9"/>
        <v>258760</v>
      </c>
      <c r="K38" s="1">
        <v>6</v>
      </c>
      <c r="L38" s="69">
        <f t="shared" si="10"/>
        <v>155256</v>
      </c>
      <c r="M38" s="34">
        <f>ROUND(L38/产出与消耗!T19,4)</f>
        <v>2.0999999999999999E-3</v>
      </c>
      <c r="N38" s="1">
        <v>3</v>
      </c>
      <c r="O38" s="69">
        <f t="shared" si="11"/>
        <v>77628</v>
      </c>
      <c r="P38" s="34">
        <f>ROUND(O38/产出与消耗!T41,4)</f>
        <v>1E-3</v>
      </c>
      <c r="Q38" s="1">
        <v>8</v>
      </c>
      <c r="R38" s="69">
        <f t="shared" si="12"/>
        <v>207008</v>
      </c>
      <c r="S38" s="34">
        <f>ROUND(R38/产出与消耗!T63,4)</f>
        <v>4.1000000000000003E-3</v>
      </c>
      <c r="T38" s="64">
        <f t="shared" si="13"/>
        <v>7.1999999999999998E-3</v>
      </c>
    </row>
    <row r="39" spans="1:20">
      <c r="B39">
        <v>17</v>
      </c>
      <c r="C39">
        <f>ROUND(C40-(C41-C40)/(产出与消耗!$K$22-产出与消耗!$K$21)*(产出与消耗!$K$21-产出与消耗!$K$20),0)</f>
        <v>29588</v>
      </c>
      <c r="D39" s="1">
        <v>2</v>
      </c>
      <c r="E39">
        <f>ROUND(D39*C39/3600/(建筑!G102*基本公式!$B$153),2)</f>
        <v>2.0499999999999998</v>
      </c>
      <c r="F39" s="1">
        <v>10</v>
      </c>
      <c r="G39" s="69">
        <f t="shared" si="9"/>
        <v>295880</v>
      </c>
      <c r="K39" s="1">
        <v>6</v>
      </c>
      <c r="L39" s="69">
        <f t="shared" si="10"/>
        <v>177528</v>
      </c>
      <c r="M39" s="34">
        <f>ROUND(L39/产出与消耗!T20,4)</f>
        <v>1.6000000000000001E-3</v>
      </c>
      <c r="N39" s="1">
        <v>3</v>
      </c>
      <c r="O39" s="69">
        <f t="shared" si="11"/>
        <v>88764</v>
      </c>
      <c r="P39" s="34">
        <f>ROUND(O39/产出与消耗!T42,4)</f>
        <v>8.0000000000000004E-4</v>
      </c>
      <c r="Q39" s="1">
        <v>8</v>
      </c>
      <c r="R39" s="69">
        <f t="shared" si="12"/>
        <v>236704</v>
      </c>
      <c r="S39" s="34">
        <f>ROUND(R39/产出与消耗!T64,4)</f>
        <v>3.2000000000000002E-3</v>
      </c>
      <c r="T39" s="64">
        <f t="shared" si="13"/>
        <v>5.6000000000000008E-3</v>
      </c>
    </row>
    <row r="40" spans="1:20">
      <c r="B40">
        <v>18</v>
      </c>
      <c r="C40">
        <f>ROUND(C41-(C42-C41)/(产出与消耗!$K$23-产出与消耗!$K$22)*(产出与消耗!$K$22-产出与消耗!$K$21),0)</f>
        <v>33750</v>
      </c>
      <c r="D40" s="1">
        <v>2</v>
      </c>
      <c r="E40">
        <f>ROUND(D40*C40/3600/(建筑!G103*基本公式!$B$153),2)</f>
        <v>2.34</v>
      </c>
      <c r="F40" s="1">
        <v>10</v>
      </c>
      <c r="G40" s="69">
        <f t="shared" si="9"/>
        <v>337500</v>
      </c>
      <c r="K40" s="1">
        <v>6</v>
      </c>
      <c r="L40" s="69">
        <f t="shared" si="10"/>
        <v>202500</v>
      </c>
      <c r="M40" s="34">
        <f>ROUND(L40/产出与消耗!T21,4)</f>
        <v>1.1999999999999999E-3</v>
      </c>
      <c r="N40" s="1">
        <v>3</v>
      </c>
      <c r="O40" s="69">
        <f t="shared" si="11"/>
        <v>101250</v>
      </c>
      <c r="P40" s="34">
        <f>ROUND(O40/产出与消耗!T43,4)</f>
        <v>5.9999999999999995E-4</v>
      </c>
      <c r="Q40" s="1">
        <v>8</v>
      </c>
      <c r="R40" s="69">
        <f t="shared" si="12"/>
        <v>270000</v>
      </c>
      <c r="S40" s="34">
        <f>ROUND(R40/产出与消耗!T65,4)</f>
        <v>2.5000000000000001E-3</v>
      </c>
      <c r="T40" s="64">
        <f t="shared" si="13"/>
        <v>4.3E-3</v>
      </c>
    </row>
    <row r="41" spans="1:20">
      <c r="A41" s="40" t="s">
        <v>135</v>
      </c>
      <c r="B41">
        <v>19</v>
      </c>
      <c r="C41">
        <f>ROUND(产出与消耗!$K$22*C42/产出与消耗!$K$23,0)</f>
        <v>38250</v>
      </c>
      <c r="D41" s="1">
        <v>2</v>
      </c>
      <c r="E41">
        <f>ROUND(D41*C41/3600/(建筑!G104*基本公式!$B$153),2)</f>
        <v>2.66</v>
      </c>
      <c r="F41" s="1">
        <v>10</v>
      </c>
      <c r="G41" s="69">
        <f t="shared" si="9"/>
        <v>382500</v>
      </c>
      <c r="K41" s="1">
        <v>6</v>
      </c>
      <c r="L41" s="69">
        <f t="shared" si="10"/>
        <v>229500</v>
      </c>
      <c r="M41" s="34">
        <f>ROUND(L41/产出与消耗!T22,4)</f>
        <v>1E-3</v>
      </c>
      <c r="N41" s="1">
        <v>3</v>
      </c>
      <c r="O41" s="69">
        <f t="shared" si="11"/>
        <v>114750</v>
      </c>
      <c r="P41" s="34">
        <f>ROUND(O41/产出与消耗!T44,4)</f>
        <v>5.0000000000000001E-4</v>
      </c>
      <c r="Q41" s="1">
        <v>8</v>
      </c>
      <c r="R41" s="69">
        <f t="shared" si="12"/>
        <v>306000</v>
      </c>
      <c r="S41" s="34">
        <f>ROUND(R41/产出与消耗!T66,4)</f>
        <v>2E-3</v>
      </c>
      <c r="T41" s="64">
        <f t="shared" si="13"/>
        <v>3.5000000000000001E-3</v>
      </c>
    </row>
    <row r="42" spans="1:20">
      <c r="B42">
        <v>20</v>
      </c>
      <c r="C42">
        <v>45000</v>
      </c>
      <c r="D42" s="1">
        <v>2</v>
      </c>
      <c r="E42">
        <f>ROUND(D42*C42/3600/(建筑!G105*基本公式!$B$153),2)</f>
        <v>2.5</v>
      </c>
      <c r="F42" s="1">
        <v>10</v>
      </c>
      <c r="G42" s="69">
        <f t="shared" si="9"/>
        <v>450000</v>
      </c>
      <c r="K42" s="1">
        <v>6</v>
      </c>
      <c r="L42" s="69">
        <f t="shared" si="10"/>
        <v>270000</v>
      </c>
      <c r="M42" s="34">
        <f>ROUND(L42/产出与消耗!T23,4)</f>
        <v>8.0000000000000004E-4</v>
      </c>
      <c r="N42" s="1">
        <v>3</v>
      </c>
      <c r="O42" s="69">
        <f t="shared" si="11"/>
        <v>135000</v>
      </c>
      <c r="P42" s="34">
        <f>ROUND(O42/产出与消耗!T45,4)</f>
        <v>4.0000000000000002E-4</v>
      </c>
      <c r="Q42" s="1">
        <v>8</v>
      </c>
      <c r="R42" s="69">
        <f t="shared" si="12"/>
        <v>360000</v>
      </c>
      <c r="S42" s="34">
        <f>ROUND(R42/产出与消耗!T67,4)</f>
        <v>1.6000000000000001E-3</v>
      </c>
      <c r="T42" s="64">
        <f t="shared" si="13"/>
        <v>2.8000000000000004E-3</v>
      </c>
    </row>
    <row r="44" spans="1:20">
      <c r="A44" t="s">
        <v>211</v>
      </c>
      <c r="B44">
        <v>1</v>
      </c>
      <c r="C44">
        <f>ROUND(C45-(C46-C45)/(产出与消耗!$K$6-产出与消耗!$K$5)*(产出与消耗!$K$5-产出与消耗!$K$4),0)</f>
        <v>119</v>
      </c>
      <c r="D44" s="1">
        <v>1.4</v>
      </c>
      <c r="E44">
        <f>ROUND(D44*C44/3600/(建筑!G86*基本公式!$B$153),2)</f>
        <v>0.02</v>
      </c>
      <c r="F44" s="1">
        <v>12</v>
      </c>
      <c r="G44" s="69">
        <f t="shared" ref="G44:G63" si="14">F44*C44</f>
        <v>1428</v>
      </c>
      <c r="K44" s="1">
        <v>10</v>
      </c>
      <c r="L44" s="69">
        <f t="shared" ref="L44:L63" si="15">ROUND(K44*C44,0)</f>
        <v>1190</v>
      </c>
      <c r="M44" s="34">
        <f>ROUND(L44/产出与消耗!T4,4)</f>
        <v>0.29649999999999999</v>
      </c>
      <c r="N44" s="1">
        <v>8</v>
      </c>
      <c r="O44" s="69">
        <f t="shared" ref="O44:O63" si="16">ROUND(N44*C44,0)</f>
        <v>952</v>
      </c>
      <c r="P44" s="34">
        <f>ROUND(O44/产出与消耗!T26,4)</f>
        <v>0.18990000000000001</v>
      </c>
      <c r="Q44" s="1">
        <v>2</v>
      </c>
      <c r="R44" s="69">
        <f t="shared" ref="R44:R63" si="17">ROUND(Q44*C44,0)</f>
        <v>238</v>
      </c>
      <c r="S44" s="34">
        <f>ROUND(R44/产出与消耗!T48,4)</f>
        <v>5.9400000000000001E-2</v>
      </c>
      <c r="T44" s="64">
        <f>M44+P44+S44</f>
        <v>0.54579999999999995</v>
      </c>
    </row>
    <row r="45" spans="1:20">
      <c r="B45">
        <v>2</v>
      </c>
      <c r="C45">
        <f>ROUND(C46-(C47-C46)/(产出与消耗!$K$7-产出与消耗!$K$6)*(产出与消耗!$K$6-产出与消耗!$K$5),0)</f>
        <v>231</v>
      </c>
      <c r="D45" s="1">
        <v>1.4</v>
      </c>
      <c r="E45">
        <f>ROUND(D45*C45/3600/(建筑!G87*基本公式!$B$153),2)</f>
        <v>0.04</v>
      </c>
      <c r="F45" s="1">
        <v>12</v>
      </c>
      <c r="G45" s="69">
        <f t="shared" si="14"/>
        <v>2772</v>
      </c>
      <c r="K45" s="1">
        <v>10</v>
      </c>
      <c r="L45" s="69">
        <f t="shared" si="15"/>
        <v>2310</v>
      </c>
      <c r="M45" s="34">
        <f>ROUND(L45/产出与消耗!T5,4)</f>
        <v>0.32279999999999998</v>
      </c>
      <c r="N45" s="1">
        <v>8</v>
      </c>
      <c r="O45" s="69">
        <f t="shared" si="16"/>
        <v>1848</v>
      </c>
      <c r="P45" s="34">
        <f>ROUND(O45/产出与消耗!T27,4)</f>
        <v>0.2266</v>
      </c>
      <c r="Q45" s="1">
        <v>2</v>
      </c>
      <c r="R45" s="69">
        <f t="shared" si="17"/>
        <v>462</v>
      </c>
      <c r="S45" s="34">
        <f>ROUND(R45/产出与消耗!T49,4)</f>
        <v>6.5000000000000002E-2</v>
      </c>
      <c r="T45" s="64">
        <f t="shared" ref="T45:T63" si="18">M45+P45+S45</f>
        <v>0.61440000000000006</v>
      </c>
    </row>
    <row r="46" spans="1:20">
      <c r="B46">
        <v>3</v>
      </c>
      <c r="C46">
        <f>ROUND(C47-(C48-C47)/(产出与消耗!$K$8-产出与消耗!$K$7)*(产出与消耗!$K$7-产出与消耗!$K$6),0)</f>
        <v>343</v>
      </c>
      <c r="D46" s="1">
        <v>1.4</v>
      </c>
      <c r="E46">
        <f>ROUND(D46*C46/3600/(建筑!G88*基本公式!$B$153),2)</f>
        <v>7.0000000000000007E-2</v>
      </c>
      <c r="F46" s="1">
        <v>12</v>
      </c>
      <c r="G46" s="69">
        <f t="shared" si="14"/>
        <v>4116</v>
      </c>
      <c r="K46" s="1">
        <v>10</v>
      </c>
      <c r="L46" s="69">
        <f t="shared" si="15"/>
        <v>3430</v>
      </c>
      <c r="M46" s="34">
        <f>ROUND(L46/产出与消耗!T6,4)</f>
        <v>0.3115</v>
      </c>
      <c r="N46" s="1">
        <v>8</v>
      </c>
      <c r="O46" s="69">
        <f t="shared" si="16"/>
        <v>2744</v>
      </c>
      <c r="P46" s="34">
        <f>ROUND(O46/产出与消耗!T28,4)</f>
        <v>0.22850000000000001</v>
      </c>
      <c r="Q46" s="1">
        <v>2</v>
      </c>
      <c r="R46" s="69">
        <f t="shared" si="17"/>
        <v>686</v>
      </c>
      <c r="S46" s="34">
        <f>ROUND(R46/产出与消耗!T50,4)</f>
        <v>6.4299999999999996E-2</v>
      </c>
      <c r="T46" s="64">
        <f t="shared" si="18"/>
        <v>0.60430000000000006</v>
      </c>
    </row>
    <row r="47" spans="1:20">
      <c r="B47">
        <v>4</v>
      </c>
      <c r="C47">
        <f>ROUND(C48-(C49-C48)/(产出与消耗!$K$9-产出与消耗!$K$8)*(产出与消耗!$K$8-产出与消耗!$K$7),0)</f>
        <v>568</v>
      </c>
      <c r="D47" s="1">
        <v>1.4</v>
      </c>
      <c r="E47">
        <f>ROUND(D47*C47/3600/(建筑!G89*基本公式!$B$153),2)</f>
        <v>0.11</v>
      </c>
      <c r="F47" s="1">
        <v>12</v>
      </c>
      <c r="G47" s="69">
        <f t="shared" si="14"/>
        <v>6816</v>
      </c>
      <c r="K47" s="1">
        <v>10</v>
      </c>
      <c r="L47" s="69">
        <f t="shared" si="15"/>
        <v>5680</v>
      </c>
      <c r="M47" s="34">
        <f>ROUND(L47/产出与消耗!T7,4)</f>
        <v>0.35320000000000001</v>
      </c>
      <c r="N47" s="1">
        <v>8</v>
      </c>
      <c r="O47" s="69">
        <f t="shared" si="16"/>
        <v>4544</v>
      </c>
      <c r="P47" s="34">
        <f>ROUND(O47/产出与消耗!T29,4)</f>
        <v>0.26600000000000001</v>
      </c>
      <c r="Q47" s="1">
        <v>2</v>
      </c>
      <c r="R47" s="69">
        <f t="shared" si="17"/>
        <v>1136</v>
      </c>
      <c r="S47" s="34">
        <f>ROUND(R47/产出与消耗!T51,4)</f>
        <v>7.7200000000000005E-2</v>
      </c>
      <c r="T47" s="64">
        <f t="shared" si="18"/>
        <v>0.69640000000000002</v>
      </c>
    </row>
    <row r="48" spans="1:20">
      <c r="B48">
        <v>5</v>
      </c>
      <c r="C48">
        <f>ROUND(C49-(C50-C49)/(产出与消耗!$K$10-产出与消耗!$K$9)*(产出与消耗!$K$9-产出与消耗!$K$8),0)</f>
        <v>905</v>
      </c>
      <c r="D48" s="1">
        <v>1.4</v>
      </c>
      <c r="E48">
        <f>ROUND(D48*C48/3600/(建筑!G90*基本公式!$B$153),2)</f>
        <v>0.18</v>
      </c>
      <c r="F48" s="1">
        <v>12</v>
      </c>
      <c r="G48" s="69">
        <f t="shared" si="14"/>
        <v>10860</v>
      </c>
      <c r="K48" s="1">
        <v>10</v>
      </c>
      <c r="L48" s="69">
        <f t="shared" si="15"/>
        <v>9050</v>
      </c>
      <c r="M48" s="34">
        <f>ROUND(L48/产出与消耗!T8,4)</f>
        <v>0.3589</v>
      </c>
      <c r="N48" s="1">
        <v>8</v>
      </c>
      <c r="O48" s="69">
        <f t="shared" si="16"/>
        <v>7240</v>
      </c>
      <c r="P48" s="34">
        <f>ROUND(O48/产出与消耗!T30,4)</f>
        <v>0.28710000000000002</v>
      </c>
      <c r="Q48" s="1">
        <v>2</v>
      </c>
      <c r="R48" s="69">
        <f t="shared" si="17"/>
        <v>1810</v>
      </c>
      <c r="S48" s="34">
        <f>ROUND(R48/产出与消耗!T52,4)</f>
        <v>8.6999999999999994E-2</v>
      </c>
      <c r="T48" s="64">
        <f t="shared" si="18"/>
        <v>0.73299999999999998</v>
      </c>
    </row>
    <row r="49" spans="1:20">
      <c r="B49">
        <v>6</v>
      </c>
      <c r="C49">
        <f>ROUND(C50-(C51-C50)/(产出与消耗!$K$11-产出与消耗!$K$10)*(产出与消耗!$K$10-产出与消耗!$K$9),0)</f>
        <v>1467</v>
      </c>
      <c r="D49" s="1">
        <v>1.4</v>
      </c>
      <c r="E49">
        <f>ROUND(D49*C49/3600/(建筑!G91*基本公式!$B$153),2)</f>
        <v>0.28999999999999998</v>
      </c>
      <c r="F49" s="1">
        <v>12</v>
      </c>
      <c r="G49" s="69">
        <f t="shared" si="14"/>
        <v>17604</v>
      </c>
      <c r="K49" s="1">
        <v>10</v>
      </c>
      <c r="L49" s="69">
        <f t="shared" si="15"/>
        <v>14670</v>
      </c>
      <c r="M49" s="34">
        <f>ROUND(L49/产出与消耗!T9,4)</f>
        <v>0.23380000000000001</v>
      </c>
      <c r="N49" s="1">
        <v>8</v>
      </c>
      <c r="O49" s="69">
        <f t="shared" si="16"/>
        <v>11736</v>
      </c>
      <c r="P49" s="34">
        <f>ROUND(O49/产出与消耗!T31,4)</f>
        <v>0.18709999999999999</v>
      </c>
      <c r="Q49" s="1">
        <v>2</v>
      </c>
      <c r="R49" s="69">
        <f t="shared" si="17"/>
        <v>2934</v>
      </c>
      <c r="S49" s="34">
        <f>ROUND(R49/产出与消耗!T53,4)</f>
        <v>6.5000000000000002E-2</v>
      </c>
      <c r="T49" s="64">
        <f t="shared" si="18"/>
        <v>0.4859</v>
      </c>
    </row>
    <row r="50" spans="1:20">
      <c r="B50">
        <v>7</v>
      </c>
      <c r="C50">
        <f>ROUND(C51-(C52-C51)/(产出与消耗!$K$12-产出与消耗!$K$11)*(产出与消耗!$K$11-产出与消耗!$K$10),0)</f>
        <v>2367</v>
      </c>
      <c r="D50" s="1">
        <v>1.4</v>
      </c>
      <c r="E50">
        <f>ROUND(D50*C50/3600/(建筑!G92*基本公式!$B$153),2)</f>
        <v>0.23</v>
      </c>
      <c r="F50" s="1">
        <v>12</v>
      </c>
      <c r="G50" s="69">
        <f t="shared" si="14"/>
        <v>28404</v>
      </c>
      <c r="K50" s="1">
        <v>10</v>
      </c>
      <c r="L50" s="69">
        <f t="shared" si="15"/>
        <v>23670</v>
      </c>
      <c r="M50" s="34">
        <f>ROUND(L50/产出与消耗!T10,4)</f>
        <v>0.18010000000000001</v>
      </c>
      <c r="N50" s="1">
        <v>8</v>
      </c>
      <c r="O50" s="69">
        <f t="shared" si="16"/>
        <v>18936</v>
      </c>
      <c r="P50" s="34">
        <f>ROUND(O50/产出与消耗!T32,4)</f>
        <v>0.14410000000000001</v>
      </c>
      <c r="Q50" s="1">
        <v>2</v>
      </c>
      <c r="R50" s="69">
        <f t="shared" si="17"/>
        <v>4734</v>
      </c>
      <c r="S50" s="34">
        <f>ROUND(R50/产出与消耗!T54,4)</f>
        <v>5.21E-2</v>
      </c>
      <c r="T50" s="64">
        <f t="shared" si="18"/>
        <v>0.37630000000000002</v>
      </c>
    </row>
    <row r="51" spans="1:20">
      <c r="A51" s="11"/>
      <c r="B51">
        <v>8</v>
      </c>
      <c r="C51">
        <f>ROUND(C52-(C53-C52)/(产出与消耗!$K$13-产出与消耗!$K$12)*(产出与消耗!$K$12-产出与消耗!$K$11),0)</f>
        <v>3829</v>
      </c>
      <c r="D51" s="1">
        <v>1.4</v>
      </c>
      <c r="E51">
        <f>ROUND(D51*C51/3600/(建筑!G93*基本公式!$B$153),2)</f>
        <v>0.37</v>
      </c>
      <c r="F51" s="1">
        <v>12</v>
      </c>
      <c r="G51" s="69">
        <f t="shared" si="14"/>
        <v>45948</v>
      </c>
      <c r="K51" s="1">
        <v>10</v>
      </c>
      <c r="L51" s="69">
        <f t="shared" si="15"/>
        <v>38290</v>
      </c>
      <c r="M51" s="34">
        <f>ROUND(L51/产出与消耗!T11,4)</f>
        <v>0.1046</v>
      </c>
      <c r="N51" s="1">
        <v>8</v>
      </c>
      <c r="O51" s="69">
        <f t="shared" si="16"/>
        <v>30632</v>
      </c>
      <c r="P51" s="34">
        <f>ROUND(O51/产出与消耗!T33,4)</f>
        <v>8.3699999999999997E-2</v>
      </c>
      <c r="Q51" s="1">
        <v>2</v>
      </c>
      <c r="R51" s="69">
        <f t="shared" si="17"/>
        <v>7658</v>
      </c>
      <c r="S51" s="34">
        <f>ROUND(R51/产出与消耗!T55,4)</f>
        <v>3.1E-2</v>
      </c>
      <c r="T51" s="64">
        <f t="shared" si="18"/>
        <v>0.21929999999999999</v>
      </c>
    </row>
    <row r="52" spans="1:20">
      <c r="B52">
        <v>9</v>
      </c>
      <c r="C52">
        <f>ROUND(C53-(C54-C53)/(产出与消耗!$K$14-产出与消耗!$K$13)*(产出与消耗!$K$13-产出与消耗!$K$12),0)</f>
        <v>5291</v>
      </c>
      <c r="D52" s="1">
        <v>1.4</v>
      </c>
      <c r="E52">
        <f>ROUND(D52*C52/3600/(建筑!G94*基本公式!$B$153),2)</f>
        <v>0.51</v>
      </c>
      <c r="F52" s="1">
        <v>12</v>
      </c>
      <c r="G52" s="69">
        <f t="shared" si="14"/>
        <v>63492</v>
      </c>
      <c r="K52" s="1">
        <v>10</v>
      </c>
      <c r="L52" s="69">
        <f t="shared" si="15"/>
        <v>52910</v>
      </c>
      <c r="M52" s="34">
        <f>ROUND(L52/产出与消耗!T12,4)</f>
        <v>6.3399999999999998E-2</v>
      </c>
      <c r="N52" s="1">
        <v>8</v>
      </c>
      <c r="O52" s="69">
        <f t="shared" si="16"/>
        <v>42328</v>
      </c>
      <c r="P52" s="34">
        <f>ROUND(O52/产出与消耗!T34,4)</f>
        <v>5.0700000000000002E-2</v>
      </c>
      <c r="Q52" s="1">
        <v>2</v>
      </c>
      <c r="R52" s="69">
        <f t="shared" si="17"/>
        <v>10582</v>
      </c>
      <c r="S52" s="34">
        <f>ROUND(R52/产出与消耗!T56,4)</f>
        <v>1.89E-2</v>
      </c>
      <c r="T52" s="64">
        <f t="shared" si="18"/>
        <v>0.13300000000000001</v>
      </c>
    </row>
    <row r="53" spans="1:20">
      <c r="A53" s="38" t="s">
        <v>133</v>
      </c>
      <c r="B53">
        <v>10</v>
      </c>
      <c r="C53">
        <f>ROUND(C54-(C55-C54)/(产出与消耗!$K$15-产出与消耗!$K$14)*(产出与消耗!$K$14-产出与消耗!$K$13),0)</f>
        <v>7653</v>
      </c>
      <c r="D53" s="1">
        <v>1.4</v>
      </c>
      <c r="E53">
        <f>ROUND(D53*C53/3600/(建筑!G95*基本公式!$B$153),2)</f>
        <v>0.74</v>
      </c>
      <c r="F53" s="1">
        <v>12</v>
      </c>
      <c r="G53" s="69">
        <f t="shared" si="14"/>
        <v>91836</v>
      </c>
      <c r="K53" s="1">
        <v>10</v>
      </c>
      <c r="L53" s="69">
        <f t="shared" si="15"/>
        <v>76530</v>
      </c>
      <c r="M53" s="34">
        <f>ROUND(L53/产出与消耗!T13,4)</f>
        <v>3.9E-2</v>
      </c>
      <c r="N53" s="1">
        <v>8</v>
      </c>
      <c r="O53" s="69">
        <f t="shared" si="16"/>
        <v>61224</v>
      </c>
      <c r="P53" s="34">
        <f>ROUND(O53/产出与消耗!T35,4)</f>
        <v>3.1199999999999999E-2</v>
      </c>
      <c r="Q53" s="1">
        <v>2</v>
      </c>
      <c r="R53" s="69">
        <f t="shared" si="17"/>
        <v>15306</v>
      </c>
      <c r="S53" s="34">
        <f>ROUND(R53/产出与消耗!T57,4)</f>
        <v>1.17E-2</v>
      </c>
      <c r="T53" s="64">
        <f t="shared" si="18"/>
        <v>8.1900000000000001E-2</v>
      </c>
    </row>
    <row r="54" spans="1:20">
      <c r="B54">
        <v>11</v>
      </c>
      <c r="C54">
        <f>ROUND(C55-(C56-C55)/(产出与消耗!$K$16-产出与消耗!$K$15)*(产出与消耗!$K$15-产出与消耗!$K$14),0)</f>
        <v>9115</v>
      </c>
      <c r="D54" s="1">
        <v>1.4</v>
      </c>
      <c r="E54">
        <f>ROUND(D54*C54/3600/(建筑!G96*基本公式!$B$153),2)</f>
        <v>0.89</v>
      </c>
      <c r="F54" s="1">
        <v>12</v>
      </c>
      <c r="G54" s="69">
        <f t="shared" si="14"/>
        <v>109380</v>
      </c>
      <c r="K54" s="1">
        <v>10</v>
      </c>
      <c r="L54" s="69">
        <f t="shared" si="15"/>
        <v>91150</v>
      </c>
      <c r="M54" s="34">
        <f>ROUND(L54/产出与消耗!T14,4)</f>
        <v>2.3E-2</v>
      </c>
      <c r="N54" s="1">
        <v>8</v>
      </c>
      <c r="O54" s="69">
        <f t="shared" si="16"/>
        <v>72920</v>
      </c>
      <c r="P54" s="34">
        <f>ROUND(O54/产出与消耗!T36,4)</f>
        <v>1.84E-2</v>
      </c>
      <c r="Q54" s="1">
        <v>2</v>
      </c>
      <c r="R54" s="69">
        <f t="shared" si="17"/>
        <v>18230</v>
      </c>
      <c r="S54" s="34">
        <f>ROUND(R54/产出与消耗!T58,4)</f>
        <v>6.8999999999999999E-3</v>
      </c>
      <c r="T54" s="64">
        <f t="shared" si="18"/>
        <v>4.8299999999999996E-2</v>
      </c>
    </row>
    <row r="55" spans="1:20">
      <c r="B55">
        <v>12</v>
      </c>
      <c r="C55">
        <f>ROUND(C56-(C57-C56)/(产出与消耗!$K$17-产出与消耗!$K$16)*(产出与消耗!$K$16-产出与消耗!$K$15),0)</f>
        <v>12939</v>
      </c>
      <c r="D55" s="1">
        <v>1.4</v>
      </c>
      <c r="E55">
        <f>ROUND(D55*C55/3600/(建筑!G97*基本公式!$B$153),2)</f>
        <v>0.84</v>
      </c>
      <c r="F55" s="1">
        <v>12</v>
      </c>
      <c r="G55" s="69">
        <f t="shared" si="14"/>
        <v>155268</v>
      </c>
      <c r="K55" s="1">
        <v>10</v>
      </c>
      <c r="L55" s="69">
        <f t="shared" si="15"/>
        <v>129390</v>
      </c>
      <c r="M55" s="34">
        <f>ROUND(L55/产出与消耗!T15,4)</f>
        <v>1.46E-2</v>
      </c>
      <c r="N55" s="1">
        <v>8</v>
      </c>
      <c r="O55" s="69">
        <f t="shared" si="16"/>
        <v>103512</v>
      </c>
      <c r="P55" s="34">
        <f>ROUND(O55/产出与消耗!T37,4)</f>
        <v>1.17E-2</v>
      </c>
      <c r="Q55" s="1">
        <v>2</v>
      </c>
      <c r="R55" s="69">
        <f t="shared" si="17"/>
        <v>25878</v>
      </c>
      <c r="S55" s="34">
        <f>ROUND(R55/产出与消耗!T59,4)</f>
        <v>4.4000000000000003E-3</v>
      </c>
      <c r="T55" s="64">
        <f t="shared" si="18"/>
        <v>3.0700000000000002E-2</v>
      </c>
    </row>
    <row r="56" spans="1:20">
      <c r="A56" s="11"/>
      <c r="B56">
        <v>13</v>
      </c>
      <c r="C56">
        <f>ROUND(C57-(C58-C57)/(产出与消耗!$K$18-产出与消耗!$K$17)*(产出与消耗!$K$17-产出与消耗!$K$16),0)</f>
        <v>16201</v>
      </c>
      <c r="D56" s="1">
        <v>1.4</v>
      </c>
      <c r="E56">
        <f>ROUND(D56*C56/3600/(建筑!G98*基本公式!$B$153),2)</f>
        <v>1.05</v>
      </c>
      <c r="F56" s="1">
        <v>12</v>
      </c>
      <c r="G56" s="69">
        <f t="shared" si="14"/>
        <v>194412</v>
      </c>
      <c r="K56" s="1">
        <v>10</v>
      </c>
      <c r="L56" s="69">
        <f t="shared" si="15"/>
        <v>162010</v>
      </c>
      <c r="M56" s="34">
        <f>ROUND(L56/产出与消耗!T16,4)</f>
        <v>9.4000000000000004E-3</v>
      </c>
      <c r="N56" s="1">
        <v>8</v>
      </c>
      <c r="O56" s="69">
        <f t="shared" si="16"/>
        <v>129608</v>
      </c>
      <c r="P56" s="34">
        <f>ROUND(O56/产出与消耗!T38,4)</f>
        <v>7.4999999999999997E-3</v>
      </c>
      <c r="Q56" s="1">
        <v>2</v>
      </c>
      <c r="R56" s="69">
        <f t="shared" si="17"/>
        <v>32402</v>
      </c>
      <c r="S56" s="34">
        <f>ROUND(R56/产出与消耗!T60,4)</f>
        <v>2.8E-3</v>
      </c>
      <c r="T56" s="64">
        <f t="shared" si="18"/>
        <v>1.9699999999999999E-2</v>
      </c>
    </row>
    <row r="57" spans="1:20">
      <c r="A57" s="39" t="s">
        <v>134</v>
      </c>
      <c r="B57">
        <v>14</v>
      </c>
      <c r="C57">
        <f>ROUND(C58-(C59-C58)/(产出与消耗!$K$19-产出与消耗!$K$18)*(产出与消耗!$K$18-产出与消耗!$K$17),0)</f>
        <v>19126</v>
      </c>
      <c r="D57" s="1">
        <v>1.4</v>
      </c>
      <c r="E57">
        <f>ROUND(D57*C57/3600/(建筑!G99*基本公式!$B$153),2)</f>
        <v>1.24</v>
      </c>
      <c r="F57" s="1">
        <v>12</v>
      </c>
      <c r="G57" s="69">
        <f t="shared" si="14"/>
        <v>229512</v>
      </c>
      <c r="K57" s="1">
        <v>10</v>
      </c>
      <c r="L57" s="69">
        <f t="shared" si="15"/>
        <v>191260</v>
      </c>
      <c r="M57" s="34">
        <f>ROUND(L57/产出与消耗!T17,4)</f>
        <v>6.4999999999999997E-3</v>
      </c>
      <c r="N57" s="1">
        <v>8</v>
      </c>
      <c r="O57" s="69">
        <f t="shared" si="16"/>
        <v>153008</v>
      </c>
      <c r="P57" s="34">
        <f>ROUND(O57/产出与消耗!T39,4)</f>
        <v>5.1999999999999998E-3</v>
      </c>
      <c r="Q57" s="1">
        <v>2</v>
      </c>
      <c r="R57" s="69">
        <f t="shared" si="17"/>
        <v>38252</v>
      </c>
      <c r="S57" s="34">
        <f>ROUND(R57/产出与消耗!T61,4)</f>
        <v>1.9E-3</v>
      </c>
      <c r="T57" s="64">
        <f t="shared" si="18"/>
        <v>1.3599999999999999E-2</v>
      </c>
    </row>
    <row r="58" spans="1:20">
      <c r="B58">
        <v>15</v>
      </c>
      <c r="C58">
        <f>ROUND(C59-(C60-C59)/(产出与消耗!$K$20-产出与消耗!$K$19)*(产出与消耗!$K$19-产出与消耗!$K$18),0)</f>
        <v>22501</v>
      </c>
      <c r="D58" s="1">
        <v>1.4</v>
      </c>
      <c r="E58">
        <f>ROUND(D58*C58/3600/(建筑!G100*基本公式!$B$153),2)</f>
        <v>1.46</v>
      </c>
      <c r="F58" s="1">
        <v>12</v>
      </c>
      <c r="G58" s="69">
        <f t="shared" si="14"/>
        <v>270012</v>
      </c>
      <c r="K58" s="1">
        <v>10</v>
      </c>
      <c r="L58" s="69">
        <f t="shared" si="15"/>
        <v>225010</v>
      </c>
      <c r="M58" s="34">
        <f>ROUND(L58/产出与消耗!T18,4)</f>
        <v>4.5999999999999999E-3</v>
      </c>
      <c r="N58" s="1">
        <v>8</v>
      </c>
      <c r="O58" s="69">
        <f t="shared" si="16"/>
        <v>180008</v>
      </c>
      <c r="P58" s="34">
        <f>ROUND(O58/产出与消耗!T40,4)</f>
        <v>3.7000000000000002E-3</v>
      </c>
      <c r="Q58" s="1">
        <v>2</v>
      </c>
      <c r="R58" s="69">
        <f t="shared" si="17"/>
        <v>45002</v>
      </c>
      <c r="S58" s="34">
        <f>ROUND(R58/产出与消耗!T62,4)</f>
        <v>1.4E-3</v>
      </c>
      <c r="T58" s="64">
        <f t="shared" si="18"/>
        <v>9.7000000000000003E-3</v>
      </c>
    </row>
    <row r="59" spans="1:20">
      <c r="B59">
        <v>16</v>
      </c>
      <c r="C59">
        <f>ROUND(C60-(C61-C60)/(产出与消耗!$K$21-产出与消耗!$K$20)*(产出与消耗!$K$20-产出与消耗!$K$19),0)</f>
        <v>25876</v>
      </c>
      <c r="D59" s="1">
        <v>1.4</v>
      </c>
      <c r="E59">
        <f>ROUND(D59*C59/3600/(建筑!G101*基本公式!$B$153),2)</f>
        <v>1.26</v>
      </c>
      <c r="F59" s="1">
        <v>12</v>
      </c>
      <c r="G59" s="69">
        <f t="shared" si="14"/>
        <v>310512</v>
      </c>
      <c r="K59" s="1">
        <v>10</v>
      </c>
      <c r="L59" s="69">
        <f t="shared" si="15"/>
        <v>258760</v>
      </c>
      <c r="M59" s="34">
        <f>ROUND(L59/产出与消耗!T19,4)</f>
        <v>3.3999999999999998E-3</v>
      </c>
      <c r="N59" s="1">
        <v>8</v>
      </c>
      <c r="O59" s="69">
        <f t="shared" si="16"/>
        <v>207008</v>
      </c>
      <c r="P59" s="34">
        <f>ROUND(O59/产出与消耗!T41,4)</f>
        <v>2.8E-3</v>
      </c>
      <c r="Q59" s="1">
        <v>2</v>
      </c>
      <c r="R59" s="69">
        <f t="shared" si="17"/>
        <v>51752</v>
      </c>
      <c r="S59" s="34">
        <f>ROUND(R59/产出与消耗!T63,4)</f>
        <v>1E-3</v>
      </c>
      <c r="T59" s="64">
        <f t="shared" si="18"/>
        <v>7.1999999999999998E-3</v>
      </c>
    </row>
    <row r="60" spans="1:20">
      <c r="B60">
        <v>17</v>
      </c>
      <c r="C60">
        <f>ROUND(C61-(C62-C61)/(产出与消耗!$K$22-产出与消耗!$K$21)*(产出与消耗!$K$21-产出与消耗!$K$20),0)</f>
        <v>29588</v>
      </c>
      <c r="D60" s="1">
        <v>1.4</v>
      </c>
      <c r="E60">
        <f>ROUND(D60*C60/3600/(建筑!G102*基本公式!$B$153),2)</f>
        <v>1.44</v>
      </c>
      <c r="F60" s="1">
        <v>12</v>
      </c>
      <c r="G60" s="69">
        <f t="shared" si="14"/>
        <v>355056</v>
      </c>
      <c r="K60" s="1">
        <v>10</v>
      </c>
      <c r="L60" s="69">
        <f t="shared" si="15"/>
        <v>295880</v>
      </c>
      <c r="M60" s="34">
        <f>ROUND(L60/产出与消耗!T20,4)</f>
        <v>2.5999999999999999E-3</v>
      </c>
      <c r="N60" s="1">
        <v>8</v>
      </c>
      <c r="O60" s="69">
        <f t="shared" si="16"/>
        <v>236704</v>
      </c>
      <c r="P60" s="34">
        <f>ROUND(O60/产出与消耗!T42,4)</f>
        <v>2.0999999999999999E-3</v>
      </c>
      <c r="Q60" s="1">
        <v>2</v>
      </c>
      <c r="R60" s="69">
        <f t="shared" si="17"/>
        <v>59176</v>
      </c>
      <c r="S60" s="34">
        <f>ROUND(R60/产出与消耗!T64,4)</f>
        <v>8.0000000000000004E-4</v>
      </c>
      <c r="T60" s="64">
        <f t="shared" si="18"/>
        <v>5.4999999999999997E-3</v>
      </c>
    </row>
    <row r="61" spans="1:20">
      <c r="B61">
        <v>18</v>
      </c>
      <c r="C61">
        <f>ROUND(C62-(C63-C62)/(产出与消耗!$K$23-产出与消耗!$K$22)*(产出与消耗!$K$22-产出与消耗!$K$21),0)</f>
        <v>33750</v>
      </c>
      <c r="D61" s="1">
        <v>1.4</v>
      </c>
      <c r="E61">
        <f>ROUND(D61*C61/3600/(建筑!G103*基本公式!$B$153),2)</f>
        <v>1.64</v>
      </c>
      <c r="F61" s="1">
        <v>12</v>
      </c>
      <c r="G61" s="69">
        <f t="shared" si="14"/>
        <v>405000</v>
      </c>
      <c r="K61" s="1">
        <v>10</v>
      </c>
      <c r="L61" s="69">
        <f t="shared" si="15"/>
        <v>337500</v>
      </c>
      <c r="M61" s="34">
        <f>ROUND(L61/产出与消耗!T21,4)</f>
        <v>2.0999999999999999E-3</v>
      </c>
      <c r="N61" s="1">
        <v>8</v>
      </c>
      <c r="O61" s="69">
        <f t="shared" si="16"/>
        <v>270000</v>
      </c>
      <c r="P61" s="34">
        <f>ROUND(O61/产出与消耗!T43,4)</f>
        <v>1.6999999999999999E-3</v>
      </c>
      <c r="Q61" s="1">
        <v>2</v>
      </c>
      <c r="R61" s="69">
        <f t="shared" si="17"/>
        <v>67500</v>
      </c>
      <c r="S61" s="34">
        <f>ROUND(R61/产出与消耗!T65,4)</f>
        <v>5.9999999999999995E-4</v>
      </c>
      <c r="T61" s="64">
        <f t="shared" si="18"/>
        <v>4.3999999999999994E-3</v>
      </c>
    </row>
    <row r="62" spans="1:20">
      <c r="A62" s="40" t="s">
        <v>135</v>
      </c>
      <c r="B62">
        <v>19</v>
      </c>
      <c r="C62">
        <f>ROUND(产出与消耗!$K$22*C63/产出与消耗!$K$23,0)</f>
        <v>38250</v>
      </c>
      <c r="D62" s="1">
        <v>1.4</v>
      </c>
      <c r="E62">
        <f>ROUND(D62*C62/3600/(建筑!G104*基本公式!$B$153),2)</f>
        <v>1.86</v>
      </c>
      <c r="F62" s="1">
        <v>12</v>
      </c>
      <c r="G62" s="69">
        <f t="shared" si="14"/>
        <v>459000</v>
      </c>
      <c r="K62" s="1">
        <v>10</v>
      </c>
      <c r="L62" s="69">
        <f t="shared" si="15"/>
        <v>382500</v>
      </c>
      <c r="M62" s="34">
        <f>ROUND(L62/产出与消耗!T22,4)</f>
        <v>1.6999999999999999E-3</v>
      </c>
      <c r="N62" s="1">
        <v>8</v>
      </c>
      <c r="O62" s="69">
        <f t="shared" si="16"/>
        <v>306000</v>
      </c>
      <c r="P62" s="34">
        <f>ROUND(O62/产出与消耗!T44,4)</f>
        <v>1.2999999999999999E-3</v>
      </c>
      <c r="Q62" s="1">
        <v>2</v>
      </c>
      <c r="R62" s="69">
        <f t="shared" si="17"/>
        <v>76500</v>
      </c>
      <c r="S62" s="34">
        <f>ROUND(R62/产出与消耗!T66,4)</f>
        <v>5.0000000000000001E-4</v>
      </c>
      <c r="T62" s="64">
        <f t="shared" si="18"/>
        <v>3.5000000000000001E-3</v>
      </c>
    </row>
    <row r="63" spans="1:20">
      <c r="B63">
        <v>20</v>
      </c>
      <c r="C63">
        <v>45000</v>
      </c>
      <c r="D63" s="1">
        <v>1.4</v>
      </c>
      <c r="E63">
        <f>ROUND(D63*C63/3600/(建筑!G105*基本公式!$B$153),2)</f>
        <v>1.75</v>
      </c>
      <c r="F63" s="1">
        <v>12</v>
      </c>
      <c r="G63" s="69">
        <f t="shared" si="14"/>
        <v>540000</v>
      </c>
      <c r="K63" s="1">
        <v>10</v>
      </c>
      <c r="L63" s="69">
        <f t="shared" si="15"/>
        <v>450000</v>
      </c>
      <c r="M63" s="34">
        <f>ROUND(L63/产出与消耗!T23,4)</f>
        <v>1.2999999999999999E-3</v>
      </c>
      <c r="N63" s="1">
        <v>8</v>
      </c>
      <c r="O63" s="69">
        <f t="shared" si="16"/>
        <v>360000</v>
      </c>
      <c r="P63" s="34">
        <f>ROUND(O63/产出与消耗!T45,4)</f>
        <v>1.1000000000000001E-3</v>
      </c>
      <c r="Q63" s="1">
        <v>2</v>
      </c>
      <c r="R63" s="69">
        <f t="shared" si="17"/>
        <v>90000</v>
      </c>
      <c r="S63" s="34">
        <f>ROUND(R63/产出与消耗!T67,4)</f>
        <v>4.0000000000000002E-4</v>
      </c>
      <c r="T63" s="64">
        <f t="shared" si="18"/>
        <v>2.8000000000000004E-3</v>
      </c>
    </row>
    <row r="65" spans="1:20">
      <c r="A65" t="s">
        <v>215</v>
      </c>
      <c r="B65">
        <v>1</v>
      </c>
      <c r="C65">
        <f>ROUND(C66-(C67-C66)/(产出与消耗!$K$6-产出与消耗!$K$5)*(产出与消耗!$K$5-产出与消耗!$K$4),0)</f>
        <v>119</v>
      </c>
      <c r="D65" s="1">
        <v>4</v>
      </c>
      <c r="E65">
        <f>ROUND(D65*C65/3600/(建筑!G86*基本公式!$B$153),2)</f>
        <v>7.0000000000000007E-2</v>
      </c>
      <c r="F65" s="1">
        <v>5</v>
      </c>
      <c r="G65" s="69">
        <f t="shared" ref="G65:G84" si="19">F65*C65</f>
        <v>595</v>
      </c>
      <c r="K65" s="1">
        <v>4</v>
      </c>
      <c r="L65" s="69">
        <f t="shared" ref="L65:L84" si="20">ROUND(K65*C65,0)</f>
        <v>476</v>
      </c>
      <c r="M65" s="34">
        <f>ROUND(L65/产出与消耗!T4,4)</f>
        <v>0.1186</v>
      </c>
      <c r="N65" s="1">
        <v>8</v>
      </c>
      <c r="O65" s="69">
        <f t="shared" ref="O65:O84" si="21">ROUND(N65*C65,0)</f>
        <v>952</v>
      </c>
      <c r="P65" s="34">
        <f>ROUND(O65/产出与消耗!T26,4)</f>
        <v>0.18990000000000001</v>
      </c>
      <c r="Q65" s="1">
        <v>6</v>
      </c>
      <c r="R65" s="69">
        <f t="shared" ref="R65:R84" si="22">ROUND(Q65*C65,0)</f>
        <v>714</v>
      </c>
      <c r="S65" s="34">
        <f>ROUND(R65/产出与消耗!T48,4)</f>
        <v>0.17810000000000001</v>
      </c>
      <c r="T65" s="64">
        <f>M65+P65+S65</f>
        <v>0.48660000000000003</v>
      </c>
    </row>
    <row r="66" spans="1:20">
      <c r="B66">
        <v>2</v>
      </c>
      <c r="C66">
        <f>ROUND(C67-(C68-C67)/(产出与消耗!$K$7-产出与消耗!$K$6)*(产出与消耗!$K$6-产出与消耗!$K$5),0)</f>
        <v>231</v>
      </c>
      <c r="D66" s="1">
        <v>4</v>
      </c>
      <c r="E66">
        <f>ROUND(D66*C66/3600/(建筑!G87*基本公式!$B$153),2)</f>
        <v>0.13</v>
      </c>
      <c r="F66" s="1">
        <v>5</v>
      </c>
      <c r="G66" s="69">
        <f t="shared" si="19"/>
        <v>1155</v>
      </c>
      <c r="K66" s="1">
        <v>4</v>
      </c>
      <c r="L66" s="69">
        <f t="shared" si="20"/>
        <v>924</v>
      </c>
      <c r="M66" s="34">
        <f>ROUND(L66/产出与消耗!T5,4)</f>
        <v>0.12909999999999999</v>
      </c>
      <c r="N66" s="1">
        <v>8</v>
      </c>
      <c r="O66" s="69">
        <f t="shared" si="21"/>
        <v>1848</v>
      </c>
      <c r="P66" s="34">
        <f>ROUND(O66/产出与消耗!T27,4)</f>
        <v>0.2266</v>
      </c>
      <c r="Q66" s="1">
        <v>6</v>
      </c>
      <c r="R66" s="69">
        <f t="shared" si="22"/>
        <v>1386</v>
      </c>
      <c r="S66" s="34">
        <f>ROUND(R66/产出与消耗!T49,4)</f>
        <v>0.1951</v>
      </c>
      <c r="T66" s="64">
        <f t="shared" ref="T66:T84" si="23">M66+P66+S66</f>
        <v>0.55079999999999996</v>
      </c>
    </row>
    <row r="67" spans="1:20">
      <c r="B67">
        <v>3</v>
      </c>
      <c r="C67">
        <f>ROUND(C68-(C69-C68)/(产出与消耗!$K$8-产出与消耗!$K$7)*(产出与消耗!$K$7-产出与消耗!$K$6),0)</f>
        <v>343</v>
      </c>
      <c r="D67" s="1">
        <v>4</v>
      </c>
      <c r="E67">
        <f>ROUND(D67*C67/3600/(建筑!G88*基本公式!$B$153),2)</f>
        <v>0.19</v>
      </c>
      <c r="F67" s="1">
        <v>5</v>
      </c>
      <c r="G67" s="69">
        <f t="shared" si="19"/>
        <v>1715</v>
      </c>
      <c r="K67" s="1">
        <v>4</v>
      </c>
      <c r="L67" s="69">
        <f t="shared" si="20"/>
        <v>1372</v>
      </c>
      <c r="M67" s="34">
        <f>ROUND(L67/产出与消耗!T6,4)</f>
        <v>0.1246</v>
      </c>
      <c r="N67" s="1">
        <v>8</v>
      </c>
      <c r="O67" s="69">
        <f t="shared" si="21"/>
        <v>2744</v>
      </c>
      <c r="P67" s="34">
        <f>ROUND(O67/产出与消耗!T28,4)</f>
        <v>0.22850000000000001</v>
      </c>
      <c r="Q67" s="1">
        <v>6</v>
      </c>
      <c r="R67" s="69">
        <f t="shared" si="22"/>
        <v>2058</v>
      </c>
      <c r="S67" s="34">
        <f>ROUND(R67/产出与消耗!T50,4)</f>
        <v>0.1928</v>
      </c>
      <c r="T67" s="64">
        <f t="shared" si="23"/>
        <v>0.54590000000000005</v>
      </c>
    </row>
    <row r="68" spans="1:20">
      <c r="B68">
        <v>4</v>
      </c>
      <c r="C68">
        <f>ROUND(C69-(C70-C69)/(产出与消耗!$K$9-产出与消耗!$K$8)*(产出与消耗!$K$8-产出与消耗!$K$7),0)</f>
        <v>568</v>
      </c>
      <c r="D68" s="1">
        <v>4</v>
      </c>
      <c r="E68">
        <f>ROUND(D68*C68/3600/(建筑!G89*基本公式!$B$153),2)</f>
        <v>0.32</v>
      </c>
      <c r="F68" s="1">
        <v>5</v>
      </c>
      <c r="G68" s="69">
        <f t="shared" si="19"/>
        <v>2840</v>
      </c>
      <c r="K68" s="1">
        <v>4</v>
      </c>
      <c r="L68" s="69">
        <f t="shared" si="20"/>
        <v>2272</v>
      </c>
      <c r="M68" s="34">
        <f>ROUND(L68/产出与消耗!T7,4)</f>
        <v>0.14130000000000001</v>
      </c>
      <c r="N68" s="1">
        <v>8</v>
      </c>
      <c r="O68" s="69">
        <f t="shared" si="21"/>
        <v>4544</v>
      </c>
      <c r="P68" s="34">
        <f>ROUND(O68/产出与消耗!T29,4)</f>
        <v>0.26600000000000001</v>
      </c>
      <c r="Q68" s="1">
        <v>6</v>
      </c>
      <c r="R68" s="69">
        <f t="shared" si="22"/>
        <v>3408</v>
      </c>
      <c r="S68" s="34">
        <f>ROUND(R68/产出与消耗!T51,4)</f>
        <v>0.23150000000000001</v>
      </c>
      <c r="T68" s="64">
        <f t="shared" si="23"/>
        <v>0.63880000000000003</v>
      </c>
    </row>
    <row r="69" spans="1:20">
      <c r="B69">
        <v>5</v>
      </c>
      <c r="C69">
        <f>ROUND(C70-(C71-C70)/(产出与消耗!$K$10-产出与消耗!$K$9)*(产出与消耗!$K$9-产出与消耗!$K$8),0)</f>
        <v>905</v>
      </c>
      <c r="D69" s="1">
        <v>4</v>
      </c>
      <c r="E69">
        <f>ROUND(D69*C69/3600/(建筑!G90*基本公式!$B$153),2)</f>
        <v>0.5</v>
      </c>
      <c r="F69" s="1">
        <v>5</v>
      </c>
      <c r="G69" s="69">
        <f t="shared" si="19"/>
        <v>4525</v>
      </c>
      <c r="K69" s="1">
        <v>4</v>
      </c>
      <c r="L69" s="69">
        <f t="shared" si="20"/>
        <v>3620</v>
      </c>
      <c r="M69" s="34">
        <f>ROUND(L69/产出与消耗!T8,4)</f>
        <v>0.14349999999999999</v>
      </c>
      <c r="N69" s="1">
        <v>8</v>
      </c>
      <c r="O69" s="69">
        <f t="shared" si="21"/>
        <v>7240</v>
      </c>
      <c r="P69" s="34">
        <f>ROUND(O69/产出与消耗!T30,4)</f>
        <v>0.28710000000000002</v>
      </c>
      <c r="Q69" s="1">
        <v>6</v>
      </c>
      <c r="R69" s="69">
        <f t="shared" si="22"/>
        <v>5430</v>
      </c>
      <c r="S69" s="34">
        <f>ROUND(R69/产出与消耗!T52,4)</f>
        <v>0.26090000000000002</v>
      </c>
      <c r="T69" s="64">
        <f t="shared" si="23"/>
        <v>0.6915</v>
      </c>
    </row>
    <row r="70" spans="1:20">
      <c r="B70">
        <v>6</v>
      </c>
      <c r="C70">
        <f>ROUND(C71-(C72-C71)/(产出与消耗!$K$11-产出与消耗!$K$10)*(产出与消耗!$K$10-产出与消耗!$K$9),0)</f>
        <v>1467</v>
      </c>
      <c r="D70" s="1">
        <v>4</v>
      </c>
      <c r="E70">
        <f>ROUND(D70*C70/3600/(建筑!G91*基本公式!$B$153),2)</f>
        <v>0.82</v>
      </c>
      <c r="F70" s="1">
        <v>5</v>
      </c>
      <c r="G70" s="69">
        <f t="shared" si="19"/>
        <v>7335</v>
      </c>
      <c r="K70" s="1">
        <v>4</v>
      </c>
      <c r="L70" s="69">
        <f t="shared" si="20"/>
        <v>5868</v>
      </c>
      <c r="M70" s="34">
        <f>ROUND(L70/产出与消耗!T9,4)</f>
        <v>9.35E-2</v>
      </c>
      <c r="N70" s="1">
        <v>8</v>
      </c>
      <c r="O70" s="69">
        <f t="shared" si="21"/>
        <v>11736</v>
      </c>
      <c r="P70" s="34">
        <f>ROUND(O70/产出与消耗!T31,4)</f>
        <v>0.18709999999999999</v>
      </c>
      <c r="Q70" s="1">
        <v>6</v>
      </c>
      <c r="R70" s="69">
        <f t="shared" si="22"/>
        <v>8802</v>
      </c>
      <c r="S70" s="34">
        <f>ROUND(R70/产出与消耗!T53,4)</f>
        <v>0.19489999999999999</v>
      </c>
      <c r="T70" s="64">
        <f t="shared" si="23"/>
        <v>0.47549999999999992</v>
      </c>
    </row>
    <row r="71" spans="1:20">
      <c r="B71">
        <v>7</v>
      </c>
      <c r="C71">
        <f>ROUND(C72-(C73-C72)/(产出与消耗!$K$12-产出与消耗!$K$11)*(产出与消耗!$K$11-产出与消耗!$K$10),0)</f>
        <v>2367</v>
      </c>
      <c r="D71" s="1">
        <v>4</v>
      </c>
      <c r="E71">
        <f>ROUND(D71*C71/3600/(建筑!G92*基本公式!$B$153),2)</f>
        <v>0.66</v>
      </c>
      <c r="F71" s="1">
        <v>5</v>
      </c>
      <c r="G71" s="69">
        <f t="shared" si="19"/>
        <v>11835</v>
      </c>
      <c r="K71" s="1">
        <v>4</v>
      </c>
      <c r="L71" s="69">
        <f t="shared" si="20"/>
        <v>9468</v>
      </c>
      <c r="M71" s="34">
        <f>ROUND(L71/产出与消耗!T10,4)</f>
        <v>7.1999999999999995E-2</v>
      </c>
      <c r="N71" s="1">
        <v>8</v>
      </c>
      <c r="O71" s="69">
        <f t="shared" si="21"/>
        <v>18936</v>
      </c>
      <c r="P71" s="34">
        <f>ROUND(O71/产出与消耗!T32,4)</f>
        <v>0.14410000000000001</v>
      </c>
      <c r="Q71" s="1">
        <v>6</v>
      </c>
      <c r="R71" s="69">
        <f t="shared" si="22"/>
        <v>14202</v>
      </c>
      <c r="S71" s="34">
        <f>ROUND(R71/产出与消耗!T54,4)</f>
        <v>0.15620000000000001</v>
      </c>
      <c r="T71" s="64">
        <f t="shared" si="23"/>
        <v>0.37230000000000002</v>
      </c>
    </row>
    <row r="72" spans="1:20">
      <c r="A72" s="11"/>
      <c r="B72">
        <v>8</v>
      </c>
      <c r="C72">
        <f>ROUND(C73-(C74-C73)/(产出与消耗!$K$13-产出与消耗!$K$12)*(产出与消耗!$K$12-产出与消耗!$K$11),0)</f>
        <v>3829</v>
      </c>
      <c r="D72" s="1">
        <v>4</v>
      </c>
      <c r="E72">
        <f>ROUND(D72*C72/3600/(建筑!G93*基本公式!$B$153),2)</f>
        <v>1.06</v>
      </c>
      <c r="F72" s="1">
        <v>5</v>
      </c>
      <c r="G72" s="69">
        <f t="shared" si="19"/>
        <v>19145</v>
      </c>
      <c r="K72" s="1">
        <v>4</v>
      </c>
      <c r="L72" s="69">
        <f t="shared" si="20"/>
        <v>15316</v>
      </c>
      <c r="M72" s="34">
        <f>ROUND(L72/产出与消耗!T11,4)</f>
        <v>4.1799999999999997E-2</v>
      </c>
      <c r="N72" s="1">
        <v>8</v>
      </c>
      <c r="O72" s="69">
        <f t="shared" si="21"/>
        <v>30632</v>
      </c>
      <c r="P72" s="34">
        <f>ROUND(O72/产出与消耗!T33,4)</f>
        <v>8.3699999999999997E-2</v>
      </c>
      <c r="Q72" s="1">
        <v>6</v>
      </c>
      <c r="R72" s="69">
        <f t="shared" si="22"/>
        <v>22974</v>
      </c>
      <c r="S72" s="34">
        <f>ROUND(R72/产出与消耗!T55,4)</f>
        <v>9.2899999999999996E-2</v>
      </c>
      <c r="T72" s="64">
        <f t="shared" si="23"/>
        <v>0.21839999999999998</v>
      </c>
    </row>
    <row r="73" spans="1:20">
      <c r="B73">
        <v>9</v>
      </c>
      <c r="C73">
        <f>ROUND(C74-(C75-C74)/(产出与消耗!$K$14-产出与消耗!$K$13)*(产出与消耗!$K$13-产出与消耗!$K$12),0)</f>
        <v>5291</v>
      </c>
      <c r="D73" s="1">
        <v>4</v>
      </c>
      <c r="E73">
        <f>ROUND(D73*C73/3600/(建筑!G94*基本公式!$B$153),2)</f>
        <v>1.47</v>
      </c>
      <c r="F73" s="1">
        <v>5</v>
      </c>
      <c r="G73" s="69">
        <f t="shared" si="19"/>
        <v>26455</v>
      </c>
      <c r="K73" s="1">
        <v>4</v>
      </c>
      <c r="L73" s="69">
        <f t="shared" si="20"/>
        <v>21164</v>
      </c>
      <c r="M73" s="34">
        <f>ROUND(L73/产出与消耗!T12,4)</f>
        <v>2.53E-2</v>
      </c>
      <c r="N73" s="1">
        <v>8</v>
      </c>
      <c r="O73" s="69">
        <f t="shared" si="21"/>
        <v>42328</v>
      </c>
      <c r="P73" s="34">
        <f>ROUND(O73/产出与消耗!T34,4)</f>
        <v>5.0700000000000002E-2</v>
      </c>
      <c r="Q73" s="1">
        <v>6</v>
      </c>
      <c r="R73" s="69">
        <f t="shared" si="22"/>
        <v>31746</v>
      </c>
      <c r="S73" s="34">
        <f>ROUND(R73/产出与消耗!T56,4)</f>
        <v>5.67E-2</v>
      </c>
      <c r="T73" s="64">
        <f t="shared" si="23"/>
        <v>0.13269999999999998</v>
      </c>
    </row>
    <row r="74" spans="1:20">
      <c r="A74" s="38" t="s">
        <v>133</v>
      </c>
      <c r="B74">
        <v>10</v>
      </c>
      <c r="C74">
        <f>ROUND(C75-(C76-C75)/(产出与消耗!$K$15-产出与消耗!$K$14)*(产出与消耗!$K$14-产出与消耗!$K$13),0)</f>
        <v>7653</v>
      </c>
      <c r="D74" s="1">
        <v>4</v>
      </c>
      <c r="E74">
        <f>ROUND(D74*C74/3600/(建筑!G95*基本公式!$B$153),2)</f>
        <v>2.13</v>
      </c>
      <c r="F74" s="1">
        <v>5</v>
      </c>
      <c r="G74" s="69">
        <f t="shared" si="19"/>
        <v>38265</v>
      </c>
      <c r="K74" s="1">
        <v>4</v>
      </c>
      <c r="L74" s="69">
        <f t="shared" si="20"/>
        <v>30612</v>
      </c>
      <c r="M74" s="34">
        <f>ROUND(L74/产出与消耗!T13,4)</f>
        <v>1.5599999999999999E-2</v>
      </c>
      <c r="N74" s="1">
        <v>8</v>
      </c>
      <c r="O74" s="69">
        <f t="shared" si="21"/>
        <v>61224</v>
      </c>
      <c r="P74" s="34">
        <f>ROUND(O74/产出与消耗!T35,4)</f>
        <v>3.1199999999999999E-2</v>
      </c>
      <c r="Q74" s="1">
        <v>6</v>
      </c>
      <c r="R74" s="69">
        <f t="shared" si="22"/>
        <v>45918</v>
      </c>
      <c r="S74" s="34">
        <f>ROUND(R74/产出与消耗!T57,4)</f>
        <v>3.5000000000000003E-2</v>
      </c>
      <c r="T74" s="64">
        <f t="shared" si="23"/>
        <v>8.1799999999999998E-2</v>
      </c>
    </row>
    <row r="75" spans="1:20">
      <c r="B75">
        <v>11</v>
      </c>
      <c r="C75">
        <f>ROUND(C76-(C77-C76)/(产出与消耗!$K$16-产出与消耗!$K$15)*(产出与消耗!$K$15-产出与消耗!$K$14),0)</f>
        <v>9115</v>
      </c>
      <c r="D75" s="1">
        <v>4</v>
      </c>
      <c r="E75">
        <f>ROUND(D75*C75/3600/(建筑!G96*基本公式!$B$153),2)</f>
        <v>2.5299999999999998</v>
      </c>
      <c r="F75" s="1">
        <v>5</v>
      </c>
      <c r="G75" s="69">
        <f t="shared" si="19"/>
        <v>45575</v>
      </c>
      <c r="K75" s="1">
        <v>4</v>
      </c>
      <c r="L75" s="69">
        <f t="shared" si="20"/>
        <v>36460</v>
      </c>
      <c r="M75" s="34">
        <f>ROUND(L75/产出与消耗!T14,4)</f>
        <v>9.1999999999999998E-3</v>
      </c>
      <c r="N75" s="1">
        <v>8</v>
      </c>
      <c r="O75" s="69">
        <f t="shared" si="21"/>
        <v>72920</v>
      </c>
      <c r="P75" s="34">
        <f>ROUND(O75/产出与消耗!T36,4)</f>
        <v>1.84E-2</v>
      </c>
      <c r="Q75" s="1">
        <v>6</v>
      </c>
      <c r="R75" s="69">
        <f t="shared" si="22"/>
        <v>54690</v>
      </c>
      <c r="S75" s="34">
        <f>ROUND(R75/产出与消耗!T58,4)</f>
        <v>2.07E-2</v>
      </c>
      <c r="T75" s="64">
        <f t="shared" si="23"/>
        <v>4.8299999999999996E-2</v>
      </c>
    </row>
    <row r="76" spans="1:20">
      <c r="B76">
        <v>12</v>
      </c>
      <c r="C76">
        <f>ROUND(C77-(C78-C77)/(产出与消耗!$K$17-产出与消耗!$K$16)*(产出与消耗!$K$16-产出与消耗!$K$15),0)</f>
        <v>12939</v>
      </c>
      <c r="D76" s="1">
        <v>4</v>
      </c>
      <c r="E76">
        <f>ROUND(D76*C76/3600/(建筑!G97*基本公式!$B$153),2)</f>
        <v>2.4</v>
      </c>
      <c r="F76" s="1">
        <v>5</v>
      </c>
      <c r="G76" s="69">
        <f t="shared" si="19"/>
        <v>64695</v>
      </c>
      <c r="K76" s="1">
        <v>4</v>
      </c>
      <c r="L76" s="69">
        <f t="shared" si="20"/>
        <v>51756</v>
      </c>
      <c r="M76" s="34">
        <f>ROUND(L76/产出与消耗!T15,4)</f>
        <v>5.7999999999999996E-3</v>
      </c>
      <c r="N76" s="1">
        <v>8</v>
      </c>
      <c r="O76" s="69">
        <f t="shared" si="21"/>
        <v>103512</v>
      </c>
      <c r="P76" s="34">
        <f>ROUND(O76/产出与消耗!T37,4)</f>
        <v>1.17E-2</v>
      </c>
      <c r="Q76" s="1">
        <v>6</v>
      </c>
      <c r="R76" s="69">
        <f t="shared" si="22"/>
        <v>77634</v>
      </c>
      <c r="S76" s="34">
        <f>ROUND(R76/产出与消耗!T59,4)</f>
        <v>1.32E-2</v>
      </c>
      <c r="T76" s="64">
        <f t="shared" si="23"/>
        <v>3.0700000000000002E-2</v>
      </c>
    </row>
    <row r="77" spans="1:20">
      <c r="A77" s="11"/>
      <c r="B77">
        <v>13</v>
      </c>
      <c r="C77">
        <f>ROUND(C78-(C79-C78)/(产出与消耗!$K$18-产出与消耗!$K$17)*(产出与消耗!$K$17-产出与消耗!$K$16),0)</f>
        <v>16201</v>
      </c>
      <c r="D77" s="1">
        <v>4</v>
      </c>
      <c r="E77">
        <f>ROUND(D77*C77/3600/(建筑!G98*基本公式!$B$153),2)</f>
        <v>3</v>
      </c>
      <c r="F77" s="1">
        <v>5</v>
      </c>
      <c r="G77" s="69">
        <f t="shared" si="19"/>
        <v>81005</v>
      </c>
      <c r="K77" s="1">
        <v>4</v>
      </c>
      <c r="L77" s="69">
        <f t="shared" si="20"/>
        <v>64804</v>
      </c>
      <c r="M77" s="34">
        <f>ROUND(L77/产出与消耗!T16,4)</f>
        <v>3.8E-3</v>
      </c>
      <c r="N77" s="1">
        <v>8</v>
      </c>
      <c r="O77" s="69">
        <f t="shared" si="21"/>
        <v>129608</v>
      </c>
      <c r="P77" s="34">
        <f>ROUND(O77/产出与消耗!T38,4)</f>
        <v>7.4999999999999997E-3</v>
      </c>
      <c r="Q77" s="1">
        <v>6</v>
      </c>
      <c r="R77" s="69">
        <f t="shared" si="22"/>
        <v>97206</v>
      </c>
      <c r="S77" s="34">
        <f>ROUND(R77/产出与消耗!T60,4)</f>
        <v>8.5000000000000006E-3</v>
      </c>
      <c r="T77" s="64">
        <f t="shared" si="23"/>
        <v>1.9799999999999998E-2</v>
      </c>
    </row>
    <row r="78" spans="1:20">
      <c r="A78" s="39" t="s">
        <v>134</v>
      </c>
      <c r="B78">
        <v>14</v>
      </c>
      <c r="C78">
        <f>ROUND(C79-(C80-C79)/(产出与消耗!$K$19-产出与消耗!$K$18)*(产出与消耗!$K$18-产出与消耗!$K$17),0)</f>
        <v>19126</v>
      </c>
      <c r="D78" s="1">
        <v>4</v>
      </c>
      <c r="E78">
        <f>ROUND(D78*C78/3600/(建筑!G99*基本公式!$B$153),2)</f>
        <v>3.54</v>
      </c>
      <c r="F78" s="1">
        <v>5</v>
      </c>
      <c r="G78" s="69">
        <f t="shared" si="19"/>
        <v>95630</v>
      </c>
      <c r="K78" s="1">
        <v>4</v>
      </c>
      <c r="L78" s="69">
        <f t="shared" si="20"/>
        <v>76504</v>
      </c>
      <c r="M78" s="34">
        <f>ROUND(L78/产出与消耗!T17,4)</f>
        <v>2.5999999999999999E-3</v>
      </c>
      <c r="N78" s="1">
        <v>8</v>
      </c>
      <c r="O78" s="69">
        <f t="shared" si="21"/>
        <v>153008</v>
      </c>
      <c r="P78" s="34">
        <f>ROUND(O78/产出与消耗!T39,4)</f>
        <v>5.1999999999999998E-3</v>
      </c>
      <c r="Q78" s="1">
        <v>6</v>
      </c>
      <c r="R78" s="69">
        <f t="shared" si="22"/>
        <v>114756</v>
      </c>
      <c r="S78" s="34">
        <f>ROUND(R78/产出与消耗!T61,4)</f>
        <v>5.7999999999999996E-3</v>
      </c>
      <c r="T78" s="64">
        <f t="shared" si="23"/>
        <v>1.3599999999999999E-2</v>
      </c>
    </row>
    <row r="79" spans="1:20">
      <c r="B79">
        <v>15</v>
      </c>
      <c r="C79">
        <f>ROUND(C80-(C81-C80)/(产出与消耗!$K$20-产出与消耗!$K$19)*(产出与消耗!$K$19-产出与消耗!$K$18),0)</f>
        <v>22501</v>
      </c>
      <c r="D79" s="1">
        <v>4</v>
      </c>
      <c r="E79">
        <f>ROUND(D79*C79/3600/(建筑!G100*基本公式!$B$153),2)</f>
        <v>4.17</v>
      </c>
      <c r="F79" s="1">
        <v>5</v>
      </c>
      <c r="G79" s="69">
        <f t="shared" si="19"/>
        <v>112505</v>
      </c>
      <c r="K79" s="1">
        <v>4</v>
      </c>
      <c r="L79" s="69">
        <f t="shared" si="20"/>
        <v>90004</v>
      </c>
      <c r="M79" s="34">
        <f>ROUND(L79/产出与消耗!T18,4)</f>
        <v>1.9E-3</v>
      </c>
      <c r="N79" s="1">
        <v>8</v>
      </c>
      <c r="O79" s="69">
        <f t="shared" si="21"/>
        <v>180008</v>
      </c>
      <c r="P79" s="34">
        <f>ROUND(O79/产出与消耗!T40,4)</f>
        <v>3.7000000000000002E-3</v>
      </c>
      <c r="Q79" s="1">
        <v>6</v>
      </c>
      <c r="R79" s="69">
        <f t="shared" si="22"/>
        <v>135006</v>
      </c>
      <c r="S79" s="34">
        <f>ROUND(R79/产出与消耗!T62,4)</f>
        <v>4.1999999999999997E-3</v>
      </c>
      <c r="T79" s="64">
        <f t="shared" si="23"/>
        <v>9.7999999999999997E-3</v>
      </c>
    </row>
    <row r="80" spans="1:20">
      <c r="B80">
        <v>16</v>
      </c>
      <c r="C80">
        <f>ROUND(C81-(C82-C81)/(产出与消耗!$K$21-产出与消耗!$K$20)*(产出与消耗!$K$20-产出与消耗!$K$19),0)</f>
        <v>25876</v>
      </c>
      <c r="D80" s="1">
        <v>4</v>
      </c>
      <c r="E80">
        <f>ROUND(D80*C80/3600/(建筑!G101*基本公式!$B$153),2)</f>
        <v>3.59</v>
      </c>
      <c r="F80" s="1">
        <v>5</v>
      </c>
      <c r="G80" s="69">
        <f t="shared" si="19"/>
        <v>129380</v>
      </c>
      <c r="K80" s="1">
        <v>4</v>
      </c>
      <c r="L80" s="69">
        <f t="shared" si="20"/>
        <v>103504</v>
      </c>
      <c r="M80" s="34">
        <f>ROUND(L80/产出与消耗!T19,4)</f>
        <v>1.4E-3</v>
      </c>
      <c r="N80" s="1">
        <v>8</v>
      </c>
      <c r="O80" s="69">
        <f t="shared" si="21"/>
        <v>207008</v>
      </c>
      <c r="P80" s="34">
        <f>ROUND(O80/产出与消耗!T41,4)</f>
        <v>2.8E-3</v>
      </c>
      <c r="Q80" s="1">
        <v>6</v>
      </c>
      <c r="R80" s="69">
        <f t="shared" si="22"/>
        <v>155256</v>
      </c>
      <c r="S80" s="34">
        <f>ROUND(R80/产出与消耗!T63,4)</f>
        <v>3.0999999999999999E-3</v>
      </c>
      <c r="T80" s="64">
        <f t="shared" si="23"/>
        <v>7.2999999999999992E-3</v>
      </c>
    </row>
    <row r="81" spans="1:20">
      <c r="B81">
        <v>17</v>
      </c>
      <c r="C81">
        <f>ROUND(C82-(C83-C82)/(产出与消耗!$K$22-产出与消耗!$K$21)*(产出与消耗!$K$21-产出与消耗!$K$20),0)</f>
        <v>29588</v>
      </c>
      <c r="D81" s="1">
        <v>4</v>
      </c>
      <c r="E81">
        <f>ROUND(D81*C81/3600/(建筑!G102*基本公式!$B$153),2)</f>
        <v>4.1100000000000003</v>
      </c>
      <c r="F81" s="1">
        <v>5</v>
      </c>
      <c r="G81" s="69">
        <f t="shared" si="19"/>
        <v>147940</v>
      </c>
      <c r="K81" s="1">
        <v>4</v>
      </c>
      <c r="L81" s="69">
        <f t="shared" si="20"/>
        <v>118352</v>
      </c>
      <c r="M81" s="34">
        <f>ROUND(L81/产出与消耗!T20,4)</f>
        <v>1.1000000000000001E-3</v>
      </c>
      <c r="N81" s="1">
        <v>8</v>
      </c>
      <c r="O81" s="69">
        <f t="shared" si="21"/>
        <v>236704</v>
      </c>
      <c r="P81" s="34">
        <f>ROUND(O81/产出与消耗!T42,4)</f>
        <v>2.0999999999999999E-3</v>
      </c>
      <c r="Q81" s="1">
        <v>6</v>
      </c>
      <c r="R81" s="69">
        <f t="shared" si="22"/>
        <v>177528</v>
      </c>
      <c r="S81" s="34">
        <f>ROUND(R81/产出与消耗!T64,4)</f>
        <v>2.3999999999999998E-3</v>
      </c>
      <c r="T81" s="64">
        <f t="shared" si="23"/>
        <v>5.5999999999999991E-3</v>
      </c>
    </row>
    <row r="82" spans="1:20">
      <c r="B82">
        <v>18</v>
      </c>
      <c r="C82">
        <f>ROUND(C83-(C84-C83)/(产出与消耗!$K$23-产出与消耗!$K$22)*(产出与消耗!$K$22-产出与消耗!$K$21),0)</f>
        <v>33750</v>
      </c>
      <c r="D82" s="1">
        <v>4</v>
      </c>
      <c r="E82">
        <f>ROUND(D82*C82/3600/(建筑!G103*基本公式!$B$153),2)</f>
        <v>4.6900000000000004</v>
      </c>
      <c r="F82" s="1">
        <v>5</v>
      </c>
      <c r="G82" s="69">
        <f t="shared" si="19"/>
        <v>168750</v>
      </c>
      <c r="K82" s="1">
        <v>4</v>
      </c>
      <c r="L82" s="69">
        <f t="shared" si="20"/>
        <v>135000</v>
      </c>
      <c r="M82" s="34">
        <f>ROUND(L82/产出与消耗!T21,4)</f>
        <v>8.0000000000000004E-4</v>
      </c>
      <c r="N82" s="1">
        <v>8</v>
      </c>
      <c r="O82" s="69">
        <f t="shared" si="21"/>
        <v>270000</v>
      </c>
      <c r="P82" s="34">
        <f>ROUND(O82/产出与消耗!T43,4)</f>
        <v>1.6999999999999999E-3</v>
      </c>
      <c r="Q82" s="1">
        <v>6</v>
      </c>
      <c r="R82" s="69">
        <f t="shared" si="22"/>
        <v>202500</v>
      </c>
      <c r="S82" s="34">
        <f>ROUND(R82/产出与消耗!T65,4)</f>
        <v>1.9E-3</v>
      </c>
      <c r="T82" s="64">
        <f t="shared" si="23"/>
        <v>4.4000000000000003E-3</v>
      </c>
    </row>
    <row r="83" spans="1:20">
      <c r="A83" s="40" t="s">
        <v>135</v>
      </c>
      <c r="B83">
        <v>19</v>
      </c>
      <c r="C83">
        <f>ROUND(产出与消耗!$K$22*C84/产出与消耗!$K$23,0)</f>
        <v>38250</v>
      </c>
      <c r="D83" s="1">
        <v>4</v>
      </c>
      <c r="E83">
        <f>ROUND(D83*C83/3600/(建筑!G104*基本公式!$B$153),2)</f>
        <v>5.31</v>
      </c>
      <c r="F83" s="1">
        <v>5</v>
      </c>
      <c r="G83" s="69">
        <f t="shared" si="19"/>
        <v>191250</v>
      </c>
      <c r="K83" s="1">
        <v>4</v>
      </c>
      <c r="L83" s="69">
        <f t="shared" si="20"/>
        <v>153000</v>
      </c>
      <c r="M83" s="34">
        <f>ROUND(L83/产出与消耗!T22,4)</f>
        <v>6.9999999999999999E-4</v>
      </c>
      <c r="N83" s="1">
        <v>8</v>
      </c>
      <c r="O83" s="69">
        <f t="shared" si="21"/>
        <v>306000</v>
      </c>
      <c r="P83" s="34">
        <f>ROUND(O83/产出与消耗!T44,4)</f>
        <v>1.2999999999999999E-3</v>
      </c>
      <c r="Q83" s="1">
        <v>6</v>
      </c>
      <c r="R83" s="69">
        <f t="shared" si="22"/>
        <v>229500</v>
      </c>
      <c r="S83" s="34">
        <f>ROUND(R83/产出与消耗!T66,4)</f>
        <v>1.5E-3</v>
      </c>
      <c r="T83" s="64">
        <f t="shared" si="23"/>
        <v>3.5000000000000001E-3</v>
      </c>
    </row>
    <row r="84" spans="1:20">
      <c r="B84">
        <v>20</v>
      </c>
      <c r="C84">
        <v>45000</v>
      </c>
      <c r="D84" s="1">
        <v>4</v>
      </c>
      <c r="E84">
        <f>ROUND(D84*C84/3600/(建筑!G105*基本公式!$B$153),2)</f>
        <v>5</v>
      </c>
      <c r="F84" s="1">
        <v>5</v>
      </c>
      <c r="G84" s="69">
        <f t="shared" si="19"/>
        <v>225000</v>
      </c>
      <c r="K84" s="1">
        <v>4</v>
      </c>
      <c r="L84" s="69">
        <f t="shared" si="20"/>
        <v>180000</v>
      </c>
      <c r="M84" s="34">
        <f>ROUND(L84/产出与消耗!T23,4)</f>
        <v>5.0000000000000001E-4</v>
      </c>
      <c r="N84" s="1">
        <v>8</v>
      </c>
      <c r="O84" s="69">
        <f t="shared" si="21"/>
        <v>360000</v>
      </c>
      <c r="P84" s="34">
        <f>ROUND(O84/产出与消耗!T45,4)</f>
        <v>1.1000000000000001E-3</v>
      </c>
      <c r="Q84" s="1">
        <v>6</v>
      </c>
      <c r="R84" s="69">
        <f t="shared" si="22"/>
        <v>270000</v>
      </c>
      <c r="S84" s="34">
        <f>ROUND(R84/产出与消耗!T67,4)</f>
        <v>1.1999999999999999E-3</v>
      </c>
      <c r="T84" s="64">
        <f t="shared" si="23"/>
        <v>2.8E-3</v>
      </c>
    </row>
    <row r="86" spans="1:20">
      <c r="A86" t="s">
        <v>206</v>
      </c>
      <c r="B86">
        <v>1</v>
      </c>
      <c r="C86">
        <f>MAX(ROUND(C87-(C88-C87)/(产出与消耗!$K$6-产出与消耗!$K$5)*(产出与消耗!$K$5-产出与消耗!$K$4)*1.004,0),0)</f>
        <v>0</v>
      </c>
      <c r="D86" s="1">
        <v>5</v>
      </c>
      <c r="E86">
        <f>ROUND(D86*C86/3600/(建筑!G86*基本公式!$B$153),2)</f>
        <v>0</v>
      </c>
      <c r="F86" s="1">
        <f>F2*1.4</f>
        <v>14</v>
      </c>
      <c r="G86" s="69">
        <f t="shared" ref="G86:G105" si="24">F86*C86</f>
        <v>0</v>
      </c>
      <c r="K86" s="1">
        <v>13</v>
      </c>
      <c r="L86" s="69">
        <f t="shared" ref="L86:L105" si="25">ROUND(K86*C86,0)</f>
        <v>0</v>
      </c>
      <c r="M86" s="34">
        <f>ROUND(L86/产出与消耗!T4,4)</f>
        <v>0</v>
      </c>
      <c r="N86" s="1">
        <v>37</v>
      </c>
      <c r="O86" s="69">
        <f t="shared" ref="O86:O105" si="26">ROUND(N86*C86,0)</f>
        <v>0</v>
      </c>
      <c r="P86" s="34">
        <f>ROUND(O86/产出与消耗!T26,4)</f>
        <v>0</v>
      </c>
      <c r="Q86" s="1">
        <v>8</v>
      </c>
      <c r="R86" s="69">
        <f t="shared" ref="R86:R105" si="27">ROUND(Q86*C86,0)</f>
        <v>0</v>
      </c>
      <c r="S86" s="34">
        <f>ROUND(R86/产出与消耗!T48,4)</f>
        <v>0</v>
      </c>
      <c r="T86" s="64">
        <f t="shared" ref="T86:T150" si="28">M86+P86+S86</f>
        <v>0</v>
      </c>
    </row>
    <row r="87" spans="1:20">
      <c r="B87">
        <v>2</v>
      </c>
      <c r="C87">
        <f>MAX(ROUND(C88-(C89-C88)/(产出与消耗!$K$7-产出与消耗!$K$6)*(产出与消耗!$K$6-产出与消耗!$K$5)*1.004,0),0)</f>
        <v>0</v>
      </c>
      <c r="D87" s="1">
        <v>5</v>
      </c>
      <c r="E87">
        <f>ROUND(D87*C87/3600/(建筑!G87*基本公式!$B$153),2)</f>
        <v>0</v>
      </c>
      <c r="F87" s="1">
        <f t="shared" ref="F87:F105" si="29">F3*1.4</f>
        <v>14</v>
      </c>
      <c r="G87" s="69">
        <f t="shared" si="24"/>
        <v>0</v>
      </c>
      <c r="K87" s="1">
        <v>13</v>
      </c>
      <c r="L87" s="69">
        <f t="shared" si="25"/>
        <v>0</v>
      </c>
      <c r="M87" s="34">
        <f>ROUND(L87/产出与消耗!T5,4)</f>
        <v>0</v>
      </c>
      <c r="N87" s="1">
        <v>37</v>
      </c>
      <c r="O87" s="69">
        <f t="shared" si="26"/>
        <v>0</v>
      </c>
      <c r="P87" s="34">
        <f>ROUND(O87/产出与消耗!T27,4)</f>
        <v>0</v>
      </c>
      <c r="Q87" s="1">
        <v>8</v>
      </c>
      <c r="R87" s="69">
        <f t="shared" si="27"/>
        <v>0</v>
      </c>
      <c r="S87" s="34">
        <f>ROUND(R87/产出与消耗!T49,4)</f>
        <v>0</v>
      </c>
      <c r="T87" s="64">
        <f t="shared" si="28"/>
        <v>0</v>
      </c>
    </row>
    <row r="88" spans="1:20">
      <c r="B88">
        <v>3</v>
      </c>
      <c r="C88">
        <f>MAX(ROUND(C89-(C90-C89)/(产出与消耗!$K$8-产出与消耗!$K$7)*(产出与消耗!$K$7-产出与消耗!$K$6)*1.004,0),0)</f>
        <v>0</v>
      </c>
      <c r="D88" s="1">
        <v>5</v>
      </c>
      <c r="E88">
        <f>ROUND(D88*C88/3600/(建筑!G88*基本公式!$B$153),2)</f>
        <v>0</v>
      </c>
      <c r="F88" s="1">
        <f t="shared" si="29"/>
        <v>14</v>
      </c>
      <c r="G88" s="69">
        <f t="shared" si="24"/>
        <v>0</v>
      </c>
      <c r="K88" s="1">
        <v>13</v>
      </c>
      <c r="L88" s="69">
        <f t="shared" si="25"/>
        <v>0</v>
      </c>
      <c r="M88" s="34">
        <f>ROUND(L88/产出与消耗!T6,4)</f>
        <v>0</v>
      </c>
      <c r="N88" s="1">
        <v>37</v>
      </c>
      <c r="O88" s="69">
        <f t="shared" si="26"/>
        <v>0</v>
      </c>
      <c r="P88" s="34">
        <f>ROUND(O88/产出与消耗!T28,4)</f>
        <v>0</v>
      </c>
      <c r="Q88" s="1">
        <v>8</v>
      </c>
      <c r="R88" s="69">
        <f t="shared" si="27"/>
        <v>0</v>
      </c>
      <c r="S88" s="34">
        <f>ROUND(R88/产出与消耗!T50,4)</f>
        <v>0</v>
      </c>
      <c r="T88" s="64">
        <f t="shared" si="28"/>
        <v>0</v>
      </c>
    </row>
    <row r="89" spans="1:20">
      <c r="B89">
        <v>4</v>
      </c>
      <c r="C89">
        <f>MAX(ROUND(C90-(C91-C90)/(产出与消耗!$K$9-产出与消耗!$K$8)*(产出与消耗!$K$8-产出与消耗!$K$7)*1.004,0),0)</f>
        <v>0</v>
      </c>
      <c r="D89" s="1">
        <v>5</v>
      </c>
      <c r="E89">
        <f>ROUND(D89*C89/3600/(建筑!G89*基本公式!$B$153),2)</f>
        <v>0</v>
      </c>
      <c r="F89" s="1">
        <f t="shared" si="29"/>
        <v>14</v>
      </c>
      <c r="G89" s="69">
        <f t="shared" si="24"/>
        <v>0</v>
      </c>
      <c r="K89" s="1">
        <v>13</v>
      </c>
      <c r="L89" s="69">
        <f t="shared" si="25"/>
        <v>0</v>
      </c>
      <c r="M89" s="34">
        <f>ROUND(L89/产出与消耗!T7,4)</f>
        <v>0</v>
      </c>
      <c r="N89" s="1">
        <v>37</v>
      </c>
      <c r="O89" s="69">
        <f t="shared" si="26"/>
        <v>0</v>
      </c>
      <c r="P89" s="34">
        <f>ROUND(O89/产出与消耗!T29,4)</f>
        <v>0</v>
      </c>
      <c r="Q89" s="1">
        <v>8</v>
      </c>
      <c r="R89" s="69">
        <f t="shared" si="27"/>
        <v>0</v>
      </c>
      <c r="S89" s="34">
        <f>ROUND(R89/产出与消耗!T51,4)</f>
        <v>0</v>
      </c>
      <c r="T89" s="64">
        <f t="shared" si="28"/>
        <v>0</v>
      </c>
    </row>
    <row r="90" spans="1:20">
      <c r="B90">
        <v>5</v>
      </c>
      <c r="C90">
        <f>MAX(ROUND(C91-(C92-C91)/(产出与消耗!$K$10-产出与消耗!$K$9)*(产出与消耗!$K$9-产出与消耗!$K$8)*1.004,0),0)</f>
        <v>27</v>
      </c>
      <c r="D90" s="1">
        <v>5</v>
      </c>
      <c r="E90">
        <f>ROUND(D90*C90/3600/(建筑!G90*基本公式!$B$153),2)</f>
        <v>0.02</v>
      </c>
      <c r="F90" s="1">
        <f t="shared" si="29"/>
        <v>14</v>
      </c>
      <c r="G90" s="69">
        <f t="shared" si="24"/>
        <v>378</v>
      </c>
      <c r="K90" s="1">
        <v>13</v>
      </c>
      <c r="L90" s="69">
        <f t="shared" si="25"/>
        <v>351</v>
      </c>
      <c r="M90" s="34">
        <f>ROUND(L90/产出与消耗!T8,4)</f>
        <v>1.3899999999999999E-2</v>
      </c>
      <c r="N90" s="1">
        <v>37</v>
      </c>
      <c r="O90" s="69">
        <f t="shared" si="26"/>
        <v>999</v>
      </c>
      <c r="P90" s="34">
        <f>ROUND(O90/产出与消耗!T30,4)</f>
        <v>3.9600000000000003E-2</v>
      </c>
      <c r="Q90" s="1">
        <v>8</v>
      </c>
      <c r="R90" s="69">
        <f t="shared" si="27"/>
        <v>216</v>
      </c>
      <c r="S90" s="34">
        <f>ROUND(R90/产出与消耗!T52,4)</f>
        <v>1.04E-2</v>
      </c>
      <c r="T90" s="64">
        <f t="shared" si="28"/>
        <v>6.3900000000000012E-2</v>
      </c>
    </row>
    <row r="91" spans="1:20">
      <c r="B91">
        <v>6</v>
      </c>
      <c r="C91">
        <f>MAX(ROUND(C92-(C93-C92)/(产出与消耗!$K$11-产出与消耗!$K$10)*(产出与消耗!$K$10-产出与消耗!$K$9)*1.004,0),0)</f>
        <v>622</v>
      </c>
      <c r="D91" s="1">
        <v>5</v>
      </c>
      <c r="E91">
        <f>ROUND(D91*C91/3600/(建筑!G91*基本公式!$B$153),2)</f>
        <v>0.43</v>
      </c>
      <c r="F91" s="1">
        <f t="shared" si="29"/>
        <v>14</v>
      </c>
      <c r="G91" s="69">
        <f t="shared" si="24"/>
        <v>8708</v>
      </c>
      <c r="K91" s="1">
        <v>13</v>
      </c>
      <c r="L91" s="69">
        <f t="shared" si="25"/>
        <v>8086</v>
      </c>
      <c r="M91" s="34">
        <f>ROUND(L91/产出与消耗!T9,4)</f>
        <v>0.12889999999999999</v>
      </c>
      <c r="N91" s="1">
        <v>37</v>
      </c>
      <c r="O91" s="69">
        <f t="shared" si="26"/>
        <v>23014</v>
      </c>
      <c r="P91" s="34">
        <f>ROUND(O91/产出与消耗!T31,4)</f>
        <v>0.36680000000000001</v>
      </c>
      <c r="Q91" s="1">
        <v>8</v>
      </c>
      <c r="R91" s="69">
        <f t="shared" si="27"/>
        <v>4976</v>
      </c>
      <c r="S91" s="34">
        <f>ROUND(R91/产出与消耗!T53,4)</f>
        <v>0.11020000000000001</v>
      </c>
      <c r="T91" s="64">
        <f t="shared" si="28"/>
        <v>0.60589999999999999</v>
      </c>
    </row>
    <row r="92" spans="1:20">
      <c r="B92">
        <v>7</v>
      </c>
      <c r="C92">
        <f>MAX(ROUND(C93-(C94-C93)/(产出与消耗!$K$12-产出与消耗!$K$11)*(产出与消耗!$K$11-产出与消耗!$K$10)*1.004,0),0)</f>
        <v>1570</v>
      </c>
      <c r="D92" s="1">
        <v>5</v>
      </c>
      <c r="E92">
        <f>ROUND(D92*C92/3600/(建筑!G92*基本公式!$B$153),2)</f>
        <v>0.55000000000000004</v>
      </c>
      <c r="F92" s="1">
        <f t="shared" si="29"/>
        <v>14</v>
      </c>
      <c r="G92" s="69">
        <f t="shared" si="24"/>
        <v>21980</v>
      </c>
      <c r="K92" s="1">
        <v>13</v>
      </c>
      <c r="L92" s="69">
        <f t="shared" si="25"/>
        <v>20410</v>
      </c>
      <c r="M92" s="34">
        <f>ROUND(L92/产出与消耗!T10,4)</f>
        <v>0.15529999999999999</v>
      </c>
      <c r="N92" s="1">
        <v>37</v>
      </c>
      <c r="O92" s="69">
        <f t="shared" si="26"/>
        <v>58090</v>
      </c>
      <c r="P92" s="34">
        <f>ROUND(O92/产出与消耗!T32,4)</f>
        <v>0.442</v>
      </c>
      <c r="Q92" s="1">
        <v>8</v>
      </c>
      <c r="R92" s="69">
        <f t="shared" si="27"/>
        <v>12560</v>
      </c>
      <c r="S92" s="34">
        <f>ROUND(R92/产出与消耗!T54,4)</f>
        <v>0.1381</v>
      </c>
      <c r="T92" s="64">
        <f t="shared" si="28"/>
        <v>0.73539999999999994</v>
      </c>
    </row>
    <row r="93" spans="1:20">
      <c r="A93" s="11"/>
      <c r="B93">
        <v>8</v>
      </c>
      <c r="C93">
        <f>MAX(ROUND(C94-(C95-C94)/(产出与消耗!$K$13-产出与消耗!$K$12)*(产出与消耗!$K$12-产出与消耗!$K$11)*1.004,0),0)</f>
        <v>3104</v>
      </c>
      <c r="D93" s="1">
        <v>5</v>
      </c>
      <c r="E93">
        <f>ROUND(D93*C93/3600/(建筑!G93*基本公式!$B$153),2)</f>
        <v>1.08</v>
      </c>
      <c r="F93" s="1">
        <f t="shared" si="29"/>
        <v>14</v>
      </c>
      <c r="G93" s="69">
        <f t="shared" si="24"/>
        <v>43456</v>
      </c>
      <c r="K93" s="1">
        <v>13</v>
      </c>
      <c r="L93" s="69">
        <f t="shared" si="25"/>
        <v>40352</v>
      </c>
      <c r="M93" s="34">
        <f>ROUND(L93/产出与消耗!T11,4)</f>
        <v>0.11020000000000001</v>
      </c>
      <c r="N93" s="1">
        <v>37</v>
      </c>
      <c r="O93" s="69">
        <f t="shared" si="26"/>
        <v>114848</v>
      </c>
      <c r="P93" s="34">
        <f>ROUND(O93/产出与消耗!T33,4)</f>
        <v>0.31369999999999998</v>
      </c>
      <c r="Q93" s="1">
        <v>8</v>
      </c>
      <c r="R93" s="69">
        <f t="shared" si="27"/>
        <v>24832</v>
      </c>
      <c r="S93" s="34">
        <f>ROUND(R93/产出与消耗!T55,4)</f>
        <v>0.1004</v>
      </c>
      <c r="T93" s="64">
        <f t="shared" si="28"/>
        <v>0.52429999999999999</v>
      </c>
    </row>
    <row r="94" spans="1:20">
      <c r="B94">
        <v>9</v>
      </c>
      <c r="C94">
        <f>MAX(ROUND(C95-(C96-C95)/(产出与消耗!$K$14-产出与消耗!$K$13)*(产出与消耗!$K$13-产出与消耗!$K$12)*1.004,0),0)</f>
        <v>4632</v>
      </c>
      <c r="D94" s="1">
        <v>5</v>
      </c>
      <c r="E94">
        <f>ROUND(D94*C94/3600/(建筑!G94*基本公式!$B$153),2)</f>
        <v>1.61</v>
      </c>
      <c r="F94" s="1">
        <f t="shared" si="29"/>
        <v>14</v>
      </c>
      <c r="G94" s="69">
        <f t="shared" si="24"/>
        <v>64848</v>
      </c>
      <c r="K94" s="1">
        <v>13</v>
      </c>
      <c r="L94" s="69">
        <f t="shared" si="25"/>
        <v>60216</v>
      </c>
      <c r="M94" s="34">
        <f>ROUND(L94/产出与消耗!T12,4)</f>
        <v>7.2099999999999997E-2</v>
      </c>
      <c r="N94" s="1">
        <v>37</v>
      </c>
      <c r="O94" s="69">
        <f t="shared" si="26"/>
        <v>171384</v>
      </c>
      <c r="P94" s="34">
        <f>ROUND(O94/产出与消耗!T34,4)</f>
        <v>0.20519999999999999</v>
      </c>
      <c r="Q94" s="1">
        <v>8</v>
      </c>
      <c r="R94" s="69">
        <f t="shared" si="27"/>
        <v>37056</v>
      </c>
      <c r="S94" s="34">
        <f>ROUND(R94/产出与消耗!T56,4)</f>
        <v>6.6199999999999995E-2</v>
      </c>
      <c r="T94" s="64">
        <f t="shared" si="28"/>
        <v>0.34349999999999997</v>
      </c>
    </row>
    <row r="95" spans="1:20">
      <c r="A95" s="38" t="s">
        <v>133</v>
      </c>
      <c r="B95">
        <v>10</v>
      </c>
      <c r="C95">
        <f>MAX(ROUND(C96-(C97-C96)/(产出与消耗!$K$15-产出与消耗!$K$14)*(产出与消耗!$K$14-产出与消耗!$K$13)*1.004,0),0)</f>
        <v>7091</v>
      </c>
      <c r="D95" s="1">
        <v>5</v>
      </c>
      <c r="E95">
        <f>ROUND(D95*C95/3600/(建筑!G95*基本公式!$B$153),2)</f>
        <v>2.46</v>
      </c>
      <c r="F95" s="1">
        <f t="shared" si="29"/>
        <v>14</v>
      </c>
      <c r="G95" s="69">
        <f t="shared" si="24"/>
        <v>99274</v>
      </c>
      <c r="K95" s="1">
        <v>13</v>
      </c>
      <c r="L95" s="69">
        <f t="shared" si="25"/>
        <v>92183</v>
      </c>
      <c r="M95" s="34">
        <f>ROUND(L95/产出与消耗!T13,4)</f>
        <v>4.6899999999999997E-2</v>
      </c>
      <c r="N95" s="1">
        <v>37</v>
      </c>
      <c r="O95" s="69">
        <f t="shared" si="26"/>
        <v>262367</v>
      </c>
      <c r="P95" s="34">
        <f>ROUND(O95/产出与消耗!T35,4)</f>
        <v>0.1336</v>
      </c>
      <c r="Q95" s="1">
        <v>8</v>
      </c>
      <c r="R95" s="69">
        <f t="shared" si="27"/>
        <v>56728</v>
      </c>
      <c r="S95" s="34">
        <f>ROUND(R95/产出与消耗!T57,4)</f>
        <v>4.3200000000000002E-2</v>
      </c>
      <c r="T95" s="64">
        <f t="shared" si="28"/>
        <v>0.22370000000000001</v>
      </c>
    </row>
    <row r="96" spans="1:20">
      <c r="B96">
        <v>11</v>
      </c>
      <c r="C96">
        <f>MAX(ROUND(C97-(C98-C97)/(产出与消耗!$K$16-产出与消耗!$K$15)*(产出与消耗!$K$15-产出与消耗!$K$14)*1.004,0),0)</f>
        <v>8607</v>
      </c>
      <c r="D96" s="1">
        <v>5</v>
      </c>
      <c r="E96">
        <f>ROUND(D96*C96/3600/(建筑!G96*基本公式!$B$153),2)</f>
        <v>2.99</v>
      </c>
      <c r="F96" s="1">
        <f t="shared" si="29"/>
        <v>14</v>
      </c>
      <c r="G96" s="69">
        <f t="shared" si="24"/>
        <v>120498</v>
      </c>
      <c r="K96" s="1">
        <v>13</v>
      </c>
      <c r="L96" s="69">
        <f t="shared" si="25"/>
        <v>111891</v>
      </c>
      <c r="M96" s="34">
        <f>ROUND(L96/产出与消耗!T14,4)</f>
        <v>2.8199999999999999E-2</v>
      </c>
      <c r="N96" s="1">
        <v>37</v>
      </c>
      <c r="O96" s="69">
        <f t="shared" si="26"/>
        <v>318459</v>
      </c>
      <c r="P96" s="34">
        <f>ROUND(O96/产出与消耗!T36,4)</f>
        <v>8.0299999999999996E-2</v>
      </c>
      <c r="Q96" s="1">
        <v>8</v>
      </c>
      <c r="R96" s="69">
        <f t="shared" si="27"/>
        <v>68856</v>
      </c>
      <c r="S96" s="34">
        <f>ROUND(R96/产出与消耗!T58,4)</f>
        <v>2.5999999999999999E-2</v>
      </c>
      <c r="T96" s="64">
        <f t="shared" si="28"/>
        <v>0.13450000000000001</v>
      </c>
    </row>
    <row r="97" spans="1:20">
      <c r="B97">
        <v>12</v>
      </c>
      <c r="C97">
        <f>MAX(ROUND(C98-(C99-C98)/(产出与消耗!$K$17-产出与消耗!$K$16)*(产出与消耗!$K$16-产出与消耗!$K$15)*1.004,0),0)</f>
        <v>12556</v>
      </c>
      <c r="D97" s="1">
        <v>5</v>
      </c>
      <c r="E97">
        <f>ROUND(D97*C97/3600/(建筑!G97*基本公式!$B$153),2)</f>
        <v>2.91</v>
      </c>
      <c r="F97" s="1">
        <f t="shared" si="29"/>
        <v>14</v>
      </c>
      <c r="G97" s="69">
        <f t="shared" si="24"/>
        <v>175784</v>
      </c>
      <c r="K97" s="1">
        <v>13</v>
      </c>
      <c r="L97" s="69">
        <f t="shared" si="25"/>
        <v>163228</v>
      </c>
      <c r="M97" s="34">
        <f>ROUND(L97/产出与消耗!T15,4)</f>
        <v>1.84E-2</v>
      </c>
      <c r="N97" s="1">
        <v>37</v>
      </c>
      <c r="O97" s="69">
        <f t="shared" si="26"/>
        <v>464572</v>
      </c>
      <c r="P97" s="34">
        <f>ROUND(O97/产出与消耗!T37,4)</f>
        <v>5.2499999999999998E-2</v>
      </c>
      <c r="Q97" s="1">
        <v>8</v>
      </c>
      <c r="R97" s="69">
        <f t="shared" si="27"/>
        <v>100448</v>
      </c>
      <c r="S97" s="34">
        <f>ROUND(R97/产出与消耗!T59,4)</f>
        <v>1.7000000000000001E-2</v>
      </c>
      <c r="T97" s="64">
        <f t="shared" si="28"/>
        <v>8.7899999999999992E-2</v>
      </c>
    </row>
    <row r="98" spans="1:20">
      <c r="A98" s="11"/>
      <c r="B98">
        <v>13</v>
      </c>
      <c r="C98">
        <f>MAX(ROUND(C99-(C100-C99)/(产出与消耗!$K$18-产出与消耗!$K$17)*(产出与消耗!$K$17-产出与消耗!$K$16)*1.004,0),0)</f>
        <v>15911</v>
      </c>
      <c r="D98" s="1">
        <v>5</v>
      </c>
      <c r="E98">
        <f>ROUND(D98*C98/3600/(建筑!G98*基本公式!$B$153),2)</f>
        <v>3.68</v>
      </c>
      <c r="F98" s="1">
        <f t="shared" si="29"/>
        <v>14</v>
      </c>
      <c r="G98" s="69">
        <f t="shared" si="24"/>
        <v>222754</v>
      </c>
      <c r="K98" s="1">
        <v>13</v>
      </c>
      <c r="L98" s="69">
        <f t="shared" si="25"/>
        <v>206843</v>
      </c>
      <c r="M98" s="34">
        <f>ROUND(L98/产出与消耗!T16,4)</f>
        <v>1.2E-2</v>
      </c>
      <c r="N98" s="1">
        <v>37</v>
      </c>
      <c r="O98" s="69">
        <f t="shared" si="26"/>
        <v>588707</v>
      </c>
      <c r="P98" s="34">
        <f>ROUND(O98/产出与消耗!T38,4)</f>
        <v>3.4299999999999997E-2</v>
      </c>
      <c r="Q98" s="1">
        <v>8</v>
      </c>
      <c r="R98" s="69">
        <f t="shared" si="27"/>
        <v>127288</v>
      </c>
      <c r="S98" s="34">
        <f>ROUND(R98/产出与消耗!T60,4)</f>
        <v>1.11E-2</v>
      </c>
      <c r="T98" s="64">
        <f t="shared" si="28"/>
        <v>5.7399999999999993E-2</v>
      </c>
    </row>
    <row r="99" spans="1:20">
      <c r="A99" s="39" t="s">
        <v>134</v>
      </c>
      <c r="B99">
        <v>14</v>
      </c>
      <c r="C99">
        <f>MAX(ROUND(C100-(C101-C100)/(产出与消耗!$K$19-产出与消耗!$K$18)*(产出与消耗!$K$18-产出与消耗!$K$17)*1.004,0),0)</f>
        <v>18907</v>
      </c>
      <c r="D99" s="1">
        <v>5</v>
      </c>
      <c r="E99">
        <f>ROUND(D99*C99/3600/(建筑!G99*基本公式!$B$153),2)</f>
        <v>4.38</v>
      </c>
      <c r="F99" s="1">
        <f t="shared" si="29"/>
        <v>14</v>
      </c>
      <c r="G99" s="69">
        <f t="shared" si="24"/>
        <v>264698</v>
      </c>
      <c r="K99" s="1">
        <v>13</v>
      </c>
      <c r="L99" s="69">
        <f t="shared" si="25"/>
        <v>245791</v>
      </c>
      <c r="M99" s="34">
        <f>ROUND(L99/产出与消耗!T17,4)</f>
        <v>8.3000000000000001E-3</v>
      </c>
      <c r="N99" s="1">
        <v>37</v>
      </c>
      <c r="O99" s="69">
        <f t="shared" si="26"/>
        <v>699559</v>
      </c>
      <c r="P99" s="34">
        <f>ROUND(O99/产出与消耗!T39,4)</f>
        <v>2.3599999999999999E-2</v>
      </c>
      <c r="Q99" s="1">
        <v>8</v>
      </c>
      <c r="R99" s="69">
        <f t="shared" si="27"/>
        <v>151256</v>
      </c>
      <c r="S99" s="34">
        <f>ROUND(R99/产出与消耗!T61,4)</f>
        <v>7.7000000000000002E-3</v>
      </c>
      <c r="T99" s="64">
        <f t="shared" si="28"/>
        <v>3.9599999999999996E-2</v>
      </c>
    </row>
    <row r="100" spans="1:20">
      <c r="B100">
        <v>15</v>
      </c>
      <c r="C100">
        <f>MAX(ROUND(C101-(C102-C101)/(产出与消耗!$K$20-产出与消耗!$K$19)*(产出与消耗!$K$19-产出与消耗!$K$18)*1.004,0),0)</f>
        <v>22350</v>
      </c>
      <c r="D100" s="1">
        <v>5</v>
      </c>
      <c r="E100">
        <f>ROUND(D100*C100/3600/(建筑!G100*基本公式!$B$153),2)</f>
        <v>5.17</v>
      </c>
      <c r="F100" s="1">
        <f t="shared" si="29"/>
        <v>14</v>
      </c>
      <c r="G100" s="69">
        <f t="shared" si="24"/>
        <v>312900</v>
      </c>
      <c r="K100" s="1">
        <v>13</v>
      </c>
      <c r="L100" s="69">
        <f t="shared" si="25"/>
        <v>290550</v>
      </c>
      <c r="M100" s="34">
        <f>ROUND(L100/产出与消耗!T18,4)</f>
        <v>6.0000000000000001E-3</v>
      </c>
      <c r="N100" s="1">
        <v>37</v>
      </c>
      <c r="O100" s="69">
        <f t="shared" si="26"/>
        <v>826950</v>
      </c>
      <c r="P100" s="34">
        <f>ROUND(O100/产出与消耗!T40,4)</f>
        <v>1.7000000000000001E-2</v>
      </c>
      <c r="Q100" s="1">
        <v>8</v>
      </c>
      <c r="R100" s="69">
        <f t="shared" si="27"/>
        <v>178800</v>
      </c>
      <c r="S100" s="34">
        <f>ROUND(R100/产出与消耗!T62,4)</f>
        <v>5.4999999999999997E-3</v>
      </c>
      <c r="T100" s="64">
        <f t="shared" si="28"/>
        <v>2.8499999999999998E-2</v>
      </c>
    </row>
    <row r="101" spans="1:20">
      <c r="B101">
        <v>16</v>
      </c>
      <c r="C101">
        <f>MAX(ROUND(C102-(C103-C102)/(产出与消耗!$K$21-产出与消耗!$K$20)*(产出与消耗!$K$20-产出与消耗!$K$19)*1.004,0),0)</f>
        <v>25779</v>
      </c>
      <c r="D101" s="1">
        <v>5</v>
      </c>
      <c r="E101">
        <f>ROUND(D101*C101/3600/(建筑!G101*基本公式!$B$153),2)</f>
        <v>4.4800000000000004</v>
      </c>
      <c r="F101" s="1">
        <f t="shared" si="29"/>
        <v>14</v>
      </c>
      <c r="G101" s="69">
        <f t="shared" si="24"/>
        <v>360906</v>
      </c>
      <c r="K101" s="1">
        <v>13</v>
      </c>
      <c r="L101" s="69">
        <f t="shared" si="25"/>
        <v>335127</v>
      </c>
      <c r="M101" s="34">
        <f>ROUND(L101/产出与消耗!T19,4)</f>
        <v>4.4999999999999997E-3</v>
      </c>
      <c r="N101" s="1">
        <v>37</v>
      </c>
      <c r="O101" s="69">
        <f t="shared" si="26"/>
        <v>953823</v>
      </c>
      <c r="P101" s="34">
        <f>ROUND(O101/产出与消耗!T41,4)</f>
        <v>1.2699999999999999E-2</v>
      </c>
      <c r="Q101" s="1">
        <v>8</v>
      </c>
      <c r="R101" s="69">
        <f t="shared" si="27"/>
        <v>206232</v>
      </c>
      <c r="S101" s="34">
        <f>ROUND(R101/产出与消耗!T63,4)</f>
        <v>4.1000000000000003E-3</v>
      </c>
      <c r="T101" s="64">
        <f t="shared" si="28"/>
        <v>2.1299999999999999E-2</v>
      </c>
    </row>
    <row r="102" spans="1:20">
      <c r="B102">
        <v>17</v>
      </c>
      <c r="C102">
        <f>MAX(ROUND(C103-(C104-C103)/(产出与消耗!$K$22-产出与消耗!$K$21)*(产出与消耗!$K$21-产出与消耗!$K$20)*1.004,0),0)</f>
        <v>29536</v>
      </c>
      <c r="D102" s="1">
        <v>5</v>
      </c>
      <c r="E102">
        <f>ROUND(D102*C102/3600/(建筑!G102*基本公式!$B$153),2)</f>
        <v>5.13</v>
      </c>
      <c r="F102" s="1">
        <f t="shared" si="29"/>
        <v>14</v>
      </c>
      <c r="G102" s="69">
        <f t="shared" si="24"/>
        <v>413504</v>
      </c>
      <c r="K102" s="1">
        <v>13</v>
      </c>
      <c r="L102" s="69">
        <f t="shared" si="25"/>
        <v>383968</v>
      </c>
      <c r="M102" s="34">
        <f>ROUND(L102/产出与消耗!T20,4)</f>
        <v>3.3999999999999998E-3</v>
      </c>
      <c r="N102" s="1">
        <v>37</v>
      </c>
      <c r="O102" s="69">
        <f t="shared" si="26"/>
        <v>1092832</v>
      </c>
      <c r="P102" s="34">
        <f>ROUND(O102/产出与消耗!T42,4)</f>
        <v>9.7000000000000003E-3</v>
      </c>
      <c r="Q102" s="1">
        <v>8</v>
      </c>
      <c r="R102" s="69">
        <f t="shared" si="27"/>
        <v>236288</v>
      </c>
      <c r="S102" s="34">
        <f>ROUND(R102/产出与消耗!T64,4)</f>
        <v>3.2000000000000002E-3</v>
      </c>
      <c r="T102" s="64">
        <f t="shared" si="28"/>
        <v>1.6300000000000002E-2</v>
      </c>
    </row>
    <row r="103" spans="1:20">
      <c r="B103">
        <v>18</v>
      </c>
      <c r="C103">
        <f>MAX(ROUND(C104-(C105-C104)/(产出与消耗!$K$23-产出与消耗!$K$22)*(产出与消耗!$K$22-产出与消耗!$K$21)*1.004,0),0)</f>
        <v>33732</v>
      </c>
      <c r="D103" s="1">
        <v>5</v>
      </c>
      <c r="E103">
        <f>ROUND(D103*C103/3600/(建筑!G103*基本公式!$B$153),2)</f>
        <v>5.86</v>
      </c>
      <c r="F103" s="1">
        <f t="shared" si="29"/>
        <v>14</v>
      </c>
      <c r="G103" s="69">
        <f t="shared" si="24"/>
        <v>472248</v>
      </c>
      <c r="K103" s="1">
        <v>13</v>
      </c>
      <c r="L103" s="69">
        <f t="shared" si="25"/>
        <v>438516</v>
      </c>
      <c r="M103" s="34">
        <f>ROUND(L103/产出与消耗!T21,4)</f>
        <v>2.7000000000000001E-3</v>
      </c>
      <c r="N103" s="1">
        <v>37</v>
      </c>
      <c r="O103" s="69">
        <f t="shared" si="26"/>
        <v>1248084</v>
      </c>
      <c r="P103" s="34">
        <f>ROUND(O103/产出与消耗!T43,4)</f>
        <v>7.6E-3</v>
      </c>
      <c r="Q103" s="1">
        <v>8</v>
      </c>
      <c r="R103" s="69">
        <f t="shared" si="27"/>
        <v>269856</v>
      </c>
      <c r="S103" s="34">
        <f>ROUND(R103/产出与消耗!T65,4)</f>
        <v>2.5000000000000001E-3</v>
      </c>
      <c r="T103" s="64">
        <f t="shared" si="28"/>
        <v>1.2800000000000001E-2</v>
      </c>
    </row>
    <row r="104" spans="1:20">
      <c r="A104" s="40" t="s">
        <v>135</v>
      </c>
      <c r="B104">
        <v>19</v>
      </c>
      <c r="C104">
        <f>ROUND(产出与消耗!$K$22*C105/产出与消耗!$K$23,0)</f>
        <v>38250</v>
      </c>
      <c r="D104" s="1">
        <v>5</v>
      </c>
      <c r="E104">
        <f>ROUND(D104*C104/3600/(建筑!G104*基本公式!$B$153),2)</f>
        <v>6.64</v>
      </c>
      <c r="F104" s="1">
        <f t="shared" si="29"/>
        <v>14</v>
      </c>
      <c r="G104" s="69">
        <f t="shared" si="24"/>
        <v>535500</v>
      </c>
      <c r="K104" s="1">
        <v>13</v>
      </c>
      <c r="L104" s="69">
        <f t="shared" si="25"/>
        <v>497250</v>
      </c>
      <c r="M104" s="34">
        <f>ROUND(L104/产出与消耗!T22,4)</f>
        <v>2.0999999999999999E-3</v>
      </c>
      <c r="N104" s="1">
        <v>37</v>
      </c>
      <c r="O104" s="69">
        <f t="shared" si="26"/>
        <v>1415250</v>
      </c>
      <c r="P104" s="34">
        <f>ROUND(O104/产出与消耗!T44,4)</f>
        <v>6.1000000000000004E-3</v>
      </c>
      <c r="Q104" s="1">
        <v>8</v>
      </c>
      <c r="R104" s="69">
        <f t="shared" si="27"/>
        <v>306000</v>
      </c>
      <c r="S104" s="34">
        <f>ROUND(R104/产出与消耗!T66,4)</f>
        <v>2E-3</v>
      </c>
      <c r="T104" s="64">
        <f t="shared" si="28"/>
        <v>1.0200000000000001E-2</v>
      </c>
    </row>
    <row r="105" spans="1:20">
      <c r="B105">
        <v>20</v>
      </c>
      <c r="C105">
        <v>45000</v>
      </c>
      <c r="D105" s="1">
        <v>5</v>
      </c>
      <c r="E105">
        <f>ROUND(D105*C105/3600/(建筑!G105*基本公式!$B$153),2)</f>
        <v>6.25</v>
      </c>
      <c r="F105" s="1">
        <f t="shared" si="29"/>
        <v>14</v>
      </c>
      <c r="G105" s="69">
        <f t="shared" si="24"/>
        <v>630000</v>
      </c>
      <c r="K105" s="1">
        <v>13</v>
      </c>
      <c r="L105" s="69">
        <f t="shared" si="25"/>
        <v>585000</v>
      </c>
      <c r="M105" s="34">
        <f>ROUND(L105/产出与消耗!T23,4)</f>
        <v>1.6999999999999999E-3</v>
      </c>
      <c r="N105" s="1">
        <v>37</v>
      </c>
      <c r="O105" s="69">
        <f t="shared" si="26"/>
        <v>1665000</v>
      </c>
      <c r="P105" s="34">
        <f>ROUND(O105/产出与消耗!T45,4)</f>
        <v>5.0000000000000001E-3</v>
      </c>
      <c r="Q105" s="1">
        <v>8</v>
      </c>
      <c r="R105" s="69">
        <f t="shared" si="27"/>
        <v>360000</v>
      </c>
      <c r="S105" s="34">
        <f>ROUND(R105/产出与消耗!T67,4)</f>
        <v>1.6000000000000001E-3</v>
      </c>
      <c r="T105" s="64">
        <f t="shared" si="28"/>
        <v>8.3000000000000001E-3</v>
      </c>
    </row>
    <row r="107" spans="1:20">
      <c r="A107" t="s">
        <v>209</v>
      </c>
      <c r="B107">
        <v>1</v>
      </c>
      <c r="C107">
        <f>MAX(ROUND(C108-(C109-C108)/(产出与消耗!$K$6-产出与消耗!$K$5)*(产出与消耗!$K$5-产出与消耗!$K$4)*1.004,0),0)</f>
        <v>0</v>
      </c>
      <c r="D107" s="1">
        <v>4</v>
      </c>
      <c r="E107">
        <f>ROUND(D107*C107/3600/(建筑!G86*基本公式!$B$153),2)</f>
        <v>0</v>
      </c>
      <c r="F107" s="1">
        <f>F23*1.5</f>
        <v>15</v>
      </c>
      <c r="G107" s="69">
        <f t="shared" ref="G107:G126" si="30">F107*C107</f>
        <v>0</v>
      </c>
      <c r="K107" s="1">
        <v>10</v>
      </c>
      <c r="L107" s="69">
        <f t="shared" ref="L107:L126" si="31">ROUND(K107*C107,0)</f>
        <v>0</v>
      </c>
      <c r="M107" s="34">
        <f>ROUND(L107/产出与消耗!T4,4)</f>
        <v>0</v>
      </c>
      <c r="N107" s="1">
        <v>10</v>
      </c>
      <c r="O107" s="69">
        <f t="shared" ref="O107:O126" si="32">ROUND(N107*C107,0)</f>
        <v>0</v>
      </c>
      <c r="P107" s="34">
        <f>ROUND(O107/产出与消耗!T26,4)</f>
        <v>0</v>
      </c>
      <c r="Q107" s="1">
        <v>28</v>
      </c>
      <c r="R107" s="69">
        <f t="shared" ref="R107:R126" si="33">ROUND(Q107*C107,0)</f>
        <v>0</v>
      </c>
      <c r="S107" s="34">
        <f>ROUND(R107/产出与消耗!T48,4)</f>
        <v>0</v>
      </c>
      <c r="T107" s="64">
        <f t="shared" si="28"/>
        <v>0</v>
      </c>
    </row>
    <row r="108" spans="1:20">
      <c r="B108">
        <v>2</v>
      </c>
      <c r="C108">
        <f>MAX(ROUND(C109-(C110-C109)/(产出与消耗!$K$7-产出与消耗!$K$6)*(产出与消耗!$K$6-产出与消耗!$K$5)*1.004,0),0)</f>
        <v>0</v>
      </c>
      <c r="D108" s="1">
        <v>4</v>
      </c>
      <c r="E108">
        <f>ROUND(D108*C108/3600/(建筑!G87*基本公式!$B$153),2)</f>
        <v>0</v>
      </c>
      <c r="F108" s="1">
        <f t="shared" ref="F108:F126" si="34">F24*1.5</f>
        <v>15</v>
      </c>
      <c r="G108" s="69">
        <f t="shared" si="30"/>
        <v>0</v>
      </c>
      <c r="K108" s="1">
        <v>10</v>
      </c>
      <c r="L108" s="69">
        <f t="shared" si="31"/>
        <v>0</v>
      </c>
      <c r="M108" s="34">
        <f>ROUND(L108/产出与消耗!T5,4)</f>
        <v>0</v>
      </c>
      <c r="N108" s="1">
        <v>10</v>
      </c>
      <c r="O108" s="69">
        <f t="shared" si="32"/>
        <v>0</v>
      </c>
      <c r="P108" s="34">
        <f>ROUND(O108/产出与消耗!T27,4)</f>
        <v>0</v>
      </c>
      <c r="Q108" s="1">
        <v>28</v>
      </c>
      <c r="R108" s="69">
        <f t="shared" si="33"/>
        <v>0</v>
      </c>
      <c r="S108" s="34">
        <f>ROUND(R108/产出与消耗!T49,4)</f>
        <v>0</v>
      </c>
      <c r="T108" s="64">
        <f t="shared" si="28"/>
        <v>0</v>
      </c>
    </row>
    <row r="109" spans="1:20">
      <c r="B109">
        <v>3</v>
      </c>
      <c r="C109">
        <f>MAX(ROUND(C110-(C111-C110)/(产出与消耗!$K$8-产出与消耗!$K$7)*(产出与消耗!$K$7-产出与消耗!$K$6)*1.004,0),0)</f>
        <v>0</v>
      </c>
      <c r="D109" s="1">
        <v>4</v>
      </c>
      <c r="E109">
        <f>ROUND(D109*C109/3600/(建筑!G88*基本公式!$B$153),2)</f>
        <v>0</v>
      </c>
      <c r="F109" s="1">
        <f t="shared" si="34"/>
        <v>15</v>
      </c>
      <c r="G109" s="69">
        <f t="shared" si="30"/>
        <v>0</v>
      </c>
      <c r="K109" s="1">
        <v>10</v>
      </c>
      <c r="L109" s="69">
        <f t="shared" si="31"/>
        <v>0</v>
      </c>
      <c r="M109" s="34">
        <f>ROUND(L109/产出与消耗!T6,4)</f>
        <v>0</v>
      </c>
      <c r="N109" s="1">
        <v>10</v>
      </c>
      <c r="O109" s="69">
        <f t="shared" si="32"/>
        <v>0</v>
      </c>
      <c r="P109" s="34">
        <f>ROUND(O109/产出与消耗!T28,4)</f>
        <v>0</v>
      </c>
      <c r="Q109" s="1">
        <v>28</v>
      </c>
      <c r="R109" s="69">
        <f t="shared" si="33"/>
        <v>0</v>
      </c>
      <c r="S109" s="34">
        <f>ROUND(R109/产出与消耗!T50,4)</f>
        <v>0</v>
      </c>
      <c r="T109" s="64">
        <f t="shared" si="28"/>
        <v>0</v>
      </c>
    </row>
    <row r="110" spans="1:20">
      <c r="B110">
        <v>4</v>
      </c>
      <c r="C110">
        <f>MAX(ROUND(C111-(C112-C111)/(产出与消耗!$K$9-产出与消耗!$K$8)*(产出与消耗!$K$8-产出与消耗!$K$7)*1.004,0),0)</f>
        <v>0</v>
      </c>
      <c r="D110" s="1">
        <v>4</v>
      </c>
      <c r="E110">
        <f>ROUND(D110*C110/3600/(建筑!G89*基本公式!$B$153),2)</f>
        <v>0</v>
      </c>
      <c r="F110" s="1">
        <f t="shared" si="34"/>
        <v>15</v>
      </c>
      <c r="G110" s="69">
        <f t="shared" si="30"/>
        <v>0</v>
      </c>
      <c r="K110" s="1">
        <v>10</v>
      </c>
      <c r="L110" s="69">
        <f t="shared" si="31"/>
        <v>0</v>
      </c>
      <c r="M110" s="34">
        <f>ROUND(L110/产出与消耗!T7,4)</f>
        <v>0</v>
      </c>
      <c r="N110" s="1">
        <v>10</v>
      </c>
      <c r="O110" s="69">
        <f t="shared" si="32"/>
        <v>0</v>
      </c>
      <c r="P110" s="34">
        <f>ROUND(O110/产出与消耗!T29,4)</f>
        <v>0</v>
      </c>
      <c r="Q110" s="1">
        <v>28</v>
      </c>
      <c r="R110" s="69">
        <f t="shared" si="33"/>
        <v>0</v>
      </c>
      <c r="S110" s="34">
        <f>ROUND(R110/产出与消耗!T51,4)</f>
        <v>0</v>
      </c>
      <c r="T110" s="64">
        <f t="shared" si="28"/>
        <v>0</v>
      </c>
    </row>
    <row r="111" spans="1:20">
      <c r="B111">
        <v>5</v>
      </c>
      <c r="C111">
        <f>MAX(ROUND(C112-(C113-C112)/(产出与消耗!$K$10-产出与消耗!$K$9)*(产出与消耗!$K$9-产出与消耗!$K$8)*1.004,0),0)</f>
        <v>27</v>
      </c>
      <c r="D111" s="1">
        <v>4</v>
      </c>
      <c r="E111">
        <f>ROUND(D111*C111/3600/(建筑!G90*基本公式!$B$153),2)</f>
        <v>0.02</v>
      </c>
      <c r="F111" s="1">
        <f t="shared" si="34"/>
        <v>15</v>
      </c>
      <c r="G111" s="69">
        <f t="shared" si="30"/>
        <v>405</v>
      </c>
      <c r="K111" s="1">
        <v>10</v>
      </c>
      <c r="L111" s="69">
        <f t="shared" si="31"/>
        <v>270</v>
      </c>
      <c r="M111" s="34">
        <f>ROUND(L111/产出与消耗!T8,4)</f>
        <v>1.0699999999999999E-2</v>
      </c>
      <c r="N111" s="1">
        <v>10</v>
      </c>
      <c r="O111" s="69">
        <f t="shared" si="32"/>
        <v>270</v>
      </c>
      <c r="P111" s="34">
        <f>ROUND(O111/产出与消耗!T30,4)</f>
        <v>1.0699999999999999E-2</v>
      </c>
      <c r="Q111" s="1">
        <v>28</v>
      </c>
      <c r="R111" s="69">
        <f t="shared" si="33"/>
        <v>756</v>
      </c>
      <c r="S111" s="34">
        <f>ROUND(R111/产出与消耗!T52,4)</f>
        <v>3.6299999999999999E-2</v>
      </c>
      <c r="T111" s="64">
        <f t="shared" si="28"/>
        <v>5.7700000000000001E-2</v>
      </c>
    </row>
    <row r="112" spans="1:20">
      <c r="B112">
        <v>6</v>
      </c>
      <c r="C112">
        <f>MAX(ROUND(C113-(C114-C113)/(产出与消耗!$K$11-产出与消耗!$K$10)*(产出与消耗!$K$10-产出与消耗!$K$9)*1.004,0),0)</f>
        <v>622</v>
      </c>
      <c r="D112" s="1">
        <v>4</v>
      </c>
      <c r="E112">
        <f>ROUND(D112*C112/3600/(建筑!G91*基本公式!$B$153),2)</f>
        <v>0.35</v>
      </c>
      <c r="F112" s="1">
        <f t="shared" si="34"/>
        <v>15</v>
      </c>
      <c r="G112" s="69">
        <f t="shared" si="30"/>
        <v>9330</v>
      </c>
      <c r="K112" s="1">
        <v>10</v>
      </c>
      <c r="L112" s="69">
        <f t="shared" si="31"/>
        <v>6220</v>
      </c>
      <c r="M112" s="34">
        <f>ROUND(L112/产出与消耗!T9,4)</f>
        <v>9.9099999999999994E-2</v>
      </c>
      <c r="N112" s="1">
        <v>10</v>
      </c>
      <c r="O112" s="69">
        <f t="shared" si="32"/>
        <v>6220</v>
      </c>
      <c r="P112" s="34">
        <f>ROUND(O112/产出与消耗!T31,4)</f>
        <v>9.9099999999999994E-2</v>
      </c>
      <c r="Q112" s="1">
        <v>28</v>
      </c>
      <c r="R112" s="69">
        <f t="shared" si="33"/>
        <v>17416</v>
      </c>
      <c r="S112" s="34">
        <f>ROUND(R112/产出与消耗!T53,4)</f>
        <v>0.38569999999999999</v>
      </c>
      <c r="T112" s="64">
        <f t="shared" si="28"/>
        <v>0.58389999999999997</v>
      </c>
    </row>
    <row r="113" spans="1:20">
      <c r="B113">
        <v>7</v>
      </c>
      <c r="C113">
        <f>MAX(ROUND(C114-(C115-C114)/(产出与消耗!$K$12-产出与消耗!$K$11)*(产出与消耗!$K$11-产出与消耗!$K$10)*1.004,0),0)</f>
        <v>1570</v>
      </c>
      <c r="D113" s="1">
        <v>4</v>
      </c>
      <c r="E113">
        <f>ROUND(D113*C113/3600/(建筑!G92*基本公式!$B$153),2)</f>
        <v>0.44</v>
      </c>
      <c r="F113" s="1">
        <f t="shared" si="34"/>
        <v>15</v>
      </c>
      <c r="G113" s="69">
        <f t="shared" si="30"/>
        <v>23550</v>
      </c>
      <c r="K113" s="1">
        <v>10</v>
      </c>
      <c r="L113" s="69">
        <f t="shared" si="31"/>
        <v>15700</v>
      </c>
      <c r="M113" s="34">
        <f>ROUND(L113/产出与消耗!T10,4)</f>
        <v>0.1195</v>
      </c>
      <c r="N113" s="1">
        <v>10</v>
      </c>
      <c r="O113" s="69">
        <f t="shared" si="32"/>
        <v>15700</v>
      </c>
      <c r="P113" s="34">
        <f>ROUND(O113/产出与消耗!T32,4)</f>
        <v>0.1195</v>
      </c>
      <c r="Q113" s="1">
        <v>28</v>
      </c>
      <c r="R113" s="69">
        <f t="shared" si="33"/>
        <v>43960</v>
      </c>
      <c r="S113" s="34">
        <f>ROUND(R113/产出与消耗!T54,4)</f>
        <v>0.4834</v>
      </c>
      <c r="T113" s="64">
        <f t="shared" si="28"/>
        <v>0.72239999999999993</v>
      </c>
    </row>
    <row r="114" spans="1:20">
      <c r="A114" s="11"/>
      <c r="B114">
        <v>8</v>
      </c>
      <c r="C114">
        <f>MAX(ROUND(C115-(C116-C115)/(产出与消耗!$K$13-产出与消耗!$K$12)*(产出与消耗!$K$12-产出与消耗!$K$11)*1.004,0),0)</f>
        <v>3104</v>
      </c>
      <c r="D114" s="1">
        <v>4</v>
      </c>
      <c r="E114">
        <f>ROUND(D114*C114/3600/(建筑!G93*基本公式!$B$153),2)</f>
        <v>0.86</v>
      </c>
      <c r="F114" s="1">
        <f t="shared" si="34"/>
        <v>15</v>
      </c>
      <c r="G114" s="69">
        <f t="shared" si="30"/>
        <v>46560</v>
      </c>
      <c r="K114" s="1">
        <v>10</v>
      </c>
      <c r="L114" s="69">
        <f t="shared" si="31"/>
        <v>31040</v>
      </c>
      <c r="M114" s="34">
        <f>ROUND(L114/产出与消耗!T11,4)</f>
        <v>8.48E-2</v>
      </c>
      <c r="N114" s="1">
        <v>10</v>
      </c>
      <c r="O114" s="69">
        <f t="shared" si="32"/>
        <v>31040</v>
      </c>
      <c r="P114" s="34">
        <f>ROUND(O114/产出与消耗!T33,4)</f>
        <v>8.48E-2</v>
      </c>
      <c r="Q114" s="1">
        <v>28</v>
      </c>
      <c r="R114" s="69">
        <f t="shared" si="33"/>
        <v>86912</v>
      </c>
      <c r="S114" s="34">
        <f>ROUND(R114/产出与消耗!T55,4)</f>
        <v>0.3513</v>
      </c>
      <c r="T114" s="64">
        <f t="shared" si="28"/>
        <v>0.52090000000000003</v>
      </c>
    </row>
    <row r="115" spans="1:20">
      <c r="B115">
        <v>9</v>
      </c>
      <c r="C115">
        <f>MAX(ROUND(C116-(C117-C116)/(产出与消耗!$K$14-产出与消耗!$K$13)*(产出与消耗!$K$13-产出与消耗!$K$12)*1.004,0),0)</f>
        <v>4632</v>
      </c>
      <c r="D115" s="1">
        <v>4</v>
      </c>
      <c r="E115">
        <f>ROUND(D115*C115/3600/(建筑!G94*基本公式!$B$153),2)</f>
        <v>1.29</v>
      </c>
      <c r="F115" s="1">
        <f t="shared" si="34"/>
        <v>15</v>
      </c>
      <c r="G115" s="69">
        <f t="shared" si="30"/>
        <v>69480</v>
      </c>
      <c r="K115" s="1">
        <v>10</v>
      </c>
      <c r="L115" s="69">
        <f t="shared" si="31"/>
        <v>46320</v>
      </c>
      <c r="M115" s="34">
        <f>ROUND(L115/产出与消耗!T12,4)</f>
        <v>5.5500000000000001E-2</v>
      </c>
      <c r="N115" s="1">
        <v>10</v>
      </c>
      <c r="O115" s="69">
        <f t="shared" si="32"/>
        <v>46320</v>
      </c>
      <c r="P115" s="34">
        <f>ROUND(O115/产出与消耗!T34,4)</f>
        <v>5.5500000000000001E-2</v>
      </c>
      <c r="Q115" s="1">
        <v>28</v>
      </c>
      <c r="R115" s="69">
        <f t="shared" si="33"/>
        <v>129696</v>
      </c>
      <c r="S115" s="34">
        <f>ROUND(R115/产出与消耗!T56,4)</f>
        <v>0.2316</v>
      </c>
      <c r="T115" s="64">
        <f t="shared" si="28"/>
        <v>0.34260000000000002</v>
      </c>
    </row>
    <row r="116" spans="1:20">
      <c r="A116" s="38" t="s">
        <v>133</v>
      </c>
      <c r="B116">
        <v>10</v>
      </c>
      <c r="C116">
        <f>MAX(ROUND(C117-(C118-C117)/(产出与消耗!$K$15-产出与消耗!$K$14)*(产出与消耗!$K$14-产出与消耗!$K$13)*1.004,0),0)</f>
        <v>7091</v>
      </c>
      <c r="D116" s="1">
        <v>4</v>
      </c>
      <c r="E116">
        <f>ROUND(D116*C116/3600/(建筑!G95*基本公式!$B$153),2)</f>
        <v>1.97</v>
      </c>
      <c r="F116" s="1">
        <f t="shared" si="34"/>
        <v>15</v>
      </c>
      <c r="G116" s="69">
        <f t="shared" si="30"/>
        <v>106365</v>
      </c>
      <c r="K116" s="1">
        <v>10</v>
      </c>
      <c r="L116" s="69">
        <f t="shared" si="31"/>
        <v>70910</v>
      </c>
      <c r="M116" s="34">
        <f>ROUND(L116/产出与消耗!T13,4)</f>
        <v>3.61E-2</v>
      </c>
      <c r="N116" s="1">
        <v>10</v>
      </c>
      <c r="O116" s="69">
        <f t="shared" si="32"/>
        <v>70910</v>
      </c>
      <c r="P116" s="34">
        <f>ROUND(O116/产出与消耗!T35,4)</f>
        <v>3.61E-2</v>
      </c>
      <c r="Q116" s="1">
        <v>28</v>
      </c>
      <c r="R116" s="69">
        <f t="shared" si="33"/>
        <v>198548</v>
      </c>
      <c r="S116" s="34">
        <f>ROUND(R116/产出与消耗!T57,4)</f>
        <v>0.15129999999999999</v>
      </c>
      <c r="T116" s="64">
        <f t="shared" si="28"/>
        <v>0.22349999999999998</v>
      </c>
    </row>
    <row r="117" spans="1:20">
      <c r="B117">
        <v>11</v>
      </c>
      <c r="C117">
        <f>MAX(ROUND(C118-(C119-C118)/(产出与消耗!$K$16-产出与消耗!$K$15)*(产出与消耗!$K$15-产出与消耗!$K$14)*1.004,0),0)</f>
        <v>8607</v>
      </c>
      <c r="D117" s="1">
        <v>4</v>
      </c>
      <c r="E117">
        <f>ROUND(D117*C117/3600/(建筑!G96*基本公式!$B$153),2)</f>
        <v>2.39</v>
      </c>
      <c r="F117" s="1">
        <f t="shared" si="34"/>
        <v>15</v>
      </c>
      <c r="G117" s="69">
        <f t="shared" si="30"/>
        <v>129105</v>
      </c>
      <c r="K117" s="1">
        <v>10</v>
      </c>
      <c r="L117" s="69">
        <f t="shared" si="31"/>
        <v>86070</v>
      </c>
      <c r="M117" s="34">
        <f>ROUND(L117/产出与消耗!T14,4)</f>
        <v>2.1700000000000001E-2</v>
      </c>
      <c r="N117" s="1">
        <v>10</v>
      </c>
      <c r="O117" s="69">
        <f t="shared" si="32"/>
        <v>86070</v>
      </c>
      <c r="P117" s="34">
        <f>ROUND(O117/产出与消耗!T36,4)</f>
        <v>2.1700000000000001E-2</v>
      </c>
      <c r="Q117" s="1">
        <v>28</v>
      </c>
      <c r="R117" s="69">
        <f t="shared" si="33"/>
        <v>240996</v>
      </c>
      <c r="S117" s="34">
        <f>ROUND(R117/产出与消耗!T58,4)</f>
        <v>9.11E-2</v>
      </c>
      <c r="T117" s="64">
        <f t="shared" si="28"/>
        <v>0.13450000000000001</v>
      </c>
    </row>
    <row r="118" spans="1:20">
      <c r="B118">
        <v>12</v>
      </c>
      <c r="C118">
        <f>MAX(ROUND(C119-(C120-C119)/(产出与消耗!$K$17-产出与消耗!$K$16)*(产出与消耗!$K$16-产出与消耗!$K$15)*1.004,0),0)</f>
        <v>12556</v>
      </c>
      <c r="D118" s="1">
        <v>4</v>
      </c>
      <c r="E118">
        <f>ROUND(D118*C118/3600/(建筑!G97*基本公式!$B$153),2)</f>
        <v>2.33</v>
      </c>
      <c r="F118" s="1">
        <f t="shared" si="34"/>
        <v>15</v>
      </c>
      <c r="G118" s="69">
        <f t="shared" si="30"/>
        <v>188340</v>
      </c>
      <c r="K118" s="1">
        <v>10</v>
      </c>
      <c r="L118" s="69">
        <f t="shared" si="31"/>
        <v>125560</v>
      </c>
      <c r="M118" s="34">
        <f>ROUND(L118/产出与消耗!T15,4)</f>
        <v>1.4200000000000001E-2</v>
      </c>
      <c r="N118" s="1">
        <v>10</v>
      </c>
      <c r="O118" s="69">
        <f t="shared" si="32"/>
        <v>125560</v>
      </c>
      <c r="P118" s="34">
        <f>ROUND(O118/产出与消耗!T37,4)</f>
        <v>1.4200000000000001E-2</v>
      </c>
      <c r="Q118" s="1">
        <v>28</v>
      </c>
      <c r="R118" s="69">
        <f t="shared" si="33"/>
        <v>351568</v>
      </c>
      <c r="S118" s="34">
        <f>ROUND(R118/产出与消耗!T59,4)</f>
        <v>5.96E-2</v>
      </c>
      <c r="T118" s="64">
        <f t="shared" si="28"/>
        <v>8.7999999999999995E-2</v>
      </c>
    </row>
    <row r="119" spans="1:20">
      <c r="A119" s="11"/>
      <c r="B119">
        <v>13</v>
      </c>
      <c r="C119">
        <f>MAX(ROUND(C120-(C121-C120)/(产出与消耗!$K$18-产出与消耗!$K$17)*(产出与消耗!$K$17-产出与消耗!$K$16)*1.004,0),0)</f>
        <v>15911</v>
      </c>
      <c r="D119" s="1">
        <v>4</v>
      </c>
      <c r="E119">
        <f>ROUND(D119*C119/3600/(建筑!G98*基本公式!$B$153),2)</f>
        <v>2.95</v>
      </c>
      <c r="F119" s="1">
        <f t="shared" si="34"/>
        <v>15</v>
      </c>
      <c r="G119" s="69">
        <f t="shared" si="30"/>
        <v>238665</v>
      </c>
      <c r="K119" s="1">
        <v>10</v>
      </c>
      <c r="L119" s="69">
        <f t="shared" si="31"/>
        <v>159110</v>
      </c>
      <c r="M119" s="34">
        <f>ROUND(L119/产出与消耗!T16,4)</f>
        <v>9.2999999999999992E-3</v>
      </c>
      <c r="N119" s="1">
        <v>10</v>
      </c>
      <c r="O119" s="69">
        <f t="shared" si="32"/>
        <v>159110</v>
      </c>
      <c r="P119" s="34">
        <f>ROUND(O119/产出与消耗!T38,4)</f>
        <v>9.2999999999999992E-3</v>
      </c>
      <c r="Q119" s="1">
        <v>28</v>
      </c>
      <c r="R119" s="69">
        <f t="shared" si="33"/>
        <v>445508</v>
      </c>
      <c r="S119" s="34">
        <f>ROUND(R119/产出与消耗!T60,4)</f>
        <v>3.8899999999999997E-2</v>
      </c>
      <c r="T119" s="64">
        <f t="shared" si="28"/>
        <v>5.7499999999999996E-2</v>
      </c>
    </row>
    <row r="120" spans="1:20">
      <c r="A120" s="39" t="s">
        <v>134</v>
      </c>
      <c r="B120">
        <v>14</v>
      </c>
      <c r="C120">
        <f>MAX(ROUND(C121-(C122-C121)/(产出与消耗!$K$19-产出与消耗!$K$18)*(产出与消耗!$K$18-产出与消耗!$K$17)*1.004,0),0)</f>
        <v>18907</v>
      </c>
      <c r="D120" s="1">
        <v>4</v>
      </c>
      <c r="E120">
        <f>ROUND(D120*C120/3600/(建筑!G99*基本公式!$B$153),2)</f>
        <v>3.5</v>
      </c>
      <c r="F120" s="1">
        <f t="shared" si="34"/>
        <v>15</v>
      </c>
      <c r="G120" s="69">
        <f t="shared" si="30"/>
        <v>283605</v>
      </c>
      <c r="K120" s="1">
        <v>10</v>
      </c>
      <c r="L120" s="69">
        <f t="shared" si="31"/>
        <v>189070</v>
      </c>
      <c r="M120" s="34">
        <f>ROUND(L120/产出与消耗!T17,4)</f>
        <v>6.4000000000000003E-3</v>
      </c>
      <c r="N120" s="1">
        <v>10</v>
      </c>
      <c r="O120" s="69">
        <f t="shared" si="32"/>
        <v>189070</v>
      </c>
      <c r="P120" s="34">
        <f>ROUND(O120/产出与消耗!T39,4)</f>
        <v>6.4000000000000003E-3</v>
      </c>
      <c r="Q120" s="1">
        <v>28</v>
      </c>
      <c r="R120" s="69">
        <f t="shared" si="33"/>
        <v>529396</v>
      </c>
      <c r="S120" s="34">
        <f>ROUND(R120/产出与消耗!T61,4)</f>
        <v>2.6800000000000001E-2</v>
      </c>
      <c r="T120" s="64">
        <f t="shared" si="28"/>
        <v>3.9600000000000003E-2</v>
      </c>
    </row>
    <row r="121" spans="1:20">
      <c r="B121">
        <v>15</v>
      </c>
      <c r="C121">
        <f>MAX(ROUND(C122-(C123-C122)/(产出与消耗!$K$20-产出与消耗!$K$19)*(产出与消耗!$K$19-产出与消耗!$K$18)*1.004,0),0)</f>
        <v>22350</v>
      </c>
      <c r="D121" s="1">
        <v>4</v>
      </c>
      <c r="E121">
        <f>ROUND(D121*C121/3600/(建筑!G100*基本公式!$B$153),2)</f>
        <v>4.1399999999999997</v>
      </c>
      <c r="F121" s="1">
        <f t="shared" si="34"/>
        <v>15</v>
      </c>
      <c r="G121" s="69">
        <f t="shared" si="30"/>
        <v>335250</v>
      </c>
      <c r="K121" s="1">
        <v>10</v>
      </c>
      <c r="L121" s="69">
        <f t="shared" si="31"/>
        <v>223500</v>
      </c>
      <c r="M121" s="34">
        <f>ROUND(L121/产出与消耗!T18,4)</f>
        <v>4.5999999999999999E-3</v>
      </c>
      <c r="N121" s="1">
        <v>10</v>
      </c>
      <c r="O121" s="69">
        <f t="shared" si="32"/>
        <v>223500</v>
      </c>
      <c r="P121" s="34">
        <f>ROUND(O121/产出与消耗!T40,4)</f>
        <v>4.5999999999999999E-3</v>
      </c>
      <c r="Q121" s="1">
        <v>28</v>
      </c>
      <c r="R121" s="69">
        <f t="shared" si="33"/>
        <v>625800</v>
      </c>
      <c r="S121" s="34">
        <f>ROUND(R121/产出与消耗!T62,4)</f>
        <v>1.9300000000000001E-2</v>
      </c>
      <c r="T121" s="64">
        <f t="shared" si="28"/>
        <v>2.8500000000000001E-2</v>
      </c>
    </row>
    <row r="122" spans="1:20">
      <c r="B122">
        <v>16</v>
      </c>
      <c r="C122">
        <f>MAX(ROUND(C123-(C124-C123)/(产出与消耗!$K$21-产出与消耗!$K$20)*(产出与消耗!$K$20-产出与消耗!$K$19)*1.004,0),0)</f>
        <v>25779</v>
      </c>
      <c r="D122" s="1">
        <v>4</v>
      </c>
      <c r="E122">
        <f>ROUND(D122*C122/3600/(建筑!G101*基本公式!$B$153),2)</f>
        <v>3.58</v>
      </c>
      <c r="F122" s="1">
        <f t="shared" si="34"/>
        <v>15</v>
      </c>
      <c r="G122" s="69">
        <f t="shared" si="30"/>
        <v>386685</v>
      </c>
      <c r="K122" s="1">
        <v>10</v>
      </c>
      <c r="L122" s="69">
        <f t="shared" si="31"/>
        <v>257790</v>
      </c>
      <c r="M122" s="34">
        <f>ROUND(L122/产出与消耗!T19,4)</f>
        <v>3.3999999999999998E-3</v>
      </c>
      <c r="N122" s="1">
        <v>10</v>
      </c>
      <c r="O122" s="69">
        <f t="shared" si="32"/>
        <v>257790</v>
      </c>
      <c r="P122" s="34">
        <f>ROUND(O122/产出与消耗!T41,4)</f>
        <v>3.3999999999999998E-3</v>
      </c>
      <c r="Q122" s="1">
        <v>28</v>
      </c>
      <c r="R122" s="69">
        <f t="shared" si="33"/>
        <v>721812</v>
      </c>
      <c r="S122" s="34">
        <f>ROUND(R122/产出与消耗!T63,4)</f>
        <v>1.44E-2</v>
      </c>
      <c r="T122" s="64">
        <f t="shared" si="28"/>
        <v>2.12E-2</v>
      </c>
    </row>
    <row r="123" spans="1:20">
      <c r="B123">
        <v>17</v>
      </c>
      <c r="C123">
        <f>MAX(ROUND(C124-(C125-C124)/(产出与消耗!$K$22-产出与消耗!$K$21)*(产出与消耗!$K$21-产出与消耗!$K$20)*1.004,0),0)</f>
        <v>29536</v>
      </c>
      <c r="D123" s="1">
        <v>4</v>
      </c>
      <c r="E123">
        <f>ROUND(D123*C123/3600/(建筑!G102*基本公式!$B$153),2)</f>
        <v>4.0999999999999996</v>
      </c>
      <c r="F123" s="1">
        <f t="shared" si="34"/>
        <v>15</v>
      </c>
      <c r="G123" s="69">
        <f t="shared" si="30"/>
        <v>443040</v>
      </c>
      <c r="K123" s="1">
        <v>10</v>
      </c>
      <c r="L123" s="69">
        <f t="shared" si="31"/>
        <v>295360</v>
      </c>
      <c r="M123" s="34">
        <f>ROUND(L123/产出与消耗!T20,4)</f>
        <v>2.5999999999999999E-3</v>
      </c>
      <c r="N123" s="1">
        <v>10</v>
      </c>
      <c r="O123" s="69">
        <f t="shared" si="32"/>
        <v>295360</v>
      </c>
      <c r="P123" s="34">
        <f>ROUND(O123/产出与消耗!T42,4)</f>
        <v>2.5999999999999999E-3</v>
      </c>
      <c r="Q123" s="1">
        <v>28</v>
      </c>
      <c r="R123" s="69">
        <f t="shared" si="33"/>
        <v>827008</v>
      </c>
      <c r="S123" s="34">
        <f>ROUND(R123/产出与消耗!T64,4)</f>
        <v>1.0999999999999999E-2</v>
      </c>
      <c r="T123" s="64">
        <f t="shared" si="28"/>
        <v>1.6199999999999999E-2</v>
      </c>
    </row>
    <row r="124" spans="1:20">
      <c r="B124">
        <v>18</v>
      </c>
      <c r="C124">
        <f>MAX(ROUND(C125-(C126-C125)/(产出与消耗!$K$23-产出与消耗!$K$22)*(产出与消耗!$K$22-产出与消耗!$K$21)*1.004,0),0)</f>
        <v>33732</v>
      </c>
      <c r="D124" s="1">
        <v>4</v>
      </c>
      <c r="E124">
        <f>ROUND(D124*C124/3600/(建筑!G103*基本公式!$B$153),2)</f>
        <v>4.6900000000000004</v>
      </c>
      <c r="F124" s="1">
        <f t="shared" si="34"/>
        <v>15</v>
      </c>
      <c r="G124" s="69">
        <f t="shared" si="30"/>
        <v>505980</v>
      </c>
      <c r="K124" s="1">
        <v>10</v>
      </c>
      <c r="L124" s="69">
        <f t="shared" si="31"/>
        <v>337320</v>
      </c>
      <c r="M124" s="34">
        <f>ROUND(L124/产出与消耗!T21,4)</f>
        <v>2.0999999999999999E-3</v>
      </c>
      <c r="N124" s="1">
        <v>10</v>
      </c>
      <c r="O124" s="69">
        <f t="shared" si="32"/>
        <v>337320</v>
      </c>
      <c r="P124" s="34">
        <f>ROUND(O124/产出与消耗!T43,4)</f>
        <v>2.0999999999999999E-3</v>
      </c>
      <c r="Q124" s="1">
        <v>28</v>
      </c>
      <c r="R124" s="69">
        <f t="shared" si="33"/>
        <v>944496</v>
      </c>
      <c r="S124" s="34">
        <f>ROUND(R124/产出与消耗!T65,4)</f>
        <v>8.6999999999999994E-3</v>
      </c>
      <c r="T124" s="64">
        <f t="shared" si="28"/>
        <v>1.2899999999999998E-2</v>
      </c>
    </row>
    <row r="125" spans="1:20">
      <c r="A125" s="40" t="s">
        <v>135</v>
      </c>
      <c r="B125">
        <v>19</v>
      </c>
      <c r="C125">
        <f>ROUND(产出与消耗!$K$22*C126/产出与消耗!$K$23,0)</f>
        <v>38250</v>
      </c>
      <c r="D125" s="1">
        <v>4</v>
      </c>
      <c r="E125">
        <f>ROUND(D125*C125/3600/(建筑!G104*基本公式!$B$153),2)</f>
        <v>5.31</v>
      </c>
      <c r="F125" s="1">
        <f t="shared" si="34"/>
        <v>15</v>
      </c>
      <c r="G125" s="69">
        <f t="shared" si="30"/>
        <v>573750</v>
      </c>
      <c r="K125" s="1">
        <v>10</v>
      </c>
      <c r="L125" s="69">
        <f t="shared" si="31"/>
        <v>382500</v>
      </c>
      <c r="M125" s="34">
        <f>ROUND(L125/产出与消耗!T22,4)</f>
        <v>1.6999999999999999E-3</v>
      </c>
      <c r="N125" s="1">
        <v>10</v>
      </c>
      <c r="O125" s="69">
        <f t="shared" si="32"/>
        <v>382500</v>
      </c>
      <c r="P125" s="34">
        <f>ROUND(O125/产出与消耗!T44,4)</f>
        <v>1.6999999999999999E-3</v>
      </c>
      <c r="Q125" s="1">
        <v>28</v>
      </c>
      <c r="R125" s="69">
        <f t="shared" si="33"/>
        <v>1071000</v>
      </c>
      <c r="S125" s="34">
        <f>ROUND(R125/产出与消耗!T66,4)</f>
        <v>6.8999999999999999E-3</v>
      </c>
      <c r="T125" s="64">
        <f t="shared" si="28"/>
        <v>1.03E-2</v>
      </c>
    </row>
    <row r="126" spans="1:20">
      <c r="B126">
        <v>20</v>
      </c>
      <c r="C126">
        <v>45000</v>
      </c>
      <c r="D126" s="1">
        <v>4</v>
      </c>
      <c r="E126">
        <f>ROUND(D126*C126/3600/(建筑!G105*基本公式!$B$153),2)</f>
        <v>5</v>
      </c>
      <c r="F126" s="1">
        <f t="shared" si="34"/>
        <v>15</v>
      </c>
      <c r="G126" s="69">
        <f t="shared" si="30"/>
        <v>675000</v>
      </c>
      <c r="K126" s="1">
        <v>10</v>
      </c>
      <c r="L126" s="69">
        <f t="shared" si="31"/>
        <v>450000</v>
      </c>
      <c r="M126" s="34">
        <f>ROUND(L126/产出与消耗!T23,4)</f>
        <v>1.2999999999999999E-3</v>
      </c>
      <c r="N126" s="1">
        <v>10</v>
      </c>
      <c r="O126" s="69">
        <f t="shared" si="32"/>
        <v>450000</v>
      </c>
      <c r="P126" s="34">
        <f>ROUND(O126/产出与消耗!T45,4)</f>
        <v>1.2999999999999999E-3</v>
      </c>
      <c r="Q126" s="1">
        <v>28</v>
      </c>
      <c r="R126" s="69">
        <f t="shared" si="33"/>
        <v>1260000</v>
      </c>
      <c r="S126" s="34">
        <f>ROUND(R126/产出与消耗!T67,4)</f>
        <v>5.7000000000000002E-3</v>
      </c>
      <c r="T126" s="64">
        <f t="shared" si="28"/>
        <v>8.3000000000000001E-3</v>
      </c>
    </row>
    <row r="128" spans="1:20">
      <c r="A128" t="s">
        <v>212</v>
      </c>
      <c r="B128">
        <v>1</v>
      </c>
      <c r="C128">
        <f>MAX(ROUND(C129-(C130-C129)/(产出与消耗!$K$6-产出与消耗!$K$5)*(产出与消耗!$K$5-产出与消耗!$K$4)*1.004,0),0)</f>
        <v>0</v>
      </c>
      <c r="D128" s="1">
        <v>2</v>
      </c>
      <c r="E128">
        <f>ROUND(D128*C128/3600/(建筑!G86*基本公式!$B$153),2)</f>
        <v>0</v>
      </c>
      <c r="F128" s="1">
        <f>F44*1.5</f>
        <v>18</v>
      </c>
      <c r="G128" s="69">
        <f t="shared" ref="G128:G147" si="35">F128*C128</f>
        <v>0</v>
      </c>
      <c r="K128" s="1">
        <v>35</v>
      </c>
      <c r="L128" s="69">
        <f t="shared" ref="L128:L147" si="36">ROUND(K128*C128,0)</f>
        <v>0</v>
      </c>
      <c r="M128" s="34">
        <f>ROUND(L128/产出与消耗!T4,4)</f>
        <v>0</v>
      </c>
      <c r="N128" s="1">
        <v>6</v>
      </c>
      <c r="O128" s="69">
        <f t="shared" ref="O128:O147" si="37">ROUND(N128*C128,0)</f>
        <v>0</v>
      </c>
      <c r="P128" s="34">
        <f>ROUND(O128/产出与消耗!T26,4)</f>
        <v>0</v>
      </c>
      <c r="Q128" s="1">
        <v>14</v>
      </c>
      <c r="R128" s="69">
        <f t="shared" ref="R128:R147" si="38">ROUND(Q128*C128,0)</f>
        <v>0</v>
      </c>
      <c r="S128" s="34">
        <f>ROUND(R128/产出与消耗!T48,4)</f>
        <v>0</v>
      </c>
      <c r="T128" s="64">
        <f t="shared" si="28"/>
        <v>0</v>
      </c>
    </row>
    <row r="129" spans="1:20">
      <c r="B129">
        <v>2</v>
      </c>
      <c r="C129">
        <f>MAX(ROUND(C130-(C131-C130)/(产出与消耗!$K$7-产出与消耗!$K$6)*(产出与消耗!$K$6-产出与消耗!$K$5)*1.004,0),0)</f>
        <v>0</v>
      </c>
      <c r="D129" s="1">
        <v>2</v>
      </c>
      <c r="E129">
        <f>ROUND(D129*C129/3600/(建筑!G87*基本公式!$B$153),2)</f>
        <v>0</v>
      </c>
      <c r="F129" s="1">
        <f t="shared" ref="F129:F147" si="39">F45*1.5</f>
        <v>18</v>
      </c>
      <c r="G129" s="69">
        <f t="shared" si="35"/>
        <v>0</v>
      </c>
      <c r="K129" s="1">
        <v>35</v>
      </c>
      <c r="L129" s="69">
        <f t="shared" si="36"/>
        <v>0</v>
      </c>
      <c r="M129" s="34">
        <f>ROUND(L129/产出与消耗!T5,4)</f>
        <v>0</v>
      </c>
      <c r="N129" s="1">
        <v>6</v>
      </c>
      <c r="O129" s="69">
        <f t="shared" si="37"/>
        <v>0</v>
      </c>
      <c r="P129" s="34">
        <f>ROUND(O129/产出与消耗!T27,4)</f>
        <v>0</v>
      </c>
      <c r="Q129" s="1">
        <v>14</v>
      </c>
      <c r="R129" s="69">
        <f t="shared" si="38"/>
        <v>0</v>
      </c>
      <c r="S129" s="34">
        <f>ROUND(R129/产出与消耗!T49,4)</f>
        <v>0</v>
      </c>
      <c r="T129" s="64">
        <f t="shared" si="28"/>
        <v>0</v>
      </c>
    </row>
    <row r="130" spans="1:20">
      <c r="B130">
        <v>3</v>
      </c>
      <c r="C130">
        <f>MAX(ROUND(C131-(C132-C131)/(产出与消耗!$K$8-产出与消耗!$K$7)*(产出与消耗!$K$7-产出与消耗!$K$6)*1.004,0),0)</f>
        <v>0</v>
      </c>
      <c r="D130" s="1">
        <v>2</v>
      </c>
      <c r="E130">
        <f>ROUND(D130*C130/3600/(建筑!G88*基本公式!$B$153),2)</f>
        <v>0</v>
      </c>
      <c r="F130" s="1">
        <f t="shared" si="39"/>
        <v>18</v>
      </c>
      <c r="G130" s="69">
        <f t="shared" si="35"/>
        <v>0</v>
      </c>
      <c r="K130" s="1">
        <v>35</v>
      </c>
      <c r="L130" s="69">
        <f t="shared" si="36"/>
        <v>0</v>
      </c>
      <c r="M130" s="34">
        <f>ROUND(L130/产出与消耗!T6,4)</f>
        <v>0</v>
      </c>
      <c r="N130" s="1">
        <v>6</v>
      </c>
      <c r="O130" s="69">
        <f t="shared" si="37"/>
        <v>0</v>
      </c>
      <c r="P130" s="34">
        <f>ROUND(O130/产出与消耗!T28,4)</f>
        <v>0</v>
      </c>
      <c r="Q130" s="1">
        <v>14</v>
      </c>
      <c r="R130" s="69">
        <f t="shared" si="38"/>
        <v>0</v>
      </c>
      <c r="S130" s="34">
        <f>ROUND(R130/产出与消耗!T50,4)</f>
        <v>0</v>
      </c>
      <c r="T130" s="64">
        <f t="shared" si="28"/>
        <v>0</v>
      </c>
    </row>
    <row r="131" spans="1:20">
      <c r="B131">
        <v>4</v>
      </c>
      <c r="C131">
        <f>MAX(ROUND(C132-(C133-C132)/(产出与消耗!$K$9-产出与消耗!$K$8)*(产出与消耗!$K$8-产出与消耗!$K$7)*1.004,0),0)</f>
        <v>0</v>
      </c>
      <c r="D131" s="1">
        <v>2</v>
      </c>
      <c r="E131">
        <f>ROUND(D131*C131/3600/(建筑!G89*基本公式!$B$153),2)</f>
        <v>0</v>
      </c>
      <c r="F131" s="1">
        <f t="shared" si="39"/>
        <v>18</v>
      </c>
      <c r="G131" s="69">
        <f t="shared" si="35"/>
        <v>0</v>
      </c>
      <c r="K131" s="1">
        <v>35</v>
      </c>
      <c r="L131" s="69">
        <f t="shared" si="36"/>
        <v>0</v>
      </c>
      <c r="M131" s="34">
        <f>ROUND(L131/产出与消耗!T7,4)</f>
        <v>0</v>
      </c>
      <c r="N131" s="1">
        <v>6</v>
      </c>
      <c r="O131" s="69">
        <f t="shared" si="37"/>
        <v>0</v>
      </c>
      <c r="P131" s="34">
        <f>ROUND(O131/产出与消耗!T29,4)</f>
        <v>0</v>
      </c>
      <c r="Q131" s="1">
        <v>14</v>
      </c>
      <c r="R131" s="69">
        <f t="shared" si="38"/>
        <v>0</v>
      </c>
      <c r="S131" s="34">
        <f>ROUND(R131/产出与消耗!T51,4)</f>
        <v>0</v>
      </c>
      <c r="T131" s="64">
        <f t="shared" si="28"/>
        <v>0</v>
      </c>
    </row>
    <row r="132" spans="1:20">
      <c r="B132">
        <v>5</v>
      </c>
      <c r="C132">
        <f>MAX(ROUND(C133-(C134-C133)/(产出与消耗!$K$10-产出与消耗!$K$9)*(产出与消耗!$K$9-产出与消耗!$K$8)*1.004,0),0)</f>
        <v>27</v>
      </c>
      <c r="D132" s="1">
        <v>2</v>
      </c>
      <c r="E132">
        <f>ROUND(D132*C132/3600/(建筑!G90*基本公式!$B$153),2)</f>
        <v>0.01</v>
      </c>
      <c r="F132" s="1">
        <f t="shared" si="39"/>
        <v>18</v>
      </c>
      <c r="G132" s="69">
        <f t="shared" si="35"/>
        <v>486</v>
      </c>
      <c r="K132" s="1">
        <v>35</v>
      </c>
      <c r="L132" s="69">
        <f t="shared" si="36"/>
        <v>945</v>
      </c>
      <c r="M132" s="34">
        <f>ROUND(L132/产出与消耗!T8,4)</f>
        <v>3.7499999999999999E-2</v>
      </c>
      <c r="N132" s="1">
        <v>6</v>
      </c>
      <c r="O132" s="69">
        <f t="shared" si="37"/>
        <v>162</v>
      </c>
      <c r="P132" s="34">
        <f>ROUND(O132/产出与消耗!T30,4)</f>
        <v>6.4000000000000003E-3</v>
      </c>
      <c r="Q132" s="1">
        <v>14</v>
      </c>
      <c r="R132" s="69">
        <f t="shared" si="38"/>
        <v>378</v>
      </c>
      <c r="S132" s="34">
        <f>ROUND(R132/产出与消耗!T52,4)</f>
        <v>1.8200000000000001E-2</v>
      </c>
      <c r="T132" s="64">
        <f t="shared" si="28"/>
        <v>6.2100000000000002E-2</v>
      </c>
    </row>
    <row r="133" spans="1:20">
      <c r="B133">
        <v>6</v>
      </c>
      <c r="C133">
        <f>MAX(ROUND(C134-(C135-C134)/(产出与消耗!$K$11-产出与消耗!$K$10)*(产出与消耗!$K$10-产出与消耗!$K$9)*1.004,0),0)</f>
        <v>622</v>
      </c>
      <c r="D133" s="1">
        <v>2</v>
      </c>
      <c r="E133">
        <f>ROUND(D133*C133/3600/(建筑!G91*基本公式!$B$153),2)</f>
        <v>0.17</v>
      </c>
      <c r="F133" s="1">
        <f t="shared" si="39"/>
        <v>18</v>
      </c>
      <c r="G133" s="69">
        <f t="shared" si="35"/>
        <v>11196</v>
      </c>
      <c r="K133" s="1">
        <v>35</v>
      </c>
      <c r="L133" s="69">
        <f t="shared" si="36"/>
        <v>21770</v>
      </c>
      <c r="M133" s="34">
        <f>ROUND(L133/产出与消耗!T9,4)</f>
        <v>0.34699999999999998</v>
      </c>
      <c r="N133" s="1">
        <v>6</v>
      </c>
      <c r="O133" s="69">
        <f t="shared" si="37"/>
        <v>3732</v>
      </c>
      <c r="P133" s="34">
        <f>ROUND(O133/产出与消耗!T31,4)</f>
        <v>5.9499999999999997E-2</v>
      </c>
      <c r="Q133" s="1">
        <v>14</v>
      </c>
      <c r="R133" s="69">
        <f t="shared" si="38"/>
        <v>8708</v>
      </c>
      <c r="S133" s="34">
        <f>ROUND(R133/产出与消耗!T53,4)</f>
        <v>0.1928</v>
      </c>
      <c r="T133" s="64">
        <f t="shared" si="28"/>
        <v>0.59929999999999994</v>
      </c>
    </row>
    <row r="134" spans="1:20">
      <c r="B134">
        <v>7</v>
      </c>
      <c r="C134">
        <f>MAX(ROUND(C135-(C136-C135)/(产出与消耗!$K$12-产出与消耗!$K$11)*(产出与消耗!$K$11-产出与消耗!$K$10)*1.004,0),0)</f>
        <v>1570</v>
      </c>
      <c r="D134" s="1">
        <v>2</v>
      </c>
      <c r="E134">
        <f>ROUND(D134*C134/3600/(建筑!G92*基本公式!$B$153),2)</f>
        <v>0.22</v>
      </c>
      <c r="F134" s="1">
        <f t="shared" si="39"/>
        <v>18</v>
      </c>
      <c r="G134" s="69">
        <f t="shared" si="35"/>
        <v>28260</v>
      </c>
      <c r="K134" s="1">
        <v>35</v>
      </c>
      <c r="L134" s="69">
        <f t="shared" si="36"/>
        <v>54950</v>
      </c>
      <c r="M134" s="34">
        <f>ROUND(L134/产出与消耗!T10,4)</f>
        <v>0.41810000000000003</v>
      </c>
      <c r="N134" s="1">
        <v>6</v>
      </c>
      <c r="O134" s="69">
        <f t="shared" si="37"/>
        <v>9420</v>
      </c>
      <c r="P134" s="34">
        <f>ROUND(O134/产出与消耗!T32,4)</f>
        <v>7.17E-2</v>
      </c>
      <c r="Q134" s="1">
        <v>14</v>
      </c>
      <c r="R134" s="69">
        <f t="shared" si="38"/>
        <v>21980</v>
      </c>
      <c r="S134" s="34">
        <f>ROUND(R134/产出与消耗!T54,4)</f>
        <v>0.2417</v>
      </c>
      <c r="T134" s="64">
        <f t="shared" si="28"/>
        <v>0.73150000000000004</v>
      </c>
    </row>
    <row r="135" spans="1:20">
      <c r="A135" s="11"/>
      <c r="B135">
        <v>8</v>
      </c>
      <c r="C135">
        <f>MAX(ROUND(C136-(C137-C136)/(产出与消耗!$K$13-产出与消耗!$K$12)*(产出与消耗!$K$12-产出与消耗!$K$11)*1.004,0),0)</f>
        <v>3104</v>
      </c>
      <c r="D135" s="1">
        <v>2</v>
      </c>
      <c r="E135">
        <f>ROUND(D135*C135/3600/(建筑!G93*基本公式!$B$153),2)</f>
        <v>0.43</v>
      </c>
      <c r="F135" s="1">
        <f t="shared" si="39"/>
        <v>18</v>
      </c>
      <c r="G135" s="69">
        <f t="shared" si="35"/>
        <v>55872</v>
      </c>
      <c r="K135" s="1">
        <v>35</v>
      </c>
      <c r="L135" s="69">
        <f t="shared" si="36"/>
        <v>108640</v>
      </c>
      <c r="M135" s="34">
        <f>ROUND(L135/产出与消耗!T11,4)</f>
        <v>0.29680000000000001</v>
      </c>
      <c r="N135" s="1">
        <v>6</v>
      </c>
      <c r="O135" s="69">
        <f t="shared" si="37"/>
        <v>18624</v>
      </c>
      <c r="P135" s="34">
        <f>ROUND(O135/产出与消耗!T33,4)</f>
        <v>5.0900000000000001E-2</v>
      </c>
      <c r="Q135" s="1">
        <v>14</v>
      </c>
      <c r="R135" s="69">
        <f t="shared" si="38"/>
        <v>43456</v>
      </c>
      <c r="S135" s="34">
        <f>ROUND(R135/产出与消耗!T55,4)</f>
        <v>0.1757</v>
      </c>
      <c r="T135" s="64">
        <f t="shared" si="28"/>
        <v>0.52339999999999998</v>
      </c>
    </row>
    <row r="136" spans="1:20">
      <c r="B136">
        <v>9</v>
      </c>
      <c r="C136">
        <f>MAX(ROUND(C137-(C138-C137)/(产出与消耗!$K$14-产出与消耗!$K$13)*(产出与消耗!$K$13-产出与消耗!$K$12)*1.004,0),0)</f>
        <v>4632</v>
      </c>
      <c r="D136" s="1">
        <v>2</v>
      </c>
      <c r="E136">
        <f>ROUND(D136*C136/3600/(建筑!G94*基本公式!$B$153),2)</f>
        <v>0.64</v>
      </c>
      <c r="F136" s="1">
        <f t="shared" si="39"/>
        <v>18</v>
      </c>
      <c r="G136" s="69">
        <f t="shared" si="35"/>
        <v>83376</v>
      </c>
      <c r="K136" s="1">
        <v>35</v>
      </c>
      <c r="L136" s="69">
        <f t="shared" si="36"/>
        <v>162120</v>
      </c>
      <c r="M136" s="34">
        <f>ROUND(L136/产出与消耗!T12,4)</f>
        <v>0.19409999999999999</v>
      </c>
      <c r="N136" s="1">
        <v>6</v>
      </c>
      <c r="O136" s="69">
        <f t="shared" si="37"/>
        <v>27792</v>
      </c>
      <c r="P136" s="34">
        <f>ROUND(O136/产出与消耗!T34,4)</f>
        <v>3.3300000000000003E-2</v>
      </c>
      <c r="Q136" s="1">
        <v>14</v>
      </c>
      <c r="R136" s="69">
        <f t="shared" si="38"/>
        <v>64848</v>
      </c>
      <c r="S136" s="34">
        <f>ROUND(R136/产出与消耗!T56,4)</f>
        <v>0.1158</v>
      </c>
      <c r="T136" s="64">
        <f t="shared" si="28"/>
        <v>0.34320000000000001</v>
      </c>
    </row>
    <row r="137" spans="1:20">
      <c r="A137" s="38" t="s">
        <v>133</v>
      </c>
      <c r="B137">
        <v>10</v>
      </c>
      <c r="C137">
        <f>MAX(ROUND(C138-(C139-C138)/(产出与消耗!$K$15-产出与消耗!$K$14)*(产出与消耗!$K$14-产出与消耗!$K$13)*1.004,0),0)</f>
        <v>7091</v>
      </c>
      <c r="D137" s="1">
        <v>2</v>
      </c>
      <c r="E137">
        <f>ROUND(D137*C137/3600/(建筑!G95*基本公式!$B$153),2)</f>
        <v>0.98</v>
      </c>
      <c r="F137" s="1">
        <f t="shared" si="39"/>
        <v>18</v>
      </c>
      <c r="G137" s="69">
        <f t="shared" si="35"/>
        <v>127638</v>
      </c>
      <c r="K137" s="1">
        <v>35</v>
      </c>
      <c r="L137" s="69">
        <f t="shared" si="36"/>
        <v>248185</v>
      </c>
      <c r="M137" s="34">
        <f>ROUND(L137/产出与消耗!T13,4)</f>
        <v>0.12640000000000001</v>
      </c>
      <c r="N137" s="1">
        <v>6</v>
      </c>
      <c r="O137" s="69">
        <f t="shared" si="37"/>
        <v>42546</v>
      </c>
      <c r="P137" s="34">
        <f>ROUND(O137/产出与消耗!T35,4)</f>
        <v>2.1700000000000001E-2</v>
      </c>
      <c r="Q137" s="1">
        <v>14</v>
      </c>
      <c r="R137" s="69">
        <f t="shared" si="38"/>
        <v>99274</v>
      </c>
      <c r="S137" s="34">
        <f>ROUND(R137/产出与消耗!T57,4)</f>
        <v>7.5600000000000001E-2</v>
      </c>
      <c r="T137" s="64">
        <f t="shared" si="28"/>
        <v>0.22370000000000001</v>
      </c>
    </row>
    <row r="138" spans="1:20">
      <c r="B138">
        <v>11</v>
      </c>
      <c r="C138">
        <f>MAX(ROUND(C139-(C140-C139)/(产出与消耗!$K$16-产出与消耗!$K$15)*(产出与消耗!$K$15-产出与消耗!$K$14)*1.004,0),0)</f>
        <v>8607</v>
      </c>
      <c r="D138" s="1">
        <v>2</v>
      </c>
      <c r="E138">
        <f>ROUND(D138*C138/3600/(建筑!G96*基本公式!$B$153),2)</f>
        <v>1.2</v>
      </c>
      <c r="F138" s="1">
        <f t="shared" si="39"/>
        <v>18</v>
      </c>
      <c r="G138" s="69">
        <f t="shared" si="35"/>
        <v>154926</v>
      </c>
      <c r="K138" s="1">
        <v>35</v>
      </c>
      <c r="L138" s="69">
        <f t="shared" si="36"/>
        <v>301245</v>
      </c>
      <c r="M138" s="34">
        <f>ROUND(L138/产出与消耗!T14,4)</f>
        <v>7.5899999999999995E-2</v>
      </c>
      <c r="N138" s="1">
        <v>6</v>
      </c>
      <c r="O138" s="69">
        <f t="shared" si="37"/>
        <v>51642</v>
      </c>
      <c r="P138" s="34">
        <f>ROUND(O138/产出与消耗!T36,4)</f>
        <v>1.2999999999999999E-2</v>
      </c>
      <c r="Q138" s="1">
        <v>14</v>
      </c>
      <c r="R138" s="69">
        <f t="shared" si="38"/>
        <v>120498</v>
      </c>
      <c r="S138" s="34">
        <f>ROUND(R138/产出与消耗!T58,4)</f>
        <v>4.5600000000000002E-2</v>
      </c>
      <c r="T138" s="64">
        <f t="shared" si="28"/>
        <v>0.13450000000000001</v>
      </c>
    </row>
    <row r="139" spans="1:20">
      <c r="B139">
        <v>12</v>
      </c>
      <c r="C139">
        <f>MAX(ROUND(C140-(C141-C140)/(产出与消耗!$K$17-产出与消耗!$K$16)*(产出与消耗!$K$16-产出与消耗!$K$15)*1.004,0),0)</f>
        <v>12556</v>
      </c>
      <c r="D139" s="1">
        <v>2</v>
      </c>
      <c r="E139">
        <f>ROUND(D139*C139/3600/(建筑!G97*基本公式!$B$153),2)</f>
        <v>1.1599999999999999</v>
      </c>
      <c r="F139" s="1">
        <f t="shared" si="39"/>
        <v>18</v>
      </c>
      <c r="G139" s="69">
        <f t="shared" si="35"/>
        <v>226008</v>
      </c>
      <c r="K139" s="1">
        <v>35</v>
      </c>
      <c r="L139" s="69">
        <f t="shared" si="36"/>
        <v>439460</v>
      </c>
      <c r="M139" s="34">
        <f>ROUND(L139/产出与消耗!T15,4)</f>
        <v>4.9599999999999998E-2</v>
      </c>
      <c r="N139" s="1">
        <v>6</v>
      </c>
      <c r="O139" s="69">
        <f t="shared" si="37"/>
        <v>75336</v>
      </c>
      <c r="P139" s="34">
        <f>ROUND(O139/产出与消耗!T37,4)</f>
        <v>8.5000000000000006E-3</v>
      </c>
      <c r="Q139" s="1">
        <v>14</v>
      </c>
      <c r="R139" s="69">
        <f t="shared" si="38"/>
        <v>175784</v>
      </c>
      <c r="S139" s="34">
        <f>ROUND(R139/产出与消耗!T59,4)</f>
        <v>2.98E-2</v>
      </c>
      <c r="T139" s="64">
        <f t="shared" si="28"/>
        <v>8.7900000000000006E-2</v>
      </c>
    </row>
    <row r="140" spans="1:20">
      <c r="A140" s="11"/>
      <c r="B140">
        <v>13</v>
      </c>
      <c r="C140">
        <f>MAX(ROUND(C141-(C142-C141)/(产出与消耗!$K$18-产出与消耗!$K$17)*(产出与消耗!$K$17-产出与消耗!$K$16)*1.004,0),0)</f>
        <v>15911</v>
      </c>
      <c r="D140" s="1">
        <v>2</v>
      </c>
      <c r="E140">
        <f>ROUND(D140*C140/3600/(建筑!G98*基本公式!$B$153),2)</f>
        <v>1.47</v>
      </c>
      <c r="F140" s="1">
        <f t="shared" si="39"/>
        <v>18</v>
      </c>
      <c r="G140" s="69">
        <f t="shared" si="35"/>
        <v>286398</v>
      </c>
      <c r="K140" s="1">
        <v>35</v>
      </c>
      <c r="L140" s="69">
        <f t="shared" si="36"/>
        <v>556885</v>
      </c>
      <c r="M140" s="34">
        <f>ROUND(L140/产出与消耗!T16,4)</f>
        <v>3.2399999999999998E-2</v>
      </c>
      <c r="N140" s="1">
        <v>6</v>
      </c>
      <c r="O140" s="69">
        <f t="shared" si="37"/>
        <v>95466</v>
      </c>
      <c r="P140" s="34">
        <f>ROUND(O140/产出与消耗!T38,4)</f>
        <v>5.5999999999999999E-3</v>
      </c>
      <c r="Q140" s="1">
        <v>14</v>
      </c>
      <c r="R140" s="69">
        <f t="shared" si="38"/>
        <v>222754</v>
      </c>
      <c r="S140" s="34">
        <f>ROUND(R140/产出与消耗!T60,4)</f>
        <v>1.95E-2</v>
      </c>
      <c r="T140" s="64">
        <f t="shared" si="28"/>
        <v>5.7499999999999996E-2</v>
      </c>
    </row>
    <row r="141" spans="1:20">
      <c r="A141" s="39" t="s">
        <v>134</v>
      </c>
      <c r="B141">
        <v>14</v>
      </c>
      <c r="C141">
        <f>MAX(ROUND(C142-(C143-C142)/(产出与消耗!$K$19-产出与消耗!$K$18)*(产出与消耗!$K$18-产出与消耗!$K$17)*1.004,0),0)</f>
        <v>18907</v>
      </c>
      <c r="D141" s="1">
        <v>2</v>
      </c>
      <c r="E141">
        <f>ROUND(D141*C141/3600/(建筑!G99*基本公式!$B$153),2)</f>
        <v>1.75</v>
      </c>
      <c r="F141" s="1">
        <f t="shared" si="39"/>
        <v>18</v>
      </c>
      <c r="G141" s="69">
        <f t="shared" si="35"/>
        <v>340326</v>
      </c>
      <c r="K141" s="1">
        <v>35</v>
      </c>
      <c r="L141" s="69">
        <f t="shared" si="36"/>
        <v>661745</v>
      </c>
      <c r="M141" s="34">
        <f>ROUND(L141/产出与消耗!T17,4)</f>
        <v>2.23E-2</v>
      </c>
      <c r="N141" s="1">
        <v>6</v>
      </c>
      <c r="O141" s="69">
        <f t="shared" si="37"/>
        <v>113442</v>
      </c>
      <c r="P141" s="34">
        <f>ROUND(O141/产出与消耗!T39,4)</f>
        <v>3.8E-3</v>
      </c>
      <c r="Q141" s="1">
        <v>14</v>
      </c>
      <c r="R141" s="69">
        <f t="shared" si="38"/>
        <v>264698</v>
      </c>
      <c r="S141" s="34">
        <f>ROUND(R141/产出与消耗!T61,4)</f>
        <v>1.34E-2</v>
      </c>
      <c r="T141" s="64">
        <f t="shared" si="28"/>
        <v>3.95E-2</v>
      </c>
    </row>
    <row r="142" spans="1:20">
      <c r="B142">
        <v>15</v>
      </c>
      <c r="C142">
        <f>MAX(ROUND(C143-(C144-C143)/(产出与消耗!$K$20-产出与消耗!$K$19)*(产出与消耗!$K$19-产出与消耗!$K$18)*1.004,0),0)</f>
        <v>22350</v>
      </c>
      <c r="D142" s="1">
        <v>2</v>
      </c>
      <c r="E142">
        <f>ROUND(D142*C142/3600/(建筑!G100*基本公式!$B$153),2)</f>
        <v>2.0699999999999998</v>
      </c>
      <c r="F142" s="1">
        <f t="shared" si="39"/>
        <v>18</v>
      </c>
      <c r="G142" s="69">
        <f t="shared" si="35"/>
        <v>402300</v>
      </c>
      <c r="K142" s="1">
        <v>35</v>
      </c>
      <c r="L142" s="69">
        <f t="shared" si="36"/>
        <v>782250</v>
      </c>
      <c r="M142" s="34">
        <f>ROUND(L142/产出与消耗!T18,4)</f>
        <v>1.61E-2</v>
      </c>
      <c r="N142" s="1">
        <v>6</v>
      </c>
      <c r="O142" s="69">
        <f t="shared" si="37"/>
        <v>134100</v>
      </c>
      <c r="P142" s="34">
        <f>ROUND(O142/产出与消耗!T40,4)</f>
        <v>2.8E-3</v>
      </c>
      <c r="Q142" s="1">
        <v>14</v>
      </c>
      <c r="R142" s="69">
        <f t="shared" si="38"/>
        <v>312900</v>
      </c>
      <c r="S142" s="34">
        <f>ROUND(R142/产出与消耗!T62,4)</f>
        <v>9.7000000000000003E-3</v>
      </c>
      <c r="T142" s="64">
        <f t="shared" si="28"/>
        <v>2.86E-2</v>
      </c>
    </row>
    <row r="143" spans="1:20">
      <c r="B143">
        <v>16</v>
      </c>
      <c r="C143">
        <f>MAX(ROUND(C144-(C145-C144)/(产出与消耗!$K$21-产出与消耗!$K$20)*(产出与消耗!$K$20-产出与消耗!$K$19)*1.004,0),0)</f>
        <v>25779</v>
      </c>
      <c r="D143" s="1">
        <v>2</v>
      </c>
      <c r="E143">
        <f>ROUND(D143*C143/3600/(建筑!G101*基本公式!$B$153),2)</f>
        <v>1.79</v>
      </c>
      <c r="F143" s="1">
        <f t="shared" si="39"/>
        <v>18</v>
      </c>
      <c r="G143" s="69">
        <f t="shared" si="35"/>
        <v>464022</v>
      </c>
      <c r="K143" s="1">
        <v>35</v>
      </c>
      <c r="L143" s="69">
        <f t="shared" si="36"/>
        <v>902265</v>
      </c>
      <c r="M143" s="34">
        <f>ROUND(L143/产出与消耗!T19,4)</f>
        <v>1.2E-2</v>
      </c>
      <c r="N143" s="1">
        <v>6</v>
      </c>
      <c r="O143" s="69">
        <f t="shared" si="37"/>
        <v>154674</v>
      </c>
      <c r="P143" s="34">
        <f>ROUND(O143/产出与消耗!T41,4)</f>
        <v>2.0999999999999999E-3</v>
      </c>
      <c r="Q143" s="1">
        <v>14</v>
      </c>
      <c r="R143" s="69">
        <f t="shared" si="38"/>
        <v>360906</v>
      </c>
      <c r="S143" s="34">
        <f>ROUND(R143/产出与消耗!T63,4)</f>
        <v>7.1999999999999998E-3</v>
      </c>
      <c r="T143" s="64">
        <f t="shared" si="28"/>
        <v>2.1299999999999999E-2</v>
      </c>
    </row>
    <row r="144" spans="1:20">
      <c r="B144">
        <v>17</v>
      </c>
      <c r="C144">
        <f>MAX(ROUND(C145-(C146-C145)/(产出与消耗!$K$22-产出与消耗!$K$21)*(产出与消耗!$K$21-产出与消耗!$K$20)*1.004,0),0)</f>
        <v>29536</v>
      </c>
      <c r="D144" s="1">
        <v>2</v>
      </c>
      <c r="E144">
        <f>ROUND(D144*C144/3600/(建筑!G102*基本公式!$B$153),2)</f>
        <v>2.0499999999999998</v>
      </c>
      <c r="F144" s="1">
        <f t="shared" si="39"/>
        <v>18</v>
      </c>
      <c r="G144" s="69">
        <f t="shared" si="35"/>
        <v>531648</v>
      </c>
      <c r="K144" s="1">
        <v>35</v>
      </c>
      <c r="L144" s="69">
        <f t="shared" si="36"/>
        <v>1033760</v>
      </c>
      <c r="M144" s="34">
        <f>ROUND(L144/产出与消耗!T20,4)</f>
        <v>9.1999999999999998E-3</v>
      </c>
      <c r="N144" s="1">
        <v>6</v>
      </c>
      <c r="O144" s="69">
        <f t="shared" si="37"/>
        <v>177216</v>
      </c>
      <c r="P144" s="34">
        <f>ROUND(O144/产出与消耗!T42,4)</f>
        <v>1.6000000000000001E-3</v>
      </c>
      <c r="Q144" s="1">
        <v>14</v>
      </c>
      <c r="R144" s="69">
        <f t="shared" si="38"/>
        <v>413504</v>
      </c>
      <c r="S144" s="34">
        <f>ROUND(R144/产出与消耗!T64,4)</f>
        <v>5.4999999999999997E-3</v>
      </c>
      <c r="T144" s="64">
        <f t="shared" si="28"/>
        <v>1.6300000000000002E-2</v>
      </c>
    </row>
    <row r="145" spans="1:23">
      <c r="B145">
        <v>18</v>
      </c>
      <c r="C145">
        <f>MAX(ROUND(C146-(C147-C146)/(产出与消耗!$K$23-产出与消耗!$K$22)*(产出与消耗!$K$22-产出与消耗!$K$21)*1.004,0),0)</f>
        <v>33732</v>
      </c>
      <c r="D145" s="1">
        <v>2</v>
      </c>
      <c r="E145">
        <f>ROUND(D145*C145/3600/(建筑!G103*基本公式!$B$153),2)</f>
        <v>2.34</v>
      </c>
      <c r="F145" s="1">
        <f t="shared" si="39"/>
        <v>18</v>
      </c>
      <c r="G145" s="69">
        <f t="shared" si="35"/>
        <v>607176</v>
      </c>
      <c r="K145" s="1">
        <v>35</v>
      </c>
      <c r="L145" s="69">
        <f t="shared" si="36"/>
        <v>1180620</v>
      </c>
      <c r="M145" s="34">
        <f>ROUND(L145/产出与消耗!T21,4)</f>
        <v>7.1999999999999998E-3</v>
      </c>
      <c r="N145" s="1">
        <v>6</v>
      </c>
      <c r="O145" s="69">
        <f t="shared" si="37"/>
        <v>202392</v>
      </c>
      <c r="P145" s="34">
        <f>ROUND(O145/产出与消耗!T43,4)</f>
        <v>1.1999999999999999E-3</v>
      </c>
      <c r="Q145" s="1">
        <v>14</v>
      </c>
      <c r="R145" s="69">
        <f t="shared" si="38"/>
        <v>472248</v>
      </c>
      <c r="S145" s="34">
        <f>ROUND(R145/产出与消耗!T65,4)</f>
        <v>4.3E-3</v>
      </c>
      <c r="T145" s="64">
        <f t="shared" si="28"/>
        <v>1.2699999999999999E-2</v>
      </c>
    </row>
    <row r="146" spans="1:23">
      <c r="A146" s="40" t="s">
        <v>135</v>
      </c>
      <c r="B146">
        <v>19</v>
      </c>
      <c r="C146">
        <f>ROUND(产出与消耗!$K$22*C147/产出与消耗!$K$23,0)</f>
        <v>38250</v>
      </c>
      <c r="D146" s="1">
        <v>2</v>
      </c>
      <c r="E146">
        <f>ROUND(D146*C146/3600/(建筑!G104*基本公式!$B$153),2)</f>
        <v>2.66</v>
      </c>
      <c r="F146" s="1">
        <f t="shared" si="39"/>
        <v>18</v>
      </c>
      <c r="G146" s="69">
        <f t="shared" si="35"/>
        <v>688500</v>
      </c>
      <c r="K146" s="1">
        <v>35</v>
      </c>
      <c r="L146" s="69">
        <f t="shared" si="36"/>
        <v>1338750</v>
      </c>
      <c r="M146" s="34">
        <f>ROUND(L146/产出与消耗!T22,4)</f>
        <v>5.7999999999999996E-3</v>
      </c>
      <c r="N146" s="1">
        <v>6</v>
      </c>
      <c r="O146" s="69">
        <f t="shared" si="37"/>
        <v>229500</v>
      </c>
      <c r="P146" s="34">
        <f>ROUND(O146/产出与消耗!T44,4)</f>
        <v>1E-3</v>
      </c>
      <c r="Q146" s="1">
        <v>14</v>
      </c>
      <c r="R146" s="69">
        <f t="shared" si="38"/>
        <v>535500</v>
      </c>
      <c r="S146" s="34">
        <f>ROUND(R146/产出与消耗!T66,4)</f>
        <v>3.5000000000000001E-3</v>
      </c>
      <c r="T146" s="64">
        <f t="shared" si="28"/>
        <v>1.03E-2</v>
      </c>
    </row>
    <row r="147" spans="1:23">
      <c r="B147">
        <v>20</v>
      </c>
      <c r="C147">
        <v>45000</v>
      </c>
      <c r="D147" s="1">
        <v>2</v>
      </c>
      <c r="E147">
        <f>ROUND(D147*C147/3600/(建筑!G105*基本公式!$B$153),2)</f>
        <v>2.5</v>
      </c>
      <c r="F147" s="1">
        <f t="shared" si="39"/>
        <v>18</v>
      </c>
      <c r="G147" s="69">
        <f t="shared" si="35"/>
        <v>810000</v>
      </c>
      <c r="K147" s="1">
        <v>35</v>
      </c>
      <c r="L147" s="69">
        <f t="shared" si="36"/>
        <v>1575000</v>
      </c>
      <c r="M147" s="34">
        <f>ROUND(L147/产出与消耗!T23,4)</f>
        <v>4.7000000000000002E-3</v>
      </c>
      <c r="N147" s="1">
        <v>6</v>
      </c>
      <c r="O147" s="69">
        <f t="shared" si="37"/>
        <v>270000</v>
      </c>
      <c r="P147" s="34">
        <f>ROUND(O147/产出与消耗!T45,4)</f>
        <v>8.0000000000000004E-4</v>
      </c>
      <c r="Q147" s="1">
        <v>14</v>
      </c>
      <c r="R147" s="69">
        <f t="shared" si="38"/>
        <v>630000</v>
      </c>
      <c r="S147" s="34">
        <f>ROUND(R147/产出与消耗!T67,4)</f>
        <v>2.8E-3</v>
      </c>
      <c r="T147" s="64">
        <f t="shared" si="28"/>
        <v>8.3000000000000001E-3</v>
      </c>
    </row>
    <row r="149" spans="1:23">
      <c r="A149" t="s">
        <v>216</v>
      </c>
      <c r="B149">
        <v>1</v>
      </c>
      <c r="C149">
        <f>MAX(ROUND(C150-(C151-C150)/(产出与消耗!$K$6-产出与消耗!$K$5)*(产出与消耗!$K$5-产出与消耗!$K$4)*1.004,0),0)</f>
        <v>0</v>
      </c>
      <c r="D149" s="1">
        <v>8</v>
      </c>
      <c r="E149">
        <f>ROUND(D149*C149/3600/(建筑!G86*基本公式!$B$153),2)</f>
        <v>0</v>
      </c>
      <c r="F149" s="1">
        <v>9</v>
      </c>
      <c r="G149" s="69">
        <f t="shared" ref="G149:G168" si="40">F149*C149</f>
        <v>0</v>
      </c>
      <c r="K149" s="1">
        <v>26</v>
      </c>
      <c r="L149" s="69">
        <f t="shared" ref="L149:L168" si="41">ROUND(K149*C149,0)</f>
        <v>0</v>
      </c>
      <c r="M149" s="34">
        <f>ROUND(L149/产出与消耗!T4,4)</f>
        <v>0</v>
      </c>
      <c r="N149" s="1">
        <v>30</v>
      </c>
      <c r="O149" s="69">
        <f t="shared" ref="O149:O168" si="42">ROUND(N149*C149,0)</f>
        <v>0</v>
      </c>
      <c r="P149" s="34">
        <f>ROUND(O149/产出与消耗!T26,4)</f>
        <v>0</v>
      </c>
      <c r="Q149" s="1">
        <v>4</v>
      </c>
      <c r="R149" s="69">
        <f t="shared" ref="R149:R168" si="43">ROUND(Q149*C149,0)</f>
        <v>0</v>
      </c>
      <c r="S149" s="34">
        <f>ROUND(R149/产出与消耗!T48,4)</f>
        <v>0</v>
      </c>
      <c r="T149" s="64">
        <f t="shared" si="28"/>
        <v>0</v>
      </c>
      <c r="U149"/>
      <c r="V149"/>
      <c r="W149"/>
    </row>
    <row r="150" spans="1:23">
      <c r="B150">
        <v>2</v>
      </c>
      <c r="C150">
        <f>MAX(ROUND(C151-(C152-C151)/(产出与消耗!$K$7-产出与消耗!$K$6)*(产出与消耗!$K$6-产出与消耗!$K$5)*1.004,0),0)</f>
        <v>0</v>
      </c>
      <c r="D150" s="1">
        <v>8</v>
      </c>
      <c r="E150">
        <f>ROUND(D150*C150/3600/(建筑!G87*基本公式!$B$153),2)</f>
        <v>0</v>
      </c>
      <c r="F150" s="1">
        <v>9</v>
      </c>
      <c r="G150" s="69">
        <f t="shared" si="40"/>
        <v>0</v>
      </c>
      <c r="K150" s="1">
        <v>26</v>
      </c>
      <c r="L150" s="69">
        <f t="shared" si="41"/>
        <v>0</v>
      </c>
      <c r="M150" s="34">
        <f>ROUND(L150/产出与消耗!T5,4)</f>
        <v>0</v>
      </c>
      <c r="N150" s="1">
        <v>30</v>
      </c>
      <c r="O150" s="69">
        <f t="shared" si="42"/>
        <v>0</v>
      </c>
      <c r="P150" s="34">
        <f>ROUND(O150/产出与消耗!T27,4)</f>
        <v>0</v>
      </c>
      <c r="Q150" s="1">
        <v>4</v>
      </c>
      <c r="R150" s="69">
        <f t="shared" si="43"/>
        <v>0</v>
      </c>
      <c r="S150" s="34">
        <f>ROUND(R150/产出与消耗!T49,4)</f>
        <v>0</v>
      </c>
      <c r="T150" s="64">
        <f t="shared" si="28"/>
        <v>0</v>
      </c>
      <c r="U150"/>
      <c r="V150"/>
      <c r="W150"/>
    </row>
    <row r="151" spans="1:23">
      <c r="B151">
        <v>3</v>
      </c>
      <c r="C151">
        <f>MAX(ROUND(C152-(C153-C152)/(产出与消耗!$K$8-产出与消耗!$K$7)*(产出与消耗!$K$7-产出与消耗!$K$6)*1.004,0),0)</f>
        <v>0</v>
      </c>
      <c r="D151" s="1">
        <v>8</v>
      </c>
      <c r="E151">
        <f>ROUND(D151*C151/3600/(建筑!G88*基本公式!$B$153),2)</f>
        <v>0</v>
      </c>
      <c r="F151" s="1">
        <v>9</v>
      </c>
      <c r="G151" s="69">
        <f t="shared" si="40"/>
        <v>0</v>
      </c>
      <c r="K151" s="1">
        <v>26</v>
      </c>
      <c r="L151" s="69">
        <f t="shared" si="41"/>
        <v>0</v>
      </c>
      <c r="M151" s="34">
        <f>ROUND(L151/产出与消耗!T6,4)</f>
        <v>0</v>
      </c>
      <c r="N151" s="1">
        <v>30</v>
      </c>
      <c r="O151" s="69">
        <f t="shared" si="42"/>
        <v>0</v>
      </c>
      <c r="P151" s="34">
        <f>ROUND(O151/产出与消耗!T28,4)</f>
        <v>0</v>
      </c>
      <c r="Q151" s="1">
        <v>4</v>
      </c>
      <c r="R151" s="69">
        <f t="shared" si="43"/>
        <v>0</v>
      </c>
      <c r="S151" s="34">
        <f>ROUND(R151/产出与消耗!T50,4)</f>
        <v>0</v>
      </c>
      <c r="T151" s="64">
        <f t="shared" ref="T151:T168" si="44">M151+P151+S151</f>
        <v>0</v>
      </c>
      <c r="U151"/>
      <c r="V151"/>
      <c r="W151"/>
    </row>
    <row r="152" spans="1:23">
      <c r="B152">
        <v>4</v>
      </c>
      <c r="C152">
        <f>MAX(ROUND(C153-(C154-C153)/(产出与消耗!$K$9-产出与消耗!$K$8)*(产出与消耗!$K$8-产出与消耗!$K$7)*1.004,0),0)</f>
        <v>0</v>
      </c>
      <c r="D152" s="1">
        <v>8</v>
      </c>
      <c r="E152">
        <f>ROUND(D152*C152/3600/(建筑!G89*基本公式!$B$153),2)</f>
        <v>0</v>
      </c>
      <c r="F152" s="1">
        <v>9</v>
      </c>
      <c r="G152" s="69">
        <f t="shared" si="40"/>
        <v>0</v>
      </c>
      <c r="K152" s="1">
        <v>26</v>
      </c>
      <c r="L152" s="69">
        <f t="shared" si="41"/>
        <v>0</v>
      </c>
      <c r="M152" s="34">
        <f>ROUND(L152/产出与消耗!T7,4)</f>
        <v>0</v>
      </c>
      <c r="N152" s="1">
        <v>30</v>
      </c>
      <c r="O152" s="69">
        <f t="shared" si="42"/>
        <v>0</v>
      </c>
      <c r="P152" s="34">
        <f>ROUND(O152/产出与消耗!T29,4)</f>
        <v>0</v>
      </c>
      <c r="Q152" s="1">
        <v>4</v>
      </c>
      <c r="R152" s="69">
        <f t="shared" si="43"/>
        <v>0</v>
      </c>
      <c r="S152" s="34">
        <f>ROUND(R152/产出与消耗!T51,4)</f>
        <v>0</v>
      </c>
      <c r="T152" s="64">
        <f t="shared" si="44"/>
        <v>0</v>
      </c>
      <c r="U152"/>
      <c r="V152"/>
      <c r="W152"/>
    </row>
    <row r="153" spans="1:23">
      <c r="B153">
        <v>5</v>
      </c>
      <c r="C153">
        <f>MAX(ROUND(C154-(C155-C154)/(产出与消耗!$K$10-产出与消耗!$K$9)*(产出与消耗!$K$9-产出与消耗!$K$8)*1.004,0),0)</f>
        <v>27</v>
      </c>
      <c r="D153" s="1">
        <v>8</v>
      </c>
      <c r="E153">
        <f>ROUND(D153*C153/3600/(建筑!G90*基本公式!$B$153),2)</f>
        <v>0.03</v>
      </c>
      <c r="F153" s="1">
        <v>9</v>
      </c>
      <c r="G153" s="69">
        <f t="shared" si="40"/>
        <v>243</v>
      </c>
      <c r="K153" s="1">
        <v>26</v>
      </c>
      <c r="L153" s="69">
        <f t="shared" si="41"/>
        <v>702</v>
      </c>
      <c r="M153" s="34">
        <f>ROUND(L153/产出与消耗!T8,4)</f>
        <v>2.7799999999999998E-2</v>
      </c>
      <c r="N153" s="1">
        <v>30</v>
      </c>
      <c r="O153" s="69">
        <f t="shared" si="42"/>
        <v>810</v>
      </c>
      <c r="P153" s="34">
        <f>ROUND(O153/产出与消耗!T30,4)</f>
        <v>3.2099999999999997E-2</v>
      </c>
      <c r="Q153" s="1">
        <v>4</v>
      </c>
      <c r="R153" s="69">
        <f t="shared" si="43"/>
        <v>108</v>
      </c>
      <c r="S153" s="34">
        <f>ROUND(R153/产出与消耗!T52,4)</f>
        <v>5.1999999999999998E-3</v>
      </c>
      <c r="T153" s="64">
        <f t="shared" si="44"/>
        <v>6.5099999999999991E-2</v>
      </c>
      <c r="U153"/>
      <c r="V153"/>
      <c r="W153"/>
    </row>
    <row r="154" spans="1:23">
      <c r="B154">
        <v>6</v>
      </c>
      <c r="C154">
        <f>MAX(ROUND(C155-(C156-C155)/(产出与消耗!$K$11-产出与消耗!$K$10)*(产出与消耗!$K$10-产出与消耗!$K$9)*1.004,0),0)</f>
        <v>622</v>
      </c>
      <c r="D154" s="1">
        <v>8</v>
      </c>
      <c r="E154">
        <f>ROUND(D154*C154/3600/(建筑!G91*基本公式!$B$153),2)</f>
        <v>0.69</v>
      </c>
      <c r="F154" s="1">
        <v>9</v>
      </c>
      <c r="G154" s="69">
        <f t="shared" si="40"/>
        <v>5598</v>
      </c>
      <c r="K154" s="1">
        <v>26</v>
      </c>
      <c r="L154" s="69">
        <f t="shared" si="41"/>
        <v>16172</v>
      </c>
      <c r="M154" s="34">
        <f>ROUND(L154/产出与消耗!T9,4)</f>
        <v>0.25779999999999997</v>
      </c>
      <c r="N154" s="1">
        <v>30</v>
      </c>
      <c r="O154" s="69">
        <f t="shared" si="42"/>
        <v>18660</v>
      </c>
      <c r="P154" s="34">
        <f>ROUND(O154/产出与消耗!T31,4)</f>
        <v>0.2974</v>
      </c>
      <c r="Q154" s="1">
        <v>4</v>
      </c>
      <c r="R154" s="69">
        <f t="shared" si="43"/>
        <v>2488</v>
      </c>
      <c r="S154" s="34">
        <f>ROUND(R154/产出与消耗!T53,4)</f>
        <v>5.5100000000000003E-2</v>
      </c>
      <c r="T154" s="64">
        <f t="shared" si="44"/>
        <v>0.61029999999999995</v>
      </c>
      <c r="U154"/>
      <c r="V154"/>
      <c r="W154"/>
    </row>
    <row r="155" spans="1:23">
      <c r="B155">
        <v>7</v>
      </c>
      <c r="C155">
        <f>MAX(ROUND(C156-(C157-C156)/(产出与消耗!$K$12-产出与消耗!$K$11)*(产出与消耗!$K$11-产出与消耗!$K$10)*1.004,0),0)</f>
        <v>1570</v>
      </c>
      <c r="D155" s="1">
        <v>8</v>
      </c>
      <c r="E155">
        <f>ROUND(D155*C155/3600/(建筑!G92*基本公式!$B$153),2)</f>
        <v>0.87</v>
      </c>
      <c r="F155" s="1">
        <v>9</v>
      </c>
      <c r="G155" s="69">
        <f t="shared" si="40"/>
        <v>14130</v>
      </c>
      <c r="K155" s="1">
        <v>26</v>
      </c>
      <c r="L155" s="69">
        <f t="shared" si="41"/>
        <v>40820</v>
      </c>
      <c r="M155" s="34">
        <f>ROUND(L155/产出与消耗!T10,4)</f>
        <v>0.31059999999999999</v>
      </c>
      <c r="N155" s="1">
        <v>30</v>
      </c>
      <c r="O155" s="69">
        <f t="shared" si="42"/>
        <v>47100</v>
      </c>
      <c r="P155" s="34">
        <f>ROUND(O155/产出与消耗!T32,4)</f>
        <v>0.3584</v>
      </c>
      <c r="Q155" s="1">
        <v>4</v>
      </c>
      <c r="R155" s="69">
        <f t="shared" si="43"/>
        <v>6280</v>
      </c>
      <c r="S155" s="34">
        <f>ROUND(R155/产出与消耗!T54,4)</f>
        <v>6.9099999999999995E-2</v>
      </c>
      <c r="T155" s="64">
        <f t="shared" si="44"/>
        <v>0.73809999999999998</v>
      </c>
      <c r="U155"/>
      <c r="V155"/>
      <c r="W155"/>
    </row>
    <row r="156" spans="1:23">
      <c r="A156" s="11"/>
      <c r="B156">
        <v>8</v>
      </c>
      <c r="C156">
        <f>MAX(ROUND(C157-(C158-C157)/(产出与消耗!$K$13-产出与消耗!$K$12)*(产出与消耗!$K$12-产出与消耗!$K$11)*1.004,0),0)</f>
        <v>3104</v>
      </c>
      <c r="D156" s="1">
        <v>8</v>
      </c>
      <c r="E156">
        <f>ROUND(D156*C156/3600/(建筑!G93*基本公式!$B$153),2)</f>
        <v>1.72</v>
      </c>
      <c r="F156" s="1">
        <v>9</v>
      </c>
      <c r="G156" s="69">
        <f t="shared" si="40"/>
        <v>27936</v>
      </c>
      <c r="K156" s="1">
        <v>26</v>
      </c>
      <c r="L156" s="69">
        <f t="shared" si="41"/>
        <v>80704</v>
      </c>
      <c r="M156" s="34">
        <f>ROUND(L156/产出与消耗!T11,4)</f>
        <v>0.2205</v>
      </c>
      <c r="N156" s="1">
        <v>30</v>
      </c>
      <c r="O156" s="69">
        <f t="shared" si="42"/>
        <v>93120</v>
      </c>
      <c r="P156" s="34">
        <f>ROUND(O156/产出与消耗!T33,4)</f>
        <v>0.25440000000000002</v>
      </c>
      <c r="Q156" s="1">
        <v>4</v>
      </c>
      <c r="R156" s="69">
        <f t="shared" si="43"/>
        <v>12416</v>
      </c>
      <c r="S156" s="34">
        <f>ROUND(R156/产出与消耗!T55,4)</f>
        <v>5.0200000000000002E-2</v>
      </c>
      <c r="T156" s="64">
        <f t="shared" si="44"/>
        <v>0.52510000000000001</v>
      </c>
      <c r="U156"/>
      <c r="V156"/>
      <c r="W156"/>
    </row>
    <row r="157" spans="1:23">
      <c r="B157">
        <v>9</v>
      </c>
      <c r="C157">
        <f>MAX(ROUND(C158-(C159-C158)/(产出与消耗!$K$14-产出与消耗!$K$13)*(产出与消耗!$K$13-产出与消耗!$K$12)*1.004,0),0)</f>
        <v>4632</v>
      </c>
      <c r="D157" s="1">
        <v>8</v>
      </c>
      <c r="E157">
        <f>ROUND(D157*C157/3600/(建筑!G94*基本公式!$B$153),2)</f>
        <v>2.57</v>
      </c>
      <c r="F157" s="1">
        <v>9</v>
      </c>
      <c r="G157" s="69">
        <f t="shared" si="40"/>
        <v>41688</v>
      </c>
      <c r="K157" s="1">
        <v>26</v>
      </c>
      <c r="L157" s="69">
        <f t="shared" si="41"/>
        <v>120432</v>
      </c>
      <c r="M157" s="34">
        <f>ROUND(L157/产出与消耗!T12,4)</f>
        <v>0.14419999999999999</v>
      </c>
      <c r="N157" s="1">
        <v>30</v>
      </c>
      <c r="O157" s="69">
        <f t="shared" si="42"/>
        <v>138960</v>
      </c>
      <c r="P157" s="34">
        <f>ROUND(O157/产出与消耗!T34,4)</f>
        <v>0.16639999999999999</v>
      </c>
      <c r="Q157" s="1">
        <v>4</v>
      </c>
      <c r="R157" s="69">
        <f t="shared" si="43"/>
        <v>18528</v>
      </c>
      <c r="S157" s="34">
        <f>ROUND(R157/产出与消耗!T56,4)</f>
        <v>3.3099999999999997E-2</v>
      </c>
      <c r="T157" s="64">
        <f t="shared" si="44"/>
        <v>0.34370000000000001</v>
      </c>
      <c r="U157"/>
      <c r="V157"/>
      <c r="W157"/>
    </row>
    <row r="158" spans="1:23">
      <c r="A158" s="38" t="s">
        <v>133</v>
      </c>
      <c r="B158">
        <v>10</v>
      </c>
      <c r="C158">
        <f>MAX(ROUND(C159-(C160-C159)/(产出与消耗!$K$15-产出与消耗!$K$14)*(产出与消耗!$K$14-产出与消耗!$K$13)*1.004,0),0)</f>
        <v>7091</v>
      </c>
      <c r="D158" s="1">
        <v>8</v>
      </c>
      <c r="E158">
        <f>ROUND(D158*C158/3600/(建筑!G95*基本公式!$B$153),2)</f>
        <v>3.94</v>
      </c>
      <c r="F158" s="1">
        <v>9</v>
      </c>
      <c r="G158" s="69">
        <f t="shared" si="40"/>
        <v>63819</v>
      </c>
      <c r="K158" s="1">
        <v>26</v>
      </c>
      <c r="L158" s="69">
        <f t="shared" si="41"/>
        <v>184366</v>
      </c>
      <c r="M158" s="34">
        <f>ROUND(L158/产出与消耗!T13,4)</f>
        <v>9.3899999999999997E-2</v>
      </c>
      <c r="N158" s="1">
        <v>30</v>
      </c>
      <c r="O158" s="69">
        <f t="shared" si="42"/>
        <v>212730</v>
      </c>
      <c r="P158" s="34">
        <f>ROUND(O158/产出与消耗!T35,4)</f>
        <v>0.10829999999999999</v>
      </c>
      <c r="Q158" s="1">
        <v>4</v>
      </c>
      <c r="R158" s="69">
        <f t="shared" si="43"/>
        <v>28364</v>
      </c>
      <c r="S158" s="34">
        <f>ROUND(R158/产出与消耗!T57,4)</f>
        <v>2.1600000000000001E-2</v>
      </c>
      <c r="T158" s="64">
        <f t="shared" si="44"/>
        <v>0.2238</v>
      </c>
      <c r="U158"/>
      <c r="V158"/>
      <c r="W158"/>
    </row>
    <row r="159" spans="1:23">
      <c r="B159">
        <v>11</v>
      </c>
      <c r="C159">
        <f>MAX(ROUND(C160-(C161-C160)/(产出与消耗!$K$16-产出与消耗!$K$15)*(产出与消耗!$K$15-产出与消耗!$K$14)*1.004,0),0)</f>
        <v>8607</v>
      </c>
      <c r="D159" s="1">
        <v>8</v>
      </c>
      <c r="E159">
        <f>ROUND(D159*C159/3600/(建筑!G96*基本公式!$B$153),2)</f>
        <v>4.78</v>
      </c>
      <c r="F159" s="1">
        <v>9</v>
      </c>
      <c r="G159" s="69">
        <f t="shared" si="40"/>
        <v>77463</v>
      </c>
      <c r="K159" s="1">
        <v>26</v>
      </c>
      <c r="L159" s="69">
        <f t="shared" si="41"/>
        <v>223782</v>
      </c>
      <c r="M159" s="34">
        <f>ROUND(L159/产出与消耗!T14,4)</f>
        <v>5.6399999999999999E-2</v>
      </c>
      <c r="N159" s="1">
        <v>30</v>
      </c>
      <c r="O159" s="69">
        <f t="shared" si="42"/>
        <v>258210</v>
      </c>
      <c r="P159" s="34">
        <f>ROUND(O159/产出与消耗!T36,4)</f>
        <v>6.5100000000000005E-2</v>
      </c>
      <c r="Q159" s="1">
        <v>4</v>
      </c>
      <c r="R159" s="69">
        <f t="shared" si="43"/>
        <v>34428</v>
      </c>
      <c r="S159" s="34">
        <f>ROUND(R159/产出与消耗!T58,4)</f>
        <v>1.2999999999999999E-2</v>
      </c>
      <c r="T159" s="64">
        <f t="shared" si="44"/>
        <v>0.13450000000000001</v>
      </c>
      <c r="U159"/>
      <c r="V159"/>
      <c r="W159"/>
    </row>
    <row r="160" spans="1:23">
      <c r="B160">
        <v>12</v>
      </c>
      <c r="C160">
        <f>MAX(ROUND(C161-(C162-C161)/(产出与消耗!$K$17-产出与消耗!$K$16)*(产出与消耗!$K$16-产出与消耗!$K$15)*1.004,0),0)</f>
        <v>12556</v>
      </c>
      <c r="D160" s="1">
        <v>8</v>
      </c>
      <c r="E160">
        <f>ROUND(D160*C160/3600/(建筑!G97*基本公式!$B$153),2)</f>
        <v>4.6500000000000004</v>
      </c>
      <c r="F160" s="1">
        <v>9</v>
      </c>
      <c r="G160" s="69">
        <f t="shared" si="40"/>
        <v>113004</v>
      </c>
      <c r="K160" s="1">
        <v>26</v>
      </c>
      <c r="L160" s="69">
        <f t="shared" si="41"/>
        <v>326456</v>
      </c>
      <c r="M160" s="34">
        <f>ROUND(L160/产出与消耗!T15,4)</f>
        <v>3.6900000000000002E-2</v>
      </c>
      <c r="N160" s="1">
        <v>30</v>
      </c>
      <c r="O160" s="69">
        <f t="shared" si="42"/>
        <v>376680</v>
      </c>
      <c r="P160" s="34">
        <f>ROUND(O160/产出与消耗!T37,4)</f>
        <v>4.2500000000000003E-2</v>
      </c>
      <c r="Q160" s="1">
        <v>4</v>
      </c>
      <c r="R160" s="69">
        <f t="shared" si="43"/>
        <v>50224</v>
      </c>
      <c r="S160" s="34">
        <f>ROUND(R160/产出与消耗!T59,4)</f>
        <v>8.5000000000000006E-3</v>
      </c>
      <c r="T160" s="64">
        <f t="shared" si="44"/>
        <v>8.7900000000000006E-2</v>
      </c>
      <c r="U160"/>
      <c r="V160"/>
      <c r="W160"/>
    </row>
    <row r="161" spans="1:23">
      <c r="A161" s="11"/>
      <c r="B161">
        <v>13</v>
      </c>
      <c r="C161">
        <f>MAX(ROUND(C162-(C163-C162)/(产出与消耗!$K$18-产出与消耗!$K$17)*(产出与消耗!$K$17-产出与消耗!$K$16)*1.004,0),0)</f>
        <v>15911</v>
      </c>
      <c r="D161" s="1">
        <v>8</v>
      </c>
      <c r="E161">
        <f>ROUND(D161*C161/3600/(建筑!G98*基本公式!$B$153),2)</f>
        <v>5.89</v>
      </c>
      <c r="F161" s="1">
        <v>9</v>
      </c>
      <c r="G161" s="69">
        <f t="shared" si="40"/>
        <v>143199</v>
      </c>
      <c r="K161" s="1">
        <v>26</v>
      </c>
      <c r="L161" s="69">
        <f t="shared" si="41"/>
        <v>413686</v>
      </c>
      <c r="M161" s="34">
        <f>ROUND(L161/产出与消耗!T16,4)</f>
        <v>2.41E-2</v>
      </c>
      <c r="N161" s="1">
        <v>30</v>
      </c>
      <c r="O161" s="69">
        <f t="shared" si="42"/>
        <v>477330</v>
      </c>
      <c r="P161" s="34">
        <f>ROUND(O161/产出与消耗!T38,4)</f>
        <v>2.7799999999999998E-2</v>
      </c>
      <c r="Q161" s="1">
        <v>4</v>
      </c>
      <c r="R161" s="69">
        <f t="shared" si="43"/>
        <v>63644</v>
      </c>
      <c r="S161" s="34">
        <f>ROUND(R161/产出与消耗!T60,4)</f>
        <v>5.5999999999999999E-3</v>
      </c>
      <c r="T161" s="64">
        <f t="shared" si="44"/>
        <v>5.7500000000000002E-2</v>
      </c>
      <c r="U161"/>
      <c r="V161"/>
      <c r="W161"/>
    </row>
    <row r="162" spans="1:23">
      <c r="A162" s="39" t="s">
        <v>134</v>
      </c>
      <c r="B162">
        <v>14</v>
      </c>
      <c r="C162">
        <f>MAX(ROUND(C163-(C164-C163)/(产出与消耗!$K$19-产出与消耗!$K$18)*(产出与消耗!$K$18-产出与消耗!$K$17)*1.004,0),0)</f>
        <v>18907</v>
      </c>
      <c r="D162" s="1">
        <v>8</v>
      </c>
      <c r="E162">
        <f>ROUND(D162*C162/3600/(建筑!G99*基本公式!$B$153),2)</f>
        <v>7</v>
      </c>
      <c r="F162" s="1">
        <v>9</v>
      </c>
      <c r="G162" s="69">
        <f t="shared" si="40"/>
        <v>170163</v>
      </c>
      <c r="K162" s="1">
        <v>26</v>
      </c>
      <c r="L162" s="69">
        <f t="shared" si="41"/>
        <v>491582</v>
      </c>
      <c r="M162" s="34">
        <f>ROUND(L162/产出与消耗!T17,4)</f>
        <v>1.66E-2</v>
      </c>
      <c r="N162" s="1">
        <v>30</v>
      </c>
      <c r="O162" s="69">
        <f t="shared" si="42"/>
        <v>567210</v>
      </c>
      <c r="P162" s="34">
        <f>ROUND(O162/产出与消耗!T39,4)</f>
        <v>1.9199999999999998E-2</v>
      </c>
      <c r="Q162" s="1">
        <v>4</v>
      </c>
      <c r="R162" s="69">
        <f t="shared" si="43"/>
        <v>75628</v>
      </c>
      <c r="S162" s="34">
        <f>ROUND(R162/产出与消耗!T61,4)</f>
        <v>3.8E-3</v>
      </c>
      <c r="T162" s="64">
        <f t="shared" si="44"/>
        <v>3.9599999999999996E-2</v>
      </c>
      <c r="U162"/>
      <c r="V162"/>
      <c r="W162"/>
    </row>
    <row r="163" spans="1:23">
      <c r="B163">
        <v>15</v>
      </c>
      <c r="C163">
        <f>MAX(ROUND(C164-(C165-C164)/(产出与消耗!$K$20-产出与消耗!$K$19)*(产出与消耗!$K$19-产出与消耗!$K$18)*1.004,0),0)</f>
        <v>22350</v>
      </c>
      <c r="D163" s="1">
        <v>8</v>
      </c>
      <c r="E163">
        <f>ROUND(D163*C163/3600/(建筑!G100*基本公式!$B$153),2)</f>
        <v>8.2799999999999994</v>
      </c>
      <c r="F163" s="1">
        <v>9</v>
      </c>
      <c r="G163" s="69">
        <f t="shared" si="40"/>
        <v>201150</v>
      </c>
      <c r="K163" s="1">
        <v>26</v>
      </c>
      <c r="L163" s="69">
        <f t="shared" si="41"/>
        <v>581100</v>
      </c>
      <c r="M163" s="34">
        <f>ROUND(L163/产出与消耗!T18,4)</f>
        <v>1.2E-2</v>
      </c>
      <c r="N163" s="1">
        <v>30</v>
      </c>
      <c r="O163" s="69">
        <f t="shared" si="42"/>
        <v>670500</v>
      </c>
      <c r="P163" s="34">
        <f>ROUND(O163/产出与消耗!T40,4)</f>
        <v>1.38E-2</v>
      </c>
      <c r="Q163" s="1">
        <v>4</v>
      </c>
      <c r="R163" s="69">
        <f t="shared" si="43"/>
        <v>89400</v>
      </c>
      <c r="S163" s="34">
        <f>ROUND(R163/产出与消耗!T62,4)</f>
        <v>2.8E-3</v>
      </c>
      <c r="T163" s="64">
        <f t="shared" si="44"/>
        <v>2.86E-2</v>
      </c>
      <c r="U163"/>
      <c r="V163"/>
      <c r="W163"/>
    </row>
    <row r="164" spans="1:23">
      <c r="B164">
        <v>16</v>
      </c>
      <c r="C164">
        <f>MAX(ROUND(C165-(C166-C165)/(产出与消耗!$K$21-产出与消耗!$K$20)*(产出与消耗!$K$20-产出与消耗!$K$19)*1.004,0),0)</f>
        <v>25779</v>
      </c>
      <c r="D164" s="1">
        <v>8</v>
      </c>
      <c r="E164">
        <f>ROUND(D164*C164/3600/(建筑!G101*基本公式!$B$153),2)</f>
        <v>7.16</v>
      </c>
      <c r="F164" s="1">
        <v>9</v>
      </c>
      <c r="G164" s="69">
        <f t="shared" si="40"/>
        <v>232011</v>
      </c>
      <c r="K164" s="1">
        <v>26</v>
      </c>
      <c r="L164" s="69">
        <f t="shared" si="41"/>
        <v>670254</v>
      </c>
      <c r="M164" s="34">
        <f>ROUND(L164/产出与消耗!T19,4)</f>
        <v>8.8999999999999999E-3</v>
      </c>
      <c r="N164" s="1">
        <v>30</v>
      </c>
      <c r="O164" s="69">
        <f t="shared" si="42"/>
        <v>773370</v>
      </c>
      <c r="P164" s="34">
        <f>ROUND(O164/产出与消耗!T41,4)</f>
        <v>1.03E-2</v>
      </c>
      <c r="Q164" s="1">
        <v>4</v>
      </c>
      <c r="R164" s="69">
        <f t="shared" si="43"/>
        <v>103116</v>
      </c>
      <c r="S164" s="34">
        <f>ROUND(R164/产出与消耗!T63,4)</f>
        <v>2.0999999999999999E-3</v>
      </c>
      <c r="T164" s="64">
        <f t="shared" si="44"/>
        <v>2.1300000000000003E-2</v>
      </c>
      <c r="U164"/>
      <c r="V164"/>
      <c r="W164"/>
    </row>
    <row r="165" spans="1:23">
      <c r="B165">
        <v>17</v>
      </c>
      <c r="C165">
        <f>MAX(ROUND(C166-(C167-C166)/(产出与消耗!$K$22-产出与消耗!$K$21)*(产出与消耗!$K$21-产出与消耗!$K$20)*1.004,0),0)</f>
        <v>29536</v>
      </c>
      <c r="D165" s="1">
        <v>8</v>
      </c>
      <c r="E165">
        <f>ROUND(D165*C165/3600/(建筑!G102*基本公式!$B$153),2)</f>
        <v>8.1999999999999993</v>
      </c>
      <c r="F165" s="1">
        <v>9</v>
      </c>
      <c r="G165" s="69">
        <f t="shared" si="40"/>
        <v>265824</v>
      </c>
      <c r="K165" s="1">
        <v>26</v>
      </c>
      <c r="L165" s="69">
        <f t="shared" si="41"/>
        <v>767936</v>
      </c>
      <c r="M165" s="34">
        <f>ROUND(L165/产出与消耗!T20,4)</f>
        <v>6.7999999999999996E-3</v>
      </c>
      <c r="N165" s="1">
        <v>30</v>
      </c>
      <c r="O165" s="69">
        <f t="shared" si="42"/>
        <v>886080</v>
      </c>
      <c r="P165" s="34">
        <f>ROUND(O165/产出与消耗!T42,4)</f>
        <v>7.9000000000000008E-3</v>
      </c>
      <c r="Q165" s="1">
        <v>4</v>
      </c>
      <c r="R165" s="69">
        <f t="shared" si="43"/>
        <v>118144</v>
      </c>
      <c r="S165" s="34">
        <f>ROUND(R165/产出与消耗!T64,4)</f>
        <v>1.6000000000000001E-3</v>
      </c>
      <c r="T165" s="64">
        <f t="shared" si="44"/>
        <v>1.6300000000000002E-2</v>
      </c>
      <c r="U165"/>
      <c r="V165"/>
      <c r="W165"/>
    </row>
    <row r="166" spans="1:23">
      <c r="B166">
        <v>18</v>
      </c>
      <c r="C166">
        <f>MAX(ROUND(C167-(C168-C167)/(产出与消耗!$K$23-产出与消耗!$K$22)*(产出与消耗!$K$22-产出与消耗!$K$21)*1.004,0),0)</f>
        <v>33732</v>
      </c>
      <c r="D166" s="1">
        <v>8</v>
      </c>
      <c r="E166">
        <f>ROUND(D166*C166/3600/(建筑!G103*基本公式!$B$153),2)</f>
        <v>9.3699999999999992</v>
      </c>
      <c r="F166" s="1">
        <v>9</v>
      </c>
      <c r="G166" s="69">
        <f t="shared" si="40"/>
        <v>303588</v>
      </c>
      <c r="K166" s="1">
        <v>26</v>
      </c>
      <c r="L166" s="69">
        <f t="shared" si="41"/>
        <v>877032</v>
      </c>
      <c r="M166" s="34">
        <f>ROUND(L166/产出与消耗!T21,4)</f>
        <v>5.4000000000000003E-3</v>
      </c>
      <c r="N166" s="1">
        <v>30</v>
      </c>
      <c r="O166" s="69">
        <f t="shared" si="42"/>
        <v>1011960</v>
      </c>
      <c r="P166" s="34">
        <f>ROUND(O166/产出与消耗!T43,4)</f>
        <v>6.1999999999999998E-3</v>
      </c>
      <c r="Q166" s="1">
        <v>4</v>
      </c>
      <c r="R166" s="69">
        <f t="shared" si="43"/>
        <v>134928</v>
      </c>
      <c r="S166" s="34">
        <f>ROUND(R166/产出与消耗!T65,4)</f>
        <v>1.1999999999999999E-3</v>
      </c>
      <c r="T166" s="64">
        <f t="shared" si="44"/>
        <v>1.2799999999999999E-2</v>
      </c>
      <c r="U166"/>
      <c r="V166"/>
      <c r="W166"/>
    </row>
    <row r="167" spans="1:23">
      <c r="A167" s="40" t="s">
        <v>135</v>
      </c>
      <c r="B167">
        <v>19</v>
      </c>
      <c r="C167">
        <f>ROUND(产出与消耗!$K$22*C168/产出与消耗!$K$23,0)</f>
        <v>38250</v>
      </c>
      <c r="D167" s="1">
        <v>8</v>
      </c>
      <c r="E167">
        <f>ROUND(D167*C167/3600/(建筑!G104*基本公式!$B$153),2)</f>
        <v>10.63</v>
      </c>
      <c r="F167" s="1">
        <v>9</v>
      </c>
      <c r="G167" s="69">
        <f t="shared" si="40"/>
        <v>344250</v>
      </c>
      <c r="K167" s="1">
        <v>26</v>
      </c>
      <c r="L167" s="69">
        <f t="shared" si="41"/>
        <v>994500</v>
      </c>
      <c r="M167" s="34">
        <f>ROUND(L167/产出与消耗!T22,4)</f>
        <v>4.3E-3</v>
      </c>
      <c r="N167" s="1">
        <v>30</v>
      </c>
      <c r="O167" s="69">
        <f t="shared" si="42"/>
        <v>1147500</v>
      </c>
      <c r="P167" s="34">
        <f>ROUND(O167/产出与消耗!T44,4)</f>
        <v>5.0000000000000001E-3</v>
      </c>
      <c r="Q167" s="1">
        <v>4</v>
      </c>
      <c r="R167" s="69">
        <f t="shared" si="43"/>
        <v>153000</v>
      </c>
      <c r="S167" s="34">
        <f>ROUND(R167/产出与消耗!T66,4)</f>
        <v>1E-3</v>
      </c>
      <c r="T167" s="64">
        <f t="shared" si="44"/>
        <v>1.03E-2</v>
      </c>
      <c r="U167"/>
      <c r="V167"/>
      <c r="W167"/>
    </row>
    <row r="168" spans="1:23">
      <c r="B168">
        <v>20</v>
      </c>
      <c r="C168">
        <v>45000</v>
      </c>
      <c r="D168" s="1">
        <v>8</v>
      </c>
      <c r="E168">
        <f>ROUND(D168*C168/3600/(建筑!G105*基本公式!$B$153),2)</f>
        <v>10</v>
      </c>
      <c r="F168" s="1">
        <v>9</v>
      </c>
      <c r="G168" s="69">
        <f t="shared" si="40"/>
        <v>405000</v>
      </c>
      <c r="K168" s="1">
        <v>26</v>
      </c>
      <c r="L168" s="69">
        <f t="shared" si="41"/>
        <v>1170000</v>
      </c>
      <c r="M168" s="34">
        <f>ROUND(L168/产出与消耗!T23,4)</f>
        <v>3.5000000000000001E-3</v>
      </c>
      <c r="N168" s="1">
        <v>30</v>
      </c>
      <c r="O168" s="69">
        <f t="shared" si="42"/>
        <v>1350000</v>
      </c>
      <c r="P168" s="34">
        <f>ROUND(O168/产出与消耗!T45,4)</f>
        <v>4.0000000000000001E-3</v>
      </c>
      <c r="Q168" s="1">
        <v>4</v>
      </c>
      <c r="R168" s="69">
        <f t="shared" si="43"/>
        <v>180000</v>
      </c>
      <c r="S168" s="34">
        <f>ROUND(R168/产出与消耗!T67,4)</f>
        <v>8.0000000000000004E-4</v>
      </c>
      <c r="T168" s="64">
        <f t="shared" si="44"/>
        <v>8.3000000000000001E-3</v>
      </c>
      <c r="U168"/>
      <c r="V168"/>
      <c r="W168"/>
    </row>
    <row r="170" spans="1:23">
      <c r="A170" t="s">
        <v>207</v>
      </c>
      <c r="B170">
        <v>1</v>
      </c>
      <c r="C170">
        <f>MAX(ROUND(C171-(C172-C171)/(产出与消耗!$K$6-产出与消耗!$K$5)*(产出与消耗!$K$5-产出与消耗!$K$4)*1.048,0),0)</f>
        <v>0</v>
      </c>
      <c r="D170" s="1">
        <v>12</v>
      </c>
      <c r="E170">
        <f>ROUND(D170*C170/3600/(建筑!G86*基本公式!$B$153),2)</f>
        <v>0</v>
      </c>
      <c r="F170" s="1">
        <v>20</v>
      </c>
      <c r="G170" s="69">
        <f t="shared" ref="G170:G189" si="45">F170*C170</f>
        <v>0</v>
      </c>
      <c r="K170" s="1">
        <v>300</v>
      </c>
      <c r="L170" s="69">
        <f t="shared" ref="L170:L189" si="46">ROUND(K170*C170,0)</f>
        <v>0</v>
      </c>
      <c r="M170" s="34">
        <f>ROUND(L170/产出与消耗!T4,4)</f>
        <v>0</v>
      </c>
      <c r="N170" s="1">
        <v>580</v>
      </c>
      <c r="O170" s="69">
        <f t="shared" ref="O170:O189" si="47">ROUND(N170*C170,0)</f>
        <v>0</v>
      </c>
      <c r="P170" s="34">
        <f>ROUND(O170/产出与消耗!T26,4)</f>
        <v>0</v>
      </c>
      <c r="Q170" s="1">
        <v>200</v>
      </c>
      <c r="R170" s="69">
        <f t="shared" ref="R170:R189" si="48">ROUND(Q170*C170,0)</f>
        <v>0</v>
      </c>
      <c r="S170" s="34">
        <f>ROUND(R170/产出与消耗!T48,4)</f>
        <v>0</v>
      </c>
      <c r="T170" s="64">
        <f>M170+P170+S170</f>
        <v>0</v>
      </c>
      <c r="U170"/>
      <c r="V170"/>
      <c r="W170"/>
    </row>
    <row r="171" spans="1:23">
      <c r="B171">
        <v>2</v>
      </c>
      <c r="C171">
        <f>MAX(ROUND(C172-(C173-C172)/(产出与消耗!$K$7-产出与消耗!$K$6)*(产出与消耗!$K$6-产出与消耗!$K$5)*1.048,0),0)</f>
        <v>0</v>
      </c>
      <c r="D171" s="1">
        <v>12</v>
      </c>
      <c r="E171">
        <f>ROUND(D171*C171/3600/(建筑!G87*基本公式!$B$153),2)</f>
        <v>0</v>
      </c>
      <c r="F171" s="1">
        <v>20</v>
      </c>
      <c r="G171" s="69">
        <f t="shared" si="45"/>
        <v>0</v>
      </c>
      <c r="K171" s="1">
        <v>300</v>
      </c>
      <c r="L171" s="69">
        <f t="shared" si="46"/>
        <v>0</v>
      </c>
      <c r="M171" s="34">
        <f>ROUND(L171/产出与消耗!T5,4)</f>
        <v>0</v>
      </c>
      <c r="N171" s="1">
        <v>580</v>
      </c>
      <c r="O171" s="69">
        <f t="shared" si="47"/>
        <v>0</v>
      </c>
      <c r="P171" s="34">
        <f>ROUND(O171/产出与消耗!T27,4)</f>
        <v>0</v>
      </c>
      <c r="Q171" s="1">
        <v>200</v>
      </c>
      <c r="R171" s="69">
        <f t="shared" si="48"/>
        <v>0</v>
      </c>
      <c r="S171" s="34">
        <f>ROUND(R171/产出与消耗!T49,4)</f>
        <v>0</v>
      </c>
      <c r="T171" s="64">
        <f t="shared" ref="T171:T189" si="49">M171+P171+S171</f>
        <v>0</v>
      </c>
      <c r="U171"/>
      <c r="V171"/>
      <c r="W171"/>
    </row>
    <row r="172" spans="1:23">
      <c r="B172">
        <v>3</v>
      </c>
      <c r="C172">
        <f>MAX(ROUND(C173-(C174-C173)/(产出与消耗!$K$8-产出与消耗!$K$7)*(产出与消耗!$K$7-产出与消耗!$K$6)*1.048,0),0)</f>
        <v>0</v>
      </c>
      <c r="D172" s="1">
        <v>12</v>
      </c>
      <c r="E172">
        <f>ROUND(D172*C172/3600/(建筑!G88*基本公式!$B$153),2)</f>
        <v>0</v>
      </c>
      <c r="F172" s="1">
        <v>20</v>
      </c>
      <c r="G172" s="69">
        <f t="shared" si="45"/>
        <v>0</v>
      </c>
      <c r="K172" s="1">
        <v>300</v>
      </c>
      <c r="L172" s="69">
        <f t="shared" si="46"/>
        <v>0</v>
      </c>
      <c r="M172" s="34">
        <f>ROUND(L172/产出与消耗!T6,4)</f>
        <v>0</v>
      </c>
      <c r="N172" s="1">
        <v>580</v>
      </c>
      <c r="O172" s="69">
        <f t="shared" si="47"/>
        <v>0</v>
      </c>
      <c r="P172" s="34">
        <f>ROUND(O172/产出与消耗!T28,4)</f>
        <v>0</v>
      </c>
      <c r="Q172" s="1">
        <v>200</v>
      </c>
      <c r="R172" s="69">
        <f t="shared" si="48"/>
        <v>0</v>
      </c>
      <c r="S172" s="34">
        <f>ROUND(R172/产出与消耗!T50,4)</f>
        <v>0</v>
      </c>
      <c r="T172" s="64">
        <f t="shared" si="49"/>
        <v>0</v>
      </c>
      <c r="U172"/>
      <c r="V172"/>
      <c r="W172"/>
    </row>
    <row r="173" spans="1:23">
      <c r="B173">
        <v>4</v>
      </c>
      <c r="C173">
        <f>MAX(ROUND(C174-(C175-C174)/(产出与消耗!$K$9-产出与消耗!$K$8)*(产出与消耗!$K$8-产出与消耗!$K$7)*1.048,0),0)</f>
        <v>0</v>
      </c>
      <c r="D173" s="1">
        <v>12</v>
      </c>
      <c r="E173">
        <f>ROUND(D173*C173/3600/(建筑!G89*基本公式!$B$153),2)</f>
        <v>0</v>
      </c>
      <c r="F173" s="1">
        <v>20</v>
      </c>
      <c r="G173" s="69">
        <f t="shared" si="45"/>
        <v>0</v>
      </c>
      <c r="K173" s="1">
        <v>300</v>
      </c>
      <c r="L173" s="69">
        <f t="shared" si="46"/>
        <v>0</v>
      </c>
      <c r="M173" s="34">
        <f>ROUND(L173/产出与消耗!T7,4)</f>
        <v>0</v>
      </c>
      <c r="N173" s="1">
        <v>580</v>
      </c>
      <c r="O173" s="69">
        <f t="shared" si="47"/>
        <v>0</v>
      </c>
      <c r="P173" s="34">
        <f>ROUND(O173/产出与消耗!T29,4)</f>
        <v>0</v>
      </c>
      <c r="Q173" s="1">
        <v>200</v>
      </c>
      <c r="R173" s="69">
        <f t="shared" si="48"/>
        <v>0</v>
      </c>
      <c r="S173" s="34">
        <f>ROUND(R173/产出与消耗!T51,4)</f>
        <v>0</v>
      </c>
      <c r="T173" s="64">
        <f t="shared" si="49"/>
        <v>0</v>
      </c>
      <c r="U173"/>
      <c r="V173"/>
      <c r="W173"/>
    </row>
    <row r="174" spans="1:23">
      <c r="B174">
        <v>5</v>
      </c>
      <c r="C174">
        <f>MAX(ROUND(C175-(C176-C175)/(产出与消耗!$K$10-产出与消耗!$K$9)*(产出与消耗!$K$9-产出与消耗!$K$8)*1.048,0),0)</f>
        <v>0</v>
      </c>
      <c r="D174" s="1">
        <v>12</v>
      </c>
      <c r="E174">
        <f>ROUND(D174*C174/3600/(建筑!G90*基本公式!$B$153),2)</f>
        <v>0</v>
      </c>
      <c r="F174" s="1">
        <v>20</v>
      </c>
      <c r="G174" s="69">
        <f t="shared" si="45"/>
        <v>0</v>
      </c>
      <c r="K174" s="1">
        <v>300</v>
      </c>
      <c r="L174" s="69">
        <f t="shared" si="46"/>
        <v>0</v>
      </c>
      <c r="M174" s="34">
        <f>ROUND(L174/产出与消耗!T8,4)</f>
        <v>0</v>
      </c>
      <c r="N174" s="1">
        <v>580</v>
      </c>
      <c r="O174" s="69">
        <f t="shared" si="47"/>
        <v>0</v>
      </c>
      <c r="P174" s="34">
        <f>ROUND(O174/产出与消耗!T30,4)</f>
        <v>0</v>
      </c>
      <c r="Q174" s="1">
        <v>200</v>
      </c>
      <c r="R174" s="69">
        <f t="shared" si="48"/>
        <v>0</v>
      </c>
      <c r="S174" s="34">
        <f>ROUND(R174/产出与消耗!T52,4)</f>
        <v>0</v>
      </c>
      <c r="T174" s="64">
        <f t="shared" si="49"/>
        <v>0</v>
      </c>
      <c r="U174"/>
      <c r="V174"/>
      <c r="W174"/>
    </row>
    <row r="175" spans="1:23">
      <c r="B175">
        <v>6</v>
      </c>
      <c r="C175">
        <f>MAX(ROUND(C176-(C177-C176)/(产出与消耗!$K$11-产出与消耗!$K$10)*(产出与消耗!$K$10-产出与消耗!$K$9)*1.048,0),0)</f>
        <v>0</v>
      </c>
      <c r="D175" s="1">
        <v>12</v>
      </c>
      <c r="E175">
        <f>ROUND(D175*C175/3600/(建筑!G91*基本公式!$B$153),2)</f>
        <v>0</v>
      </c>
      <c r="F175" s="1">
        <v>20</v>
      </c>
      <c r="G175" s="69">
        <f t="shared" si="45"/>
        <v>0</v>
      </c>
      <c r="K175" s="1">
        <v>300</v>
      </c>
      <c r="L175" s="69">
        <f t="shared" si="46"/>
        <v>0</v>
      </c>
      <c r="M175" s="34">
        <f>ROUND(L175/产出与消耗!T9,4)</f>
        <v>0</v>
      </c>
      <c r="N175" s="1">
        <v>580</v>
      </c>
      <c r="O175" s="69">
        <f t="shared" si="47"/>
        <v>0</v>
      </c>
      <c r="P175" s="34">
        <f>ROUND(O175/产出与消耗!T31,4)</f>
        <v>0</v>
      </c>
      <c r="Q175" s="1">
        <v>200</v>
      </c>
      <c r="R175" s="69">
        <f t="shared" si="48"/>
        <v>0</v>
      </c>
      <c r="S175" s="34">
        <f>ROUND(R175/产出与消耗!T53,4)</f>
        <v>0</v>
      </c>
      <c r="T175" s="64">
        <f t="shared" si="49"/>
        <v>0</v>
      </c>
      <c r="U175"/>
      <c r="V175"/>
      <c r="W175"/>
    </row>
    <row r="176" spans="1:23">
      <c r="B176">
        <v>7</v>
      </c>
      <c r="C176">
        <f>MAX(ROUND(C177-(C178-C177)/(产出与消耗!$K$12-产出与消耗!$K$11)*(产出与消耗!$K$11-产出与消耗!$K$10)*1.048,0),0)</f>
        <v>0</v>
      </c>
      <c r="D176" s="1">
        <v>12</v>
      </c>
      <c r="E176">
        <f>ROUND(D176*C176/3600/(建筑!G92*基本公式!$B$153),2)</f>
        <v>0</v>
      </c>
      <c r="F176" s="1">
        <v>20</v>
      </c>
      <c r="G176" s="69">
        <f t="shared" si="45"/>
        <v>0</v>
      </c>
      <c r="K176" s="1">
        <v>300</v>
      </c>
      <c r="L176" s="69">
        <f t="shared" si="46"/>
        <v>0</v>
      </c>
      <c r="M176" s="34">
        <f>ROUND(L176/产出与消耗!T10,4)</f>
        <v>0</v>
      </c>
      <c r="N176" s="1">
        <v>580</v>
      </c>
      <c r="O176" s="69">
        <f t="shared" si="47"/>
        <v>0</v>
      </c>
      <c r="P176" s="34">
        <f>ROUND(O176/产出与消耗!T32,4)</f>
        <v>0</v>
      </c>
      <c r="Q176" s="1">
        <v>200</v>
      </c>
      <c r="R176" s="69">
        <f t="shared" si="48"/>
        <v>0</v>
      </c>
      <c r="S176" s="34">
        <f>ROUND(R176/产出与消耗!T54,4)</f>
        <v>0</v>
      </c>
      <c r="T176" s="64">
        <f t="shared" si="49"/>
        <v>0</v>
      </c>
      <c r="U176"/>
      <c r="V176"/>
      <c r="W176"/>
    </row>
    <row r="177" spans="1:23">
      <c r="A177" s="11"/>
      <c r="B177">
        <v>8</v>
      </c>
      <c r="C177">
        <f>MAX(ROUND(C178-(C179-C178)/(产出与消耗!$K$13-产出与消耗!$K$12)*(产出与消耗!$K$12-产出与消耗!$K$11)*1.048,0),0)</f>
        <v>0</v>
      </c>
      <c r="D177" s="1">
        <v>12</v>
      </c>
      <c r="E177">
        <f>ROUND(D177*C177/3600/(建筑!G93*基本公式!$B$153),2)</f>
        <v>0</v>
      </c>
      <c r="F177" s="1">
        <v>20</v>
      </c>
      <c r="G177" s="69">
        <f t="shared" si="45"/>
        <v>0</v>
      </c>
      <c r="K177" s="1">
        <v>300</v>
      </c>
      <c r="L177" s="69">
        <f t="shared" si="46"/>
        <v>0</v>
      </c>
      <c r="M177" s="34">
        <f>ROUND(L177/产出与消耗!T11,4)</f>
        <v>0</v>
      </c>
      <c r="N177" s="1">
        <v>580</v>
      </c>
      <c r="O177" s="69">
        <f t="shared" si="47"/>
        <v>0</v>
      </c>
      <c r="P177" s="34">
        <f>ROUND(O177/产出与消耗!T33,4)</f>
        <v>0</v>
      </c>
      <c r="Q177" s="1">
        <v>200</v>
      </c>
      <c r="R177" s="69">
        <f t="shared" si="48"/>
        <v>0</v>
      </c>
      <c r="S177" s="34">
        <f>ROUND(R177/产出与消耗!T55,4)</f>
        <v>0</v>
      </c>
      <c r="T177" s="64">
        <f t="shared" si="49"/>
        <v>0</v>
      </c>
      <c r="U177"/>
      <c r="V177"/>
      <c r="W177"/>
    </row>
    <row r="178" spans="1:23">
      <c r="B178">
        <v>9</v>
      </c>
      <c r="C178">
        <f>MAX(ROUND(C179-(C180-C179)/(产出与消耗!$K$14-产出与消耗!$K$13)*(产出与消耗!$K$13-产出与消耗!$K$12)*1.048,0),0)</f>
        <v>0</v>
      </c>
      <c r="D178" s="1">
        <v>12</v>
      </c>
      <c r="E178">
        <f>ROUND(D178*C178/3600/(建筑!G94*基本公式!$B$153),2)</f>
        <v>0</v>
      </c>
      <c r="F178" s="1">
        <v>20</v>
      </c>
      <c r="G178" s="69">
        <f t="shared" si="45"/>
        <v>0</v>
      </c>
      <c r="K178" s="1">
        <v>300</v>
      </c>
      <c r="L178" s="69">
        <f t="shared" si="46"/>
        <v>0</v>
      </c>
      <c r="M178" s="34">
        <f>ROUND(L178/产出与消耗!T12,4)</f>
        <v>0</v>
      </c>
      <c r="N178" s="1">
        <v>580</v>
      </c>
      <c r="O178" s="69">
        <f t="shared" si="47"/>
        <v>0</v>
      </c>
      <c r="P178" s="34">
        <f>ROUND(O178/产出与消耗!T34,4)</f>
        <v>0</v>
      </c>
      <c r="Q178" s="1">
        <v>200</v>
      </c>
      <c r="R178" s="69">
        <f t="shared" si="48"/>
        <v>0</v>
      </c>
      <c r="S178" s="34">
        <f>ROUND(R178/产出与消耗!T56,4)</f>
        <v>0</v>
      </c>
      <c r="T178" s="64">
        <f t="shared" si="49"/>
        <v>0</v>
      </c>
      <c r="U178"/>
      <c r="V178"/>
      <c r="W178"/>
    </row>
    <row r="179" spans="1:23">
      <c r="A179" s="38" t="s">
        <v>133</v>
      </c>
      <c r="B179">
        <v>10</v>
      </c>
      <c r="C179">
        <f>MAX(ROUND(C180-(C181-C180)/(产出与消耗!$K$15-产出与消耗!$K$14)*(产出与消耗!$K$14-产出与消耗!$K$13)*1.048,0),0)</f>
        <v>151</v>
      </c>
      <c r="D179" s="1">
        <v>12</v>
      </c>
      <c r="E179">
        <f>ROUND(D179*C179/3600/(建筑!G95*基本公式!$B$153),2)</f>
        <v>0.13</v>
      </c>
      <c r="F179" s="1">
        <v>20</v>
      </c>
      <c r="G179" s="69">
        <f t="shared" si="45"/>
        <v>3020</v>
      </c>
      <c r="K179" s="1">
        <v>300</v>
      </c>
      <c r="L179" s="69">
        <f t="shared" si="46"/>
        <v>45300</v>
      </c>
      <c r="M179" s="34">
        <f>ROUND(L179/产出与消耗!T13,4)</f>
        <v>2.3099999999999999E-2</v>
      </c>
      <c r="N179" s="1">
        <v>580</v>
      </c>
      <c r="O179" s="69">
        <f t="shared" si="47"/>
        <v>87580</v>
      </c>
      <c r="P179" s="34">
        <f>ROUND(O179/产出与消耗!T35,4)</f>
        <v>4.4600000000000001E-2</v>
      </c>
      <c r="Q179" s="1">
        <v>200</v>
      </c>
      <c r="R179" s="69">
        <f t="shared" si="48"/>
        <v>30200</v>
      </c>
      <c r="S179" s="34">
        <f>ROUND(R179/产出与消耗!T57,4)</f>
        <v>2.3E-2</v>
      </c>
      <c r="T179" s="64">
        <f t="shared" si="49"/>
        <v>9.0700000000000003E-2</v>
      </c>
      <c r="U179"/>
      <c r="V179"/>
      <c r="W179"/>
    </row>
    <row r="180" spans="1:23">
      <c r="B180">
        <v>11</v>
      </c>
      <c r="C180">
        <f>MAX(ROUND(C181-(C182-C181)/(产出与消耗!$K$16-产出与消耗!$K$15)*(产出与消耗!$K$15-产出与消耗!$K$14)*1.048,0),0)</f>
        <v>2381</v>
      </c>
      <c r="D180" s="1">
        <v>12</v>
      </c>
      <c r="E180">
        <f>ROUND(D180*C180/3600/(建筑!G96*基本公式!$B$153),2)</f>
        <v>1.98</v>
      </c>
      <c r="F180" s="1">
        <v>20</v>
      </c>
      <c r="G180" s="69">
        <f t="shared" si="45"/>
        <v>47620</v>
      </c>
      <c r="K180" s="1">
        <v>300</v>
      </c>
      <c r="L180" s="69">
        <f t="shared" si="46"/>
        <v>714300</v>
      </c>
      <c r="M180" s="34">
        <f>ROUND(L180/产出与消耗!T14,4)</f>
        <v>0.18</v>
      </c>
      <c r="N180" s="1">
        <v>580</v>
      </c>
      <c r="O180" s="69">
        <f t="shared" si="47"/>
        <v>1380980</v>
      </c>
      <c r="P180" s="34">
        <f>ROUND(O180/产出与消耗!T36,4)</f>
        <v>0.34799999999999998</v>
      </c>
      <c r="Q180" s="1">
        <v>200</v>
      </c>
      <c r="R180" s="69">
        <f t="shared" si="48"/>
        <v>476200</v>
      </c>
      <c r="S180" s="34">
        <f>ROUND(R180/产出与消耗!T58,4)</f>
        <v>0.18</v>
      </c>
      <c r="T180" s="64">
        <f t="shared" si="49"/>
        <v>0.70799999999999996</v>
      </c>
      <c r="U180"/>
      <c r="V180"/>
      <c r="W180"/>
    </row>
    <row r="181" spans="1:23">
      <c r="B181">
        <v>12</v>
      </c>
      <c r="C181">
        <f>MAX(ROUND(C182-(C183-C182)/(产出与消耗!$K$17-产出与消耗!$K$16)*(产出与消耗!$K$16-产出与消耗!$K$15)*1.048,0),0)</f>
        <v>7947</v>
      </c>
      <c r="D181" s="1">
        <v>12</v>
      </c>
      <c r="E181">
        <f>ROUND(D181*C181/3600/(建筑!G97*基本公式!$B$153),2)</f>
        <v>4.42</v>
      </c>
      <c r="F181" s="1">
        <v>20</v>
      </c>
      <c r="G181" s="69">
        <f t="shared" si="45"/>
        <v>158940</v>
      </c>
      <c r="K181" s="1">
        <v>300</v>
      </c>
      <c r="L181" s="69">
        <f t="shared" si="46"/>
        <v>2384100</v>
      </c>
      <c r="M181" s="34">
        <f>ROUND(L181/产出与消耗!T15,4)</f>
        <v>0.26929999999999998</v>
      </c>
      <c r="N181" s="1">
        <v>580</v>
      </c>
      <c r="O181" s="69">
        <f t="shared" si="47"/>
        <v>4609260</v>
      </c>
      <c r="P181" s="34">
        <f>ROUND(O181/产出与消耗!T37,4)</f>
        <v>0.52059999999999995</v>
      </c>
      <c r="Q181" s="1">
        <v>200</v>
      </c>
      <c r="R181" s="69">
        <f t="shared" si="48"/>
        <v>1589400</v>
      </c>
      <c r="S181" s="34">
        <f>ROUND(R181/产出与消耗!T59,4)</f>
        <v>0.26929999999999998</v>
      </c>
      <c r="T181" s="64">
        <f t="shared" si="49"/>
        <v>1.0591999999999999</v>
      </c>
      <c r="U181"/>
      <c r="V181"/>
      <c r="W181"/>
    </row>
    <row r="182" spans="1:23">
      <c r="A182" s="11"/>
      <c r="B182">
        <v>13</v>
      </c>
      <c r="C182">
        <f>MAX(ROUND(C183-(C184-C183)/(产出与消耗!$K$18-产出与消耗!$K$17)*(产出与消耗!$K$17-产出与消耗!$K$16)*1.048,0),0)</f>
        <v>12477</v>
      </c>
      <c r="D182" s="1">
        <v>12</v>
      </c>
      <c r="E182">
        <f>ROUND(D182*C182/3600/(建筑!G98*基本公式!$B$153),2)</f>
        <v>6.93</v>
      </c>
      <c r="F182" s="1">
        <v>20</v>
      </c>
      <c r="G182" s="69">
        <f t="shared" si="45"/>
        <v>249540</v>
      </c>
      <c r="K182" s="1">
        <v>300</v>
      </c>
      <c r="L182" s="69">
        <f t="shared" si="46"/>
        <v>3743100</v>
      </c>
      <c r="M182" s="34">
        <f>ROUND(L182/产出与消耗!T16,4)</f>
        <v>0.218</v>
      </c>
      <c r="N182" s="1">
        <v>580</v>
      </c>
      <c r="O182" s="69">
        <f t="shared" si="47"/>
        <v>7236660</v>
      </c>
      <c r="P182" s="34">
        <f>ROUND(O182/产出与消耗!T38,4)</f>
        <v>0.42149999999999999</v>
      </c>
      <c r="Q182" s="1">
        <v>200</v>
      </c>
      <c r="R182" s="69">
        <f t="shared" si="48"/>
        <v>2495400</v>
      </c>
      <c r="S182" s="34">
        <f>ROUND(R182/产出与消耗!T60,4)</f>
        <v>0.218</v>
      </c>
      <c r="T182" s="64">
        <f t="shared" si="49"/>
        <v>0.85749999999999993</v>
      </c>
      <c r="U182"/>
      <c r="V182"/>
      <c r="W182"/>
    </row>
    <row r="183" spans="1:23">
      <c r="A183" s="39" t="s">
        <v>134</v>
      </c>
      <c r="B183">
        <v>14</v>
      </c>
      <c r="C183">
        <f>MAX(ROUND(C184-(C185-C184)/(产出与消耗!$K$19-产出与消耗!$K$18)*(产出与消耗!$K$18-产出与消耗!$K$17)*1.048,0),0)</f>
        <v>16352</v>
      </c>
      <c r="D183" s="1">
        <v>12</v>
      </c>
      <c r="E183">
        <f>ROUND(D183*C183/3600/(建筑!G99*基本公式!$B$153),2)</f>
        <v>9.08</v>
      </c>
      <c r="F183" s="1">
        <v>20</v>
      </c>
      <c r="G183" s="69">
        <f t="shared" si="45"/>
        <v>327040</v>
      </c>
      <c r="K183" s="1">
        <v>300</v>
      </c>
      <c r="L183" s="69">
        <f t="shared" si="46"/>
        <v>4905600</v>
      </c>
      <c r="M183" s="34">
        <f>ROUND(L183/产出与消耗!T17,4)</f>
        <v>0.16569999999999999</v>
      </c>
      <c r="N183" s="1">
        <v>580</v>
      </c>
      <c r="O183" s="69">
        <f t="shared" si="47"/>
        <v>9484160</v>
      </c>
      <c r="P183" s="34">
        <f>ROUND(O183/产出与消耗!T39,4)</f>
        <v>0.32029999999999997</v>
      </c>
      <c r="Q183" s="1">
        <v>200</v>
      </c>
      <c r="R183" s="69">
        <f t="shared" si="48"/>
        <v>3270400</v>
      </c>
      <c r="S183" s="34">
        <f>ROUND(R183/产出与消耗!T61,4)</f>
        <v>0.16569999999999999</v>
      </c>
      <c r="T183" s="64">
        <f t="shared" si="49"/>
        <v>0.65169999999999995</v>
      </c>
      <c r="U183"/>
      <c r="V183"/>
      <c r="W183"/>
    </row>
    <row r="184" spans="1:23">
      <c r="B184">
        <v>15</v>
      </c>
      <c r="C184">
        <f>MAX(ROUND(C185-(C186-C185)/(产出与消耗!$K$20-产出与消耗!$K$19)*(产出与消耗!$K$19-产出与消耗!$K$18)*1.048,0),0)</f>
        <v>20618</v>
      </c>
      <c r="D184" s="1">
        <v>12</v>
      </c>
      <c r="E184">
        <f>ROUND(D184*C184/3600/(建筑!G100*基本公式!$B$153),2)</f>
        <v>11.45</v>
      </c>
      <c r="F184" s="1">
        <v>20</v>
      </c>
      <c r="G184" s="69">
        <f t="shared" si="45"/>
        <v>412360</v>
      </c>
      <c r="K184" s="1">
        <v>300</v>
      </c>
      <c r="L184" s="69">
        <f t="shared" si="46"/>
        <v>6185400</v>
      </c>
      <c r="M184" s="34">
        <f>ROUND(L184/产出与消耗!T18,4)</f>
        <v>0.1273</v>
      </c>
      <c r="N184" s="1">
        <v>580</v>
      </c>
      <c r="O184" s="69">
        <f t="shared" si="47"/>
        <v>11958440</v>
      </c>
      <c r="P184" s="34">
        <f>ROUND(O184/产出与消耗!T40,4)</f>
        <v>0.24610000000000001</v>
      </c>
      <c r="Q184" s="1">
        <v>200</v>
      </c>
      <c r="R184" s="69">
        <f t="shared" si="48"/>
        <v>4123600</v>
      </c>
      <c r="S184" s="34">
        <f>ROUND(R184/产出与消耗!T62,4)</f>
        <v>0.1273</v>
      </c>
      <c r="T184" s="64">
        <f t="shared" si="49"/>
        <v>0.50070000000000003</v>
      </c>
      <c r="U184"/>
      <c r="V184"/>
      <c r="W184"/>
    </row>
    <row r="185" spans="1:23">
      <c r="B185">
        <v>16</v>
      </c>
      <c r="C185">
        <f>MAX(ROUND(C186-(C187-C186)/(产出与消耗!$K$21-产出与消耗!$K$20)*(产出与消耗!$K$20-产出与消耗!$K$19)*1.048,0),0)</f>
        <v>24689</v>
      </c>
      <c r="D185" s="1">
        <v>12</v>
      </c>
      <c r="E185">
        <f>ROUND(D185*C185/3600/(建筑!G101*基本公式!$B$153),2)</f>
        <v>10.29</v>
      </c>
      <c r="F185" s="1">
        <v>20</v>
      </c>
      <c r="G185" s="69">
        <f t="shared" si="45"/>
        <v>493780</v>
      </c>
      <c r="K185" s="1">
        <v>300</v>
      </c>
      <c r="L185" s="69">
        <f t="shared" si="46"/>
        <v>7406700</v>
      </c>
      <c r="M185" s="34">
        <f>ROUND(L185/产出与消耗!T19,4)</f>
        <v>9.8500000000000004E-2</v>
      </c>
      <c r="N185" s="1">
        <v>580</v>
      </c>
      <c r="O185" s="69">
        <f t="shared" si="47"/>
        <v>14319620</v>
      </c>
      <c r="P185" s="34">
        <f>ROUND(O185/产出与消耗!T41,4)</f>
        <v>0.1905</v>
      </c>
      <c r="Q185" s="1">
        <v>200</v>
      </c>
      <c r="R185" s="69">
        <f t="shared" si="48"/>
        <v>4937800</v>
      </c>
      <c r="S185" s="34">
        <f>ROUND(R185/产出与消耗!T63,4)</f>
        <v>9.8500000000000004E-2</v>
      </c>
      <c r="T185" s="64">
        <f t="shared" si="49"/>
        <v>0.38750000000000007</v>
      </c>
      <c r="U185"/>
      <c r="V185"/>
      <c r="W185"/>
    </row>
    <row r="186" spans="1:23">
      <c r="B186">
        <v>17</v>
      </c>
      <c r="C186">
        <f>MAX(ROUND(C187-(C188-C187)/(产出与消耗!$K$22-产出与消耗!$K$21)*(产出与消耗!$K$21-产出与消耗!$K$20)*1.048,0),0)</f>
        <v>28962</v>
      </c>
      <c r="D186" s="1">
        <v>12</v>
      </c>
      <c r="E186">
        <f>ROUND(D186*C186/3600/(建筑!G102*基本公式!$B$153),2)</f>
        <v>12.07</v>
      </c>
      <c r="F186" s="1">
        <v>20</v>
      </c>
      <c r="G186" s="69">
        <f t="shared" si="45"/>
        <v>579240</v>
      </c>
      <c r="K186" s="1">
        <v>300</v>
      </c>
      <c r="L186" s="69">
        <f t="shared" si="46"/>
        <v>8688600</v>
      </c>
      <c r="M186" s="34">
        <f>ROUND(L186/产出与消耗!T20,4)</f>
        <v>7.7399999999999997E-2</v>
      </c>
      <c r="N186" s="1">
        <v>580</v>
      </c>
      <c r="O186" s="69">
        <f t="shared" si="47"/>
        <v>16797960</v>
      </c>
      <c r="P186" s="34">
        <f>ROUND(O186/产出与消耗!T42,4)</f>
        <v>0.14960000000000001</v>
      </c>
      <c r="Q186" s="1">
        <v>200</v>
      </c>
      <c r="R186" s="69">
        <f t="shared" si="48"/>
        <v>5792400</v>
      </c>
      <c r="S186" s="34">
        <f>ROUND(R186/产出与消耗!T64,4)</f>
        <v>7.7399999999999997E-2</v>
      </c>
      <c r="T186" s="64">
        <f t="shared" si="49"/>
        <v>0.3044</v>
      </c>
      <c r="U186"/>
      <c r="V186"/>
      <c r="W186"/>
    </row>
    <row r="187" spans="1:23">
      <c r="B187">
        <v>18</v>
      </c>
      <c r="C187">
        <f>MAX(ROUND(C188-(C189-C188)/(产出与消耗!$K$23-产出与消耗!$K$22)*(产出与消耗!$K$22-产出与消耗!$K$21)*1.048,0),0)</f>
        <v>33534</v>
      </c>
      <c r="D187" s="1">
        <v>12</v>
      </c>
      <c r="E187">
        <f>ROUND(D187*C187/3600/(建筑!G103*基本公式!$B$153),2)</f>
        <v>13.97</v>
      </c>
      <c r="F187" s="1">
        <v>20</v>
      </c>
      <c r="G187" s="69">
        <f t="shared" si="45"/>
        <v>670680</v>
      </c>
      <c r="K187" s="1">
        <v>300</v>
      </c>
      <c r="L187" s="69">
        <f t="shared" si="46"/>
        <v>10060200</v>
      </c>
      <c r="M187" s="34">
        <f>ROUND(L187/产出与消耗!T21,4)</f>
        <v>6.1600000000000002E-2</v>
      </c>
      <c r="N187" s="1">
        <v>580</v>
      </c>
      <c r="O187" s="69">
        <f t="shared" si="47"/>
        <v>19449720</v>
      </c>
      <c r="P187" s="34">
        <f>ROUND(O187/产出与消耗!T43,4)</f>
        <v>0.1191</v>
      </c>
      <c r="Q187" s="1">
        <v>200</v>
      </c>
      <c r="R187" s="69">
        <f t="shared" si="48"/>
        <v>6706800</v>
      </c>
      <c r="S187" s="34">
        <f>ROUND(R187/产出与消耗!T65,4)</f>
        <v>6.1600000000000002E-2</v>
      </c>
      <c r="T187" s="64">
        <f t="shared" si="49"/>
        <v>0.24230000000000002</v>
      </c>
      <c r="U187"/>
      <c r="V187"/>
      <c r="W187"/>
    </row>
    <row r="188" spans="1:23">
      <c r="A188" s="40" t="s">
        <v>135</v>
      </c>
      <c r="B188">
        <v>19</v>
      </c>
      <c r="C188">
        <f>ROUND(产出与消耗!$K$22*C189/产出与消耗!$K$23,0)</f>
        <v>38250</v>
      </c>
      <c r="D188" s="1">
        <v>12</v>
      </c>
      <c r="E188">
        <f>ROUND(D188*C188/3600/(建筑!G104*基本公式!$B$153),2)</f>
        <v>15.94</v>
      </c>
      <c r="F188" s="1">
        <v>20</v>
      </c>
      <c r="G188" s="69">
        <f t="shared" si="45"/>
        <v>765000</v>
      </c>
      <c r="K188" s="1">
        <v>300</v>
      </c>
      <c r="L188" s="69">
        <f t="shared" si="46"/>
        <v>11475000</v>
      </c>
      <c r="M188" s="34">
        <f>ROUND(L188/产出与消耗!T22,4)</f>
        <v>4.9599999999999998E-2</v>
      </c>
      <c r="N188" s="1">
        <v>580</v>
      </c>
      <c r="O188" s="69">
        <f t="shared" si="47"/>
        <v>22185000</v>
      </c>
      <c r="P188" s="34">
        <f>ROUND(O188/产出与消耗!T44,4)</f>
        <v>9.5899999999999999E-2</v>
      </c>
      <c r="Q188" s="1">
        <v>200</v>
      </c>
      <c r="R188" s="69">
        <f t="shared" si="48"/>
        <v>7650000</v>
      </c>
      <c r="S188" s="34">
        <f>ROUND(R188/产出与消耗!T66,4)</f>
        <v>4.9599999999999998E-2</v>
      </c>
      <c r="T188" s="64">
        <f t="shared" si="49"/>
        <v>0.1951</v>
      </c>
      <c r="U188"/>
      <c r="V188"/>
      <c r="W188"/>
    </row>
    <row r="189" spans="1:23">
      <c r="B189">
        <v>20</v>
      </c>
      <c r="C189">
        <v>45000</v>
      </c>
      <c r="D189" s="1">
        <v>12</v>
      </c>
      <c r="E189">
        <f>ROUND(D189*C189/3600/(建筑!G105*基本公式!$B$153),2)</f>
        <v>15</v>
      </c>
      <c r="F189" s="1">
        <v>20</v>
      </c>
      <c r="G189" s="69">
        <f t="shared" si="45"/>
        <v>900000</v>
      </c>
      <c r="K189" s="1">
        <v>300</v>
      </c>
      <c r="L189" s="69">
        <f t="shared" si="46"/>
        <v>13500000</v>
      </c>
      <c r="M189" s="34">
        <f>ROUND(L189/产出与消耗!T23,4)</f>
        <v>4.0399999999999998E-2</v>
      </c>
      <c r="N189" s="1">
        <v>580</v>
      </c>
      <c r="O189" s="69">
        <f t="shared" si="47"/>
        <v>26100000</v>
      </c>
      <c r="P189" s="34">
        <f>ROUND(O189/产出与消耗!T45,4)</f>
        <v>7.8100000000000003E-2</v>
      </c>
      <c r="Q189" s="1">
        <v>200</v>
      </c>
      <c r="R189" s="69">
        <f t="shared" si="48"/>
        <v>9000000</v>
      </c>
      <c r="S189" s="34">
        <f>ROUND(R189/产出与消耗!T67,4)</f>
        <v>4.0399999999999998E-2</v>
      </c>
      <c r="T189" s="64">
        <f t="shared" si="49"/>
        <v>0.15889999999999999</v>
      </c>
      <c r="U189"/>
      <c r="V189"/>
      <c r="W189"/>
    </row>
    <row r="190" spans="1:23">
      <c r="K190"/>
      <c r="M190"/>
      <c r="N190"/>
      <c r="P190"/>
      <c r="Q190"/>
      <c r="S190"/>
      <c r="T190"/>
      <c r="U190"/>
      <c r="V190"/>
      <c r="W190"/>
    </row>
    <row r="191" spans="1:23">
      <c r="A191" t="s">
        <v>210</v>
      </c>
      <c r="B191">
        <v>1</v>
      </c>
      <c r="C191">
        <f>MAX(ROUND(C192-(C193-C192)/(产出与消耗!$K$6-产出与消耗!$K$5)*(产出与消耗!$K$5-产出与消耗!$K$4)*1.048,0),0)</f>
        <v>0</v>
      </c>
      <c r="D191" s="1">
        <v>9</v>
      </c>
      <c r="E191">
        <f>ROUND(D191*C191/3600/(建筑!G86*基本公式!$B$153),2)</f>
        <v>0</v>
      </c>
      <c r="F191" s="1">
        <f>F107*1.4</f>
        <v>21</v>
      </c>
      <c r="G191" s="69">
        <f t="shared" ref="G191:G210" si="50">F191*C191</f>
        <v>0</v>
      </c>
      <c r="K191" s="1">
        <v>230</v>
      </c>
      <c r="L191" s="69">
        <f t="shared" ref="L191:L210" si="51">ROUND(K191*C191,0)</f>
        <v>0</v>
      </c>
      <c r="M191" s="34">
        <f>ROUND(L191/产出与消耗!T4,4)</f>
        <v>0</v>
      </c>
      <c r="N191" s="1">
        <v>335</v>
      </c>
      <c r="O191" s="69">
        <f t="shared" ref="O191:O210" si="52">ROUND(N191*C191,0)</f>
        <v>0</v>
      </c>
      <c r="P191" s="34">
        <f>ROUND(O191/产出与消耗!T26,4)</f>
        <v>0</v>
      </c>
      <c r="Q191" s="1">
        <v>410</v>
      </c>
      <c r="R191" s="69">
        <f t="shared" ref="R191:R210" si="53">ROUND(Q191*C191,0)</f>
        <v>0</v>
      </c>
      <c r="S191" s="34">
        <f>ROUND(R191/产出与消耗!T48,4)</f>
        <v>0</v>
      </c>
      <c r="T191" s="64">
        <f>M191+P191+S191</f>
        <v>0</v>
      </c>
      <c r="U191"/>
      <c r="V191"/>
      <c r="W191"/>
    </row>
    <row r="192" spans="1:23">
      <c r="B192">
        <v>2</v>
      </c>
      <c r="C192">
        <f>MAX(ROUND(C193-(C194-C193)/(产出与消耗!$K$7-产出与消耗!$K$6)*(产出与消耗!$K$6-产出与消耗!$K$5)*1.048,0),0)</f>
        <v>0</v>
      </c>
      <c r="D192" s="1">
        <v>9</v>
      </c>
      <c r="E192">
        <f>ROUND(D192*C192/3600/(建筑!G87*基本公式!$B$153),2)</f>
        <v>0</v>
      </c>
      <c r="F192" s="1">
        <f t="shared" ref="F192:F210" si="54">F108*1.4</f>
        <v>21</v>
      </c>
      <c r="G192" s="69">
        <f t="shared" si="50"/>
        <v>0</v>
      </c>
      <c r="K192" s="1">
        <v>230</v>
      </c>
      <c r="L192" s="69">
        <f t="shared" si="51"/>
        <v>0</v>
      </c>
      <c r="M192" s="34">
        <f>ROUND(L192/产出与消耗!T5,4)</f>
        <v>0</v>
      </c>
      <c r="N192" s="1">
        <v>335</v>
      </c>
      <c r="O192" s="69">
        <f t="shared" si="52"/>
        <v>0</v>
      </c>
      <c r="P192" s="34">
        <f>ROUND(O192/产出与消耗!T27,4)</f>
        <v>0</v>
      </c>
      <c r="Q192" s="1">
        <v>410</v>
      </c>
      <c r="R192" s="69">
        <f t="shared" si="53"/>
        <v>0</v>
      </c>
      <c r="S192" s="34">
        <f>ROUND(R192/产出与消耗!T49,4)</f>
        <v>0</v>
      </c>
      <c r="T192" s="64">
        <f t="shared" ref="T192:T210" si="55">M192+P192+S192</f>
        <v>0</v>
      </c>
      <c r="U192"/>
      <c r="V192"/>
      <c r="W192"/>
    </row>
    <row r="193" spans="1:23">
      <c r="B193">
        <v>3</v>
      </c>
      <c r="C193">
        <f>MAX(ROUND(C194-(C195-C194)/(产出与消耗!$K$8-产出与消耗!$K$7)*(产出与消耗!$K$7-产出与消耗!$K$6)*1.048,0),0)</f>
        <v>0</v>
      </c>
      <c r="D193" s="1">
        <v>9</v>
      </c>
      <c r="E193">
        <f>ROUND(D193*C193/3600/(建筑!G88*基本公式!$B$153),2)</f>
        <v>0</v>
      </c>
      <c r="F193" s="1">
        <f t="shared" si="54"/>
        <v>21</v>
      </c>
      <c r="G193" s="69">
        <f t="shared" si="50"/>
        <v>0</v>
      </c>
      <c r="K193" s="1">
        <v>230</v>
      </c>
      <c r="L193" s="69">
        <f t="shared" si="51"/>
        <v>0</v>
      </c>
      <c r="M193" s="34">
        <f>ROUND(L193/产出与消耗!T6,4)</f>
        <v>0</v>
      </c>
      <c r="N193" s="1">
        <v>335</v>
      </c>
      <c r="O193" s="69">
        <f t="shared" si="52"/>
        <v>0</v>
      </c>
      <c r="P193" s="34">
        <f>ROUND(O193/产出与消耗!T28,4)</f>
        <v>0</v>
      </c>
      <c r="Q193" s="1">
        <v>410</v>
      </c>
      <c r="R193" s="69">
        <f t="shared" si="53"/>
        <v>0</v>
      </c>
      <c r="S193" s="34">
        <f>ROUND(R193/产出与消耗!T50,4)</f>
        <v>0</v>
      </c>
      <c r="T193" s="64">
        <f t="shared" si="55"/>
        <v>0</v>
      </c>
      <c r="U193"/>
      <c r="V193"/>
      <c r="W193"/>
    </row>
    <row r="194" spans="1:23">
      <c r="B194">
        <v>4</v>
      </c>
      <c r="C194">
        <f>MAX(ROUND(C195-(C196-C195)/(产出与消耗!$K$9-产出与消耗!$K$8)*(产出与消耗!$K$8-产出与消耗!$K$7)*1.048,0),0)</f>
        <v>0</v>
      </c>
      <c r="D194" s="1">
        <v>9</v>
      </c>
      <c r="E194">
        <f>ROUND(D194*C194/3600/(建筑!G89*基本公式!$B$153),2)</f>
        <v>0</v>
      </c>
      <c r="F194" s="1">
        <f t="shared" si="54"/>
        <v>21</v>
      </c>
      <c r="G194" s="69">
        <f t="shared" si="50"/>
        <v>0</v>
      </c>
      <c r="K194" s="1">
        <v>230</v>
      </c>
      <c r="L194" s="69">
        <f t="shared" si="51"/>
        <v>0</v>
      </c>
      <c r="M194" s="34">
        <f>ROUND(L194/产出与消耗!T7,4)</f>
        <v>0</v>
      </c>
      <c r="N194" s="1">
        <v>335</v>
      </c>
      <c r="O194" s="69">
        <f t="shared" si="52"/>
        <v>0</v>
      </c>
      <c r="P194" s="34">
        <f>ROUND(O194/产出与消耗!T29,4)</f>
        <v>0</v>
      </c>
      <c r="Q194" s="1">
        <v>410</v>
      </c>
      <c r="R194" s="69">
        <f t="shared" si="53"/>
        <v>0</v>
      </c>
      <c r="S194" s="34">
        <f>ROUND(R194/产出与消耗!T51,4)</f>
        <v>0</v>
      </c>
      <c r="T194" s="64">
        <f t="shared" si="55"/>
        <v>0</v>
      </c>
      <c r="U194"/>
      <c r="V194"/>
      <c r="W194"/>
    </row>
    <row r="195" spans="1:23">
      <c r="B195">
        <v>5</v>
      </c>
      <c r="C195">
        <f>MAX(ROUND(C196-(C197-C196)/(产出与消耗!$K$10-产出与消耗!$K$9)*(产出与消耗!$K$9-产出与消耗!$K$8)*1.048,0),0)</f>
        <v>0</v>
      </c>
      <c r="D195" s="1">
        <v>9</v>
      </c>
      <c r="E195">
        <f>ROUND(D195*C195/3600/(建筑!G90*基本公式!$B$153),2)</f>
        <v>0</v>
      </c>
      <c r="F195" s="1">
        <f t="shared" si="54"/>
        <v>21</v>
      </c>
      <c r="G195" s="69">
        <f t="shared" si="50"/>
        <v>0</v>
      </c>
      <c r="K195" s="1">
        <v>230</v>
      </c>
      <c r="L195" s="69">
        <f t="shared" si="51"/>
        <v>0</v>
      </c>
      <c r="M195" s="34">
        <f>ROUND(L195/产出与消耗!T8,4)</f>
        <v>0</v>
      </c>
      <c r="N195" s="1">
        <v>335</v>
      </c>
      <c r="O195" s="69">
        <f t="shared" si="52"/>
        <v>0</v>
      </c>
      <c r="P195" s="34">
        <f>ROUND(O195/产出与消耗!T30,4)</f>
        <v>0</v>
      </c>
      <c r="Q195" s="1">
        <v>410</v>
      </c>
      <c r="R195" s="69">
        <f t="shared" si="53"/>
        <v>0</v>
      </c>
      <c r="S195" s="34">
        <f>ROUND(R195/产出与消耗!T52,4)</f>
        <v>0</v>
      </c>
      <c r="T195" s="64">
        <f t="shared" si="55"/>
        <v>0</v>
      </c>
      <c r="U195"/>
      <c r="V195"/>
      <c r="W195"/>
    </row>
    <row r="196" spans="1:23">
      <c r="B196">
        <v>6</v>
      </c>
      <c r="C196">
        <f>MAX(ROUND(C197-(C198-C197)/(产出与消耗!$K$11-产出与消耗!$K$10)*(产出与消耗!$K$10-产出与消耗!$K$9)*1.048,0),0)</f>
        <v>0</v>
      </c>
      <c r="D196" s="1">
        <v>9</v>
      </c>
      <c r="E196">
        <f>ROUND(D196*C196/3600/(建筑!G91*基本公式!$B$153),2)</f>
        <v>0</v>
      </c>
      <c r="F196" s="1">
        <f t="shared" si="54"/>
        <v>21</v>
      </c>
      <c r="G196" s="69">
        <f t="shared" si="50"/>
        <v>0</v>
      </c>
      <c r="K196" s="1">
        <v>230</v>
      </c>
      <c r="L196" s="69">
        <f t="shared" si="51"/>
        <v>0</v>
      </c>
      <c r="M196" s="34">
        <f>ROUND(L196/产出与消耗!T9,4)</f>
        <v>0</v>
      </c>
      <c r="N196" s="1">
        <v>335</v>
      </c>
      <c r="O196" s="69">
        <f t="shared" si="52"/>
        <v>0</v>
      </c>
      <c r="P196" s="34">
        <f>ROUND(O196/产出与消耗!T31,4)</f>
        <v>0</v>
      </c>
      <c r="Q196" s="1">
        <v>410</v>
      </c>
      <c r="R196" s="69">
        <f t="shared" si="53"/>
        <v>0</v>
      </c>
      <c r="S196" s="34">
        <f>ROUND(R196/产出与消耗!T53,4)</f>
        <v>0</v>
      </c>
      <c r="T196" s="64">
        <f t="shared" si="55"/>
        <v>0</v>
      </c>
      <c r="U196"/>
      <c r="V196"/>
      <c r="W196"/>
    </row>
    <row r="197" spans="1:23">
      <c r="B197">
        <v>7</v>
      </c>
      <c r="C197">
        <f>MAX(ROUND(C198-(C199-C198)/(产出与消耗!$K$12-产出与消耗!$K$11)*(产出与消耗!$K$11-产出与消耗!$K$10)*1.048,0),0)</f>
        <v>0</v>
      </c>
      <c r="D197" s="1">
        <v>9</v>
      </c>
      <c r="E197">
        <f>ROUND(D197*C197/3600/(建筑!G92*基本公式!$B$153),2)</f>
        <v>0</v>
      </c>
      <c r="F197" s="1">
        <f t="shared" si="54"/>
        <v>21</v>
      </c>
      <c r="G197" s="69">
        <f t="shared" si="50"/>
        <v>0</v>
      </c>
      <c r="K197" s="1">
        <v>230</v>
      </c>
      <c r="L197" s="69">
        <f t="shared" si="51"/>
        <v>0</v>
      </c>
      <c r="M197" s="34">
        <f>ROUND(L197/产出与消耗!T10,4)</f>
        <v>0</v>
      </c>
      <c r="N197" s="1">
        <v>335</v>
      </c>
      <c r="O197" s="69">
        <f t="shared" si="52"/>
        <v>0</v>
      </c>
      <c r="P197" s="34">
        <f>ROUND(O197/产出与消耗!T32,4)</f>
        <v>0</v>
      </c>
      <c r="Q197" s="1">
        <v>410</v>
      </c>
      <c r="R197" s="69">
        <f t="shared" si="53"/>
        <v>0</v>
      </c>
      <c r="S197" s="34">
        <f>ROUND(R197/产出与消耗!T54,4)</f>
        <v>0</v>
      </c>
      <c r="T197" s="64">
        <f t="shared" si="55"/>
        <v>0</v>
      </c>
      <c r="U197"/>
      <c r="V197"/>
      <c r="W197"/>
    </row>
    <row r="198" spans="1:23">
      <c r="A198" s="11"/>
      <c r="B198">
        <v>8</v>
      </c>
      <c r="C198">
        <f>MAX(ROUND(C199-(C200-C199)/(产出与消耗!$K$13-产出与消耗!$K$12)*(产出与消耗!$K$12-产出与消耗!$K$11)*1.048,0),0)</f>
        <v>0</v>
      </c>
      <c r="D198" s="1">
        <v>9</v>
      </c>
      <c r="E198">
        <f>ROUND(D198*C198/3600/(建筑!G93*基本公式!$B$153),2)</f>
        <v>0</v>
      </c>
      <c r="F198" s="1">
        <f t="shared" si="54"/>
        <v>21</v>
      </c>
      <c r="G198" s="69">
        <f t="shared" si="50"/>
        <v>0</v>
      </c>
      <c r="K198" s="1">
        <v>230</v>
      </c>
      <c r="L198" s="69">
        <f t="shared" si="51"/>
        <v>0</v>
      </c>
      <c r="M198" s="34">
        <f>ROUND(L198/产出与消耗!T11,4)</f>
        <v>0</v>
      </c>
      <c r="N198" s="1">
        <v>335</v>
      </c>
      <c r="O198" s="69">
        <f t="shared" si="52"/>
        <v>0</v>
      </c>
      <c r="P198" s="34">
        <f>ROUND(O198/产出与消耗!T33,4)</f>
        <v>0</v>
      </c>
      <c r="Q198" s="1">
        <v>410</v>
      </c>
      <c r="R198" s="69">
        <f t="shared" si="53"/>
        <v>0</v>
      </c>
      <c r="S198" s="34">
        <f>ROUND(R198/产出与消耗!T55,4)</f>
        <v>0</v>
      </c>
      <c r="T198" s="64">
        <f t="shared" si="55"/>
        <v>0</v>
      </c>
      <c r="U198"/>
      <c r="V198"/>
      <c r="W198"/>
    </row>
    <row r="199" spans="1:23">
      <c r="B199">
        <v>9</v>
      </c>
      <c r="C199">
        <f>MAX(ROUND(C200-(C201-C200)/(产出与消耗!$K$14-产出与消耗!$K$13)*(产出与消耗!$K$13-产出与消耗!$K$12)*1.048,0),0)</f>
        <v>0</v>
      </c>
      <c r="D199" s="1">
        <v>9</v>
      </c>
      <c r="E199">
        <f>ROUND(D199*C199/3600/(建筑!G94*基本公式!$B$153),2)</f>
        <v>0</v>
      </c>
      <c r="F199" s="1">
        <f t="shared" si="54"/>
        <v>21</v>
      </c>
      <c r="G199" s="69">
        <f t="shared" si="50"/>
        <v>0</v>
      </c>
      <c r="K199" s="1">
        <v>230</v>
      </c>
      <c r="L199" s="69">
        <f t="shared" si="51"/>
        <v>0</v>
      </c>
      <c r="M199" s="34">
        <f>ROUND(L199/产出与消耗!T12,4)</f>
        <v>0</v>
      </c>
      <c r="N199" s="1">
        <v>335</v>
      </c>
      <c r="O199" s="69">
        <f t="shared" si="52"/>
        <v>0</v>
      </c>
      <c r="P199" s="34">
        <f>ROUND(O199/产出与消耗!T34,4)</f>
        <v>0</v>
      </c>
      <c r="Q199" s="1">
        <v>410</v>
      </c>
      <c r="R199" s="69">
        <f t="shared" si="53"/>
        <v>0</v>
      </c>
      <c r="S199" s="34">
        <f>ROUND(R199/产出与消耗!T56,4)</f>
        <v>0</v>
      </c>
      <c r="T199" s="64">
        <f t="shared" si="55"/>
        <v>0</v>
      </c>
      <c r="U199"/>
      <c r="V199"/>
      <c r="W199"/>
    </row>
    <row r="200" spans="1:23">
      <c r="A200" s="38" t="s">
        <v>133</v>
      </c>
      <c r="B200">
        <v>10</v>
      </c>
      <c r="C200">
        <f>MAX(ROUND(C201-(C202-C201)/(产出与消耗!$K$15-产出与消耗!$K$14)*(产出与消耗!$K$14-产出与消耗!$K$13)*1.048,0),0)</f>
        <v>151</v>
      </c>
      <c r="D200" s="1">
        <v>9</v>
      </c>
      <c r="E200">
        <f>ROUND(D200*C200/3600/(建筑!G95*基本公式!$B$153),2)</f>
        <v>0.09</v>
      </c>
      <c r="F200" s="1">
        <f t="shared" si="54"/>
        <v>21</v>
      </c>
      <c r="G200" s="69">
        <f t="shared" si="50"/>
        <v>3171</v>
      </c>
      <c r="K200" s="1">
        <v>230</v>
      </c>
      <c r="L200" s="69">
        <f t="shared" si="51"/>
        <v>34730</v>
      </c>
      <c r="M200" s="34">
        <f>ROUND(L200/产出与消耗!T13,4)</f>
        <v>1.77E-2</v>
      </c>
      <c r="N200" s="1">
        <v>335</v>
      </c>
      <c r="O200" s="69">
        <f t="shared" si="52"/>
        <v>50585</v>
      </c>
      <c r="P200" s="34">
        <f>ROUND(O200/产出与消耗!T35,4)</f>
        <v>2.58E-2</v>
      </c>
      <c r="Q200" s="1">
        <v>410</v>
      </c>
      <c r="R200" s="69">
        <f t="shared" si="53"/>
        <v>61910</v>
      </c>
      <c r="S200" s="34">
        <f>ROUND(R200/产出与消耗!T57,4)</f>
        <v>4.7199999999999999E-2</v>
      </c>
      <c r="T200" s="64">
        <f t="shared" si="55"/>
        <v>9.0700000000000003E-2</v>
      </c>
      <c r="U200"/>
      <c r="V200"/>
      <c r="W200"/>
    </row>
    <row r="201" spans="1:23">
      <c r="B201">
        <v>11</v>
      </c>
      <c r="C201">
        <f>MAX(ROUND(C202-(C203-C202)/(产出与消耗!$K$16-产出与消耗!$K$15)*(产出与消耗!$K$15-产出与消耗!$K$14)*1.048,0),0)</f>
        <v>2381</v>
      </c>
      <c r="D201" s="1">
        <v>9</v>
      </c>
      <c r="E201">
        <f>ROUND(D201*C201/3600/(建筑!G96*基本公式!$B$153),2)</f>
        <v>1.49</v>
      </c>
      <c r="F201" s="1">
        <f t="shared" si="54"/>
        <v>21</v>
      </c>
      <c r="G201" s="69">
        <f t="shared" si="50"/>
        <v>50001</v>
      </c>
      <c r="K201" s="1">
        <v>230</v>
      </c>
      <c r="L201" s="69">
        <f t="shared" si="51"/>
        <v>547630</v>
      </c>
      <c r="M201" s="34">
        <f>ROUND(L201/产出与消耗!T14,4)</f>
        <v>0.13800000000000001</v>
      </c>
      <c r="N201" s="1">
        <v>335</v>
      </c>
      <c r="O201" s="69">
        <f t="shared" si="52"/>
        <v>797635</v>
      </c>
      <c r="P201" s="34">
        <f>ROUND(O201/产出与消耗!T36,4)</f>
        <v>0.20100000000000001</v>
      </c>
      <c r="Q201" s="1">
        <v>410</v>
      </c>
      <c r="R201" s="69">
        <f t="shared" si="53"/>
        <v>976210</v>
      </c>
      <c r="S201" s="34">
        <f>ROUND(R201/产出与消耗!T58,4)</f>
        <v>0.36899999999999999</v>
      </c>
      <c r="T201" s="64">
        <f t="shared" si="55"/>
        <v>0.70799999999999996</v>
      </c>
      <c r="U201"/>
      <c r="V201"/>
      <c r="W201"/>
    </row>
    <row r="202" spans="1:23">
      <c r="B202">
        <v>12</v>
      </c>
      <c r="C202">
        <f>MAX(ROUND(C203-(C204-C203)/(产出与消耗!$K$17-产出与消耗!$K$16)*(产出与消耗!$K$16-产出与消耗!$K$15)*1.048,0),0)</f>
        <v>7947</v>
      </c>
      <c r="D202" s="1">
        <v>9</v>
      </c>
      <c r="E202">
        <f>ROUND(D202*C202/3600/(建筑!G97*基本公式!$B$153),2)</f>
        <v>3.31</v>
      </c>
      <c r="F202" s="1">
        <f t="shared" si="54"/>
        <v>21</v>
      </c>
      <c r="G202" s="69">
        <f t="shared" si="50"/>
        <v>166887</v>
      </c>
      <c r="K202" s="1">
        <v>230</v>
      </c>
      <c r="L202" s="69">
        <f t="shared" si="51"/>
        <v>1827810</v>
      </c>
      <c r="M202" s="34">
        <f>ROUND(L202/产出与消耗!T15,4)</f>
        <v>0.20649999999999999</v>
      </c>
      <c r="N202" s="1">
        <v>335</v>
      </c>
      <c r="O202" s="69">
        <f t="shared" si="52"/>
        <v>2662245</v>
      </c>
      <c r="P202" s="34">
        <f>ROUND(O202/产出与消耗!T37,4)</f>
        <v>0.30070000000000002</v>
      </c>
      <c r="Q202" s="1">
        <v>410</v>
      </c>
      <c r="R202" s="69">
        <f t="shared" si="53"/>
        <v>3258270</v>
      </c>
      <c r="S202" s="34">
        <f>ROUND(R202/产出与消耗!T59,4)</f>
        <v>0.55210000000000004</v>
      </c>
      <c r="T202" s="64">
        <f t="shared" si="55"/>
        <v>1.0592999999999999</v>
      </c>
      <c r="U202"/>
      <c r="V202"/>
      <c r="W202"/>
    </row>
    <row r="203" spans="1:23">
      <c r="A203" s="11"/>
      <c r="B203">
        <v>13</v>
      </c>
      <c r="C203">
        <f>MAX(ROUND(C204-(C205-C204)/(产出与消耗!$K$18-产出与消耗!$K$17)*(产出与消耗!$K$17-产出与消耗!$K$16)*1.048,0),0)</f>
        <v>12477</v>
      </c>
      <c r="D203" s="1">
        <v>9</v>
      </c>
      <c r="E203">
        <f>ROUND(D203*C203/3600/(建筑!G98*基本公式!$B$153),2)</f>
        <v>5.2</v>
      </c>
      <c r="F203" s="1">
        <f t="shared" si="54"/>
        <v>21</v>
      </c>
      <c r="G203" s="69">
        <f t="shared" si="50"/>
        <v>262017</v>
      </c>
      <c r="K203" s="1">
        <v>230</v>
      </c>
      <c r="L203" s="69">
        <f t="shared" si="51"/>
        <v>2869710</v>
      </c>
      <c r="M203" s="34">
        <f>ROUND(L203/产出与消耗!T16,4)</f>
        <v>0.1671</v>
      </c>
      <c r="N203" s="1">
        <v>335</v>
      </c>
      <c r="O203" s="69">
        <f t="shared" si="52"/>
        <v>4179795</v>
      </c>
      <c r="P203" s="34">
        <f>ROUND(O203/产出与消耗!T38,4)</f>
        <v>0.24340000000000001</v>
      </c>
      <c r="Q203" s="1">
        <v>410</v>
      </c>
      <c r="R203" s="69">
        <f t="shared" si="53"/>
        <v>5115570</v>
      </c>
      <c r="S203" s="34">
        <f>ROUND(R203/产出与消耗!T60,4)</f>
        <v>0.44690000000000002</v>
      </c>
      <c r="T203" s="64">
        <f t="shared" si="55"/>
        <v>0.85739999999999994</v>
      </c>
      <c r="U203"/>
      <c r="V203"/>
      <c r="W203"/>
    </row>
    <row r="204" spans="1:23">
      <c r="A204" s="39" t="s">
        <v>134</v>
      </c>
      <c r="B204">
        <v>14</v>
      </c>
      <c r="C204">
        <f>MAX(ROUND(C205-(C206-C205)/(产出与消耗!$K$19-产出与消耗!$K$18)*(产出与消耗!$K$18-产出与消耗!$K$17)*1.048,0),0)</f>
        <v>16352</v>
      </c>
      <c r="D204" s="1">
        <v>9</v>
      </c>
      <c r="E204">
        <f>ROUND(D204*C204/3600/(建筑!G99*基本公式!$B$153),2)</f>
        <v>6.81</v>
      </c>
      <c r="F204" s="1">
        <f t="shared" si="54"/>
        <v>21</v>
      </c>
      <c r="G204" s="69">
        <f t="shared" si="50"/>
        <v>343392</v>
      </c>
      <c r="K204" s="1">
        <v>230</v>
      </c>
      <c r="L204" s="69">
        <f t="shared" si="51"/>
        <v>3760960</v>
      </c>
      <c r="M204" s="34">
        <f>ROUND(L204/产出与消耗!T17,4)</f>
        <v>0.127</v>
      </c>
      <c r="N204" s="1">
        <v>335</v>
      </c>
      <c r="O204" s="69">
        <f t="shared" si="52"/>
        <v>5477920</v>
      </c>
      <c r="P204" s="34">
        <f>ROUND(O204/产出与消耗!T39,4)</f>
        <v>0.185</v>
      </c>
      <c r="Q204" s="1">
        <v>410</v>
      </c>
      <c r="R204" s="69">
        <f t="shared" si="53"/>
        <v>6704320</v>
      </c>
      <c r="S204" s="34">
        <f>ROUND(R204/产出与消耗!T61,4)</f>
        <v>0.33960000000000001</v>
      </c>
      <c r="T204" s="64">
        <f t="shared" si="55"/>
        <v>0.65159999999999996</v>
      </c>
      <c r="U204"/>
      <c r="V204"/>
      <c r="W204"/>
    </row>
    <row r="205" spans="1:23">
      <c r="B205">
        <v>15</v>
      </c>
      <c r="C205">
        <f>MAX(ROUND(C206-(C207-C206)/(产出与消耗!$K$20-产出与消耗!$K$19)*(产出与消耗!$K$19-产出与消耗!$K$18)*1.048,0),0)</f>
        <v>20618</v>
      </c>
      <c r="D205" s="1">
        <v>9</v>
      </c>
      <c r="E205">
        <f>ROUND(D205*C205/3600/(建筑!G100*基本公式!$B$153),2)</f>
        <v>8.59</v>
      </c>
      <c r="F205" s="1">
        <f t="shared" si="54"/>
        <v>21</v>
      </c>
      <c r="G205" s="69">
        <f t="shared" si="50"/>
        <v>432978</v>
      </c>
      <c r="K205" s="1">
        <v>230</v>
      </c>
      <c r="L205" s="69">
        <f t="shared" si="51"/>
        <v>4742140</v>
      </c>
      <c r="M205" s="34">
        <f>ROUND(L205/产出与消耗!T18,4)</f>
        <v>9.7600000000000006E-2</v>
      </c>
      <c r="N205" s="1">
        <v>335</v>
      </c>
      <c r="O205" s="69">
        <f t="shared" si="52"/>
        <v>6907030</v>
      </c>
      <c r="P205" s="34">
        <f>ROUND(O205/产出与消耗!T40,4)</f>
        <v>0.1421</v>
      </c>
      <c r="Q205" s="1">
        <v>410</v>
      </c>
      <c r="R205" s="69">
        <f t="shared" si="53"/>
        <v>8453380</v>
      </c>
      <c r="S205" s="34">
        <f>ROUND(R205/产出与消耗!T62,4)</f>
        <v>0.26090000000000002</v>
      </c>
      <c r="T205" s="64">
        <f t="shared" si="55"/>
        <v>0.50060000000000004</v>
      </c>
      <c r="U205"/>
      <c r="V205"/>
      <c r="W205"/>
    </row>
    <row r="206" spans="1:23">
      <c r="B206">
        <v>16</v>
      </c>
      <c r="C206">
        <f>MAX(ROUND(C207-(C208-C207)/(产出与消耗!$K$21-产出与消耗!$K$20)*(产出与消耗!$K$20-产出与消耗!$K$19)*1.048,0),0)</f>
        <v>24689</v>
      </c>
      <c r="D206" s="1">
        <v>9</v>
      </c>
      <c r="E206">
        <f>ROUND(D206*C206/3600/(建筑!G101*基本公式!$B$153),2)</f>
        <v>7.72</v>
      </c>
      <c r="F206" s="1">
        <f t="shared" si="54"/>
        <v>21</v>
      </c>
      <c r="G206" s="69">
        <f t="shared" si="50"/>
        <v>518469</v>
      </c>
      <c r="K206" s="1">
        <v>230</v>
      </c>
      <c r="L206" s="69">
        <f t="shared" si="51"/>
        <v>5678470</v>
      </c>
      <c r="M206" s="34">
        <f>ROUND(L206/产出与消耗!T19,4)</f>
        <v>7.5499999999999998E-2</v>
      </c>
      <c r="N206" s="1">
        <v>335</v>
      </c>
      <c r="O206" s="69">
        <f t="shared" si="52"/>
        <v>8270815</v>
      </c>
      <c r="P206" s="34">
        <f>ROUND(O206/产出与消耗!T41,4)</f>
        <v>0.11</v>
      </c>
      <c r="Q206" s="1">
        <v>410</v>
      </c>
      <c r="R206" s="69">
        <f t="shared" si="53"/>
        <v>10122490</v>
      </c>
      <c r="S206" s="34">
        <f>ROUND(R206/产出与消耗!T63,4)</f>
        <v>0.20200000000000001</v>
      </c>
      <c r="T206" s="64">
        <f t="shared" si="55"/>
        <v>0.38750000000000001</v>
      </c>
      <c r="U206"/>
      <c r="V206"/>
      <c r="W206"/>
    </row>
    <row r="207" spans="1:23">
      <c r="B207">
        <v>17</v>
      </c>
      <c r="C207">
        <f>MAX(ROUND(C208-(C209-C208)/(产出与消耗!$K$22-产出与消耗!$K$21)*(产出与消耗!$K$21-产出与消耗!$K$20)*1.048,0),0)</f>
        <v>28962</v>
      </c>
      <c r="D207" s="1">
        <v>9</v>
      </c>
      <c r="E207">
        <f>ROUND(D207*C207/3600/(建筑!G102*基本公式!$B$153),2)</f>
        <v>9.0500000000000007</v>
      </c>
      <c r="F207" s="1">
        <f t="shared" si="54"/>
        <v>21</v>
      </c>
      <c r="G207" s="69">
        <f t="shared" si="50"/>
        <v>608202</v>
      </c>
      <c r="K207" s="1">
        <v>230</v>
      </c>
      <c r="L207" s="69">
        <f t="shared" si="51"/>
        <v>6661260</v>
      </c>
      <c r="M207" s="34">
        <f>ROUND(L207/产出与消耗!T20,4)</f>
        <v>5.9299999999999999E-2</v>
      </c>
      <c r="N207" s="1">
        <v>335</v>
      </c>
      <c r="O207" s="69">
        <f t="shared" si="52"/>
        <v>9702270</v>
      </c>
      <c r="P207" s="34">
        <f>ROUND(O207/产出与消耗!T42,4)</f>
        <v>8.6400000000000005E-2</v>
      </c>
      <c r="Q207" s="1">
        <v>410</v>
      </c>
      <c r="R207" s="69">
        <f t="shared" si="53"/>
        <v>11874420</v>
      </c>
      <c r="S207" s="34">
        <f>ROUND(R207/产出与消耗!T64,4)</f>
        <v>0.15859999999999999</v>
      </c>
      <c r="T207" s="64">
        <f t="shared" si="55"/>
        <v>0.30430000000000001</v>
      </c>
      <c r="U207"/>
      <c r="V207"/>
      <c r="W207"/>
    </row>
    <row r="208" spans="1:23">
      <c r="B208">
        <v>18</v>
      </c>
      <c r="C208">
        <f>MAX(ROUND(C209-(C210-C209)/(产出与消耗!$K$23-产出与消耗!$K$22)*(产出与消耗!$K$22-产出与消耗!$K$21)*1.048,0),0)</f>
        <v>33534</v>
      </c>
      <c r="D208" s="1">
        <v>9</v>
      </c>
      <c r="E208">
        <f>ROUND(D208*C208/3600/(建筑!G103*基本公式!$B$153),2)</f>
        <v>10.48</v>
      </c>
      <c r="F208" s="1">
        <f t="shared" si="54"/>
        <v>21</v>
      </c>
      <c r="G208" s="69">
        <f t="shared" si="50"/>
        <v>704214</v>
      </c>
      <c r="K208" s="1">
        <v>230</v>
      </c>
      <c r="L208" s="69">
        <f t="shared" si="51"/>
        <v>7712820</v>
      </c>
      <c r="M208" s="34">
        <f>ROUND(L208/产出与消耗!T21,4)</f>
        <v>4.7199999999999999E-2</v>
      </c>
      <c r="N208" s="1">
        <v>335</v>
      </c>
      <c r="O208" s="69">
        <f t="shared" si="52"/>
        <v>11233890</v>
      </c>
      <c r="P208" s="34">
        <f>ROUND(O208/产出与消耗!T43,4)</f>
        <v>6.88E-2</v>
      </c>
      <c r="Q208" s="1">
        <v>410</v>
      </c>
      <c r="R208" s="69">
        <f t="shared" si="53"/>
        <v>13748940</v>
      </c>
      <c r="S208" s="34">
        <f>ROUND(R208/产出与消耗!T65,4)</f>
        <v>0.1263</v>
      </c>
      <c r="T208" s="64">
        <f t="shared" si="55"/>
        <v>0.24229999999999999</v>
      </c>
      <c r="U208"/>
      <c r="V208"/>
      <c r="W208"/>
    </row>
    <row r="209" spans="1:23">
      <c r="A209" s="40" t="s">
        <v>135</v>
      </c>
      <c r="B209">
        <v>19</v>
      </c>
      <c r="C209">
        <f>ROUND(产出与消耗!$K$22*C210/产出与消耗!$K$23,0)</f>
        <v>38250</v>
      </c>
      <c r="D209" s="1">
        <v>9</v>
      </c>
      <c r="E209">
        <f>ROUND(D209*C209/3600/(建筑!G104*基本公式!$B$153),2)</f>
        <v>11.95</v>
      </c>
      <c r="F209" s="1">
        <f t="shared" si="54"/>
        <v>21</v>
      </c>
      <c r="G209" s="69">
        <f t="shared" si="50"/>
        <v>803250</v>
      </c>
      <c r="K209" s="1">
        <v>230</v>
      </c>
      <c r="L209" s="69">
        <f t="shared" si="51"/>
        <v>8797500</v>
      </c>
      <c r="M209" s="34">
        <f>ROUND(L209/产出与消耗!T22,4)</f>
        <v>3.7999999999999999E-2</v>
      </c>
      <c r="N209" s="1">
        <v>335</v>
      </c>
      <c r="O209" s="69">
        <f t="shared" si="52"/>
        <v>12813750</v>
      </c>
      <c r="P209" s="34">
        <f>ROUND(O209/产出与消耗!T44,4)</f>
        <v>5.5399999999999998E-2</v>
      </c>
      <c r="Q209" s="1">
        <v>410</v>
      </c>
      <c r="R209" s="69">
        <f t="shared" si="53"/>
        <v>15682500</v>
      </c>
      <c r="S209" s="34">
        <f>ROUND(R209/产出与消耗!T66,4)</f>
        <v>0.1017</v>
      </c>
      <c r="T209" s="64">
        <f t="shared" si="55"/>
        <v>0.1951</v>
      </c>
      <c r="U209"/>
      <c r="V209"/>
      <c r="W209"/>
    </row>
    <row r="210" spans="1:23">
      <c r="B210">
        <v>20</v>
      </c>
      <c r="C210">
        <v>45000</v>
      </c>
      <c r="D210" s="1">
        <v>9</v>
      </c>
      <c r="E210">
        <f>ROUND(D210*C210/3600/(建筑!G105*基本公式!$B$153),2)</f>
        <v>11.25</v>
      </c>
      <c r="F210" s="1">
        <f t="shared" si="54"/>
        <v>21</v>
      </c>
      <c r="G210" s="69">
        <f t="shared" si="50"/>
        <v>945000</v>
      </c>
      <c r="K210" s="1">
        <v>230</v>
      </c>
      <c r="L210" s="69">
        <f t="shared" si="51"/>
        <v>10350000</v>
      </c>
      <c r="M210" s="34">
        <f>ROUND(L210/产出与消耗!T23,4)</f>
        <v>3.1E-2</v>
      </c>
      <c r="N210" s="1">
        <v>335</v>
      </c>
      <c r="O210" s="69">
        <f t="shared" si="52"/>
        <v>15075000</v>
      </c>
      <c r="P210" s="34">
        <f>ROUND(O210/产出与消耗!T45,4)</f>
        <v>4.5100000000000001E-2</v>
      </c>
      <c r="Q210" s="1">
        <v>410</v>
      </c>
      <c r="R210" s="69">
        <f t="shared" si="53"/>
        <v>18450000</v>
      </c>
      <c r="S210" s="34">
        <f>ROUND(R210/产出与消耗!T67,4)</f>
        <v>8.2799999999999999E-2</v>
      </c>
      <c r="T210" s="64">
        <f t="shared" si="55"/>
        <v>0.15889999999999999</v>
      </c>
      <c r="U210"/>
      <c r="V210"/>
      <c r="W210"/>
    </row>
    <row r="211" spans="1:23">
      <c r="K211"/>
      <c r="M211"/>
      <c r="N211"/>
      <c r="P211"/>
      <c r="Q211"/>
      <c r="S211"/>
      <c r="T211"/>
      <c r="U211"/>
      <c r="V211"/>
      <c r="W211"/>
    </row>
    <row r="212" spans="1:23">
      <c r="A212" t="s">
        <v>214</v>
      </c>
      <c r="B212">
        <v>1</v>
      </c>
      <c r="C212">
        <f>MAX(ROUND(C213-(C214-C213)/(产出与消耗!$K$6-产出与消耗!$K$5)*(产出与消耗!$K$5-产出与消耗!$K$4)*1.048,0),0)</f>
        <v>0</v>
      </c>
      <c r="D212" s="1">
        <v>5</v>
      </c>
      <c r="E212">
        <f>ROUND(D212*C212/3600/(建筑!G86*基本公式!$B$153),2)</f>
        <v>0</v>
      </c>
      <c r="F212" s="1">
        <v>25</v>
      </c>
      <c r="G212" s="69">
        <f t="shared" ref="G212:G231" si="56">F212*C212</f>
        <v>0</v>
      </c>
      <c r="K212" s="1">
        <v>570</v>
      </c>
      <c r="L212" s="69">
        <f t="shared" ref="L212:L231" si="57">ROUND(K212*C212,0)</f>
        <v>0</v>
      </c>
      <c r="M212" s="34">
        <f>ROUND(L212/产出与消耗!T4,4)</f>
        <v>0</v>
      </c>
      <c r="N212" s="1">
        <v>190</v>
      </c>
      <c r="O212" s="69">
        <f t="shared" ref="O212:O231" si="58">ROUND(N212*C212,0)</f>
        <v>0</v>
      </c>
      <c r="P212" s="34">
        <f>ROUND(O212/产出与消耗!T26,4)</f>
        <v>0</v>
      </c>
      <c r="Q212" s="1">
        <v>280</v>
      </c>
      <c r="R212" s="69">
        <f t="shared" ref="R212:R231" si="59">ROUND(Q212*C212,0)</f>
        <v>0</v>
      </c>
      <c r="S212" s="34">
        <f>ROUND(R212/产出与消耗!T48,4)</f>
        <v>0</v>
      </c>
      <c r="T212" s="64">
        <f>M212+P212+S212</f>
        <v>0</v>
      </c>
      <c r="U212"/>
      <c r="V212"/>
      <c r="W212"/>
    </row>
    <row r="213" spans="1:23">
      <c r="B213">
        <v>2</v>
      </c>
      <c r="C213">
        <f>MAX(ROUND(C214-(C215-C214)/(产出与消耗!$K$7-产出与消耗!$K$6)*(产出与消耗!$K$6-产出与消耗!$K$5)*1.048,0),0)</f>
        <v>0</v>
      </c>
      <c r="D213" s="1">
        <v>5</v>
      </c>
      <c r="E213">
        <f>ROUND(D213*C213/3600/(建筑!G87*基本公式!$B$153),2)</f>
        <v>0</v>
      </c>
      <c r="F213" s="1">
        <v>25</v>
      </c>
      <c r="G213" s="69">
        <f t="shared" si="56"/>
        <v>0</v>
      </c>
      <c r="K213" s="1">
        <v>570</v>
      </c>
      <c r="L213" s="69">
        <f t="shared" si="57"/>
        <v>0</v>
      </c>
      <c r="M213" s="34">
        <f>ROUND(L213/产出与消耗!T5,4)</f>
        <v>0</v>
      </c>
      <c r="N213" s="1">
        <v>190</v>
      </c>
      <c r="O213" s="69">
        <f t="shared" si="58"/>
        <v>0</v>
      </c>
      <c r="P213" s="34">
        <f>ROUND(O213/产出与消耗!T27,4)</f>
        <v>0</v>
      </c>
      <c r="Q213" s="1">
        <v>280</v>
      </c>
      <c r="R213" s="69">
        <f t="shared" si="59"/>
        <v>0</v>
      </c>
      <c r="S213" s="34">
        <f>ROUND(R213/产出与消耗!T49,4)</f>
        <v>0</v>
      </c>
      <c r="T213" s="64">
        <f t="shared" ref="T213:T231" si="60">M213+P213+S213</f>
        <v>0</v>
      </c>
      <c r="U213"/>
      <c r="V213"/>
      <c r="W213"/>
    </row>
    <row r="214" spans="1:23">
      <c r="B214">
        <v>3</v>
      </c>
      <c r="C214">
        <f>MAX(ROUND(C215-(C216-C215)/(产出与消耗!$K$8-产出与消耗!$K$7)*(产出与消耗!$K$7-产出与消耗!$K$6)*1.048,0),0)</f>
        <v>0</v>
      </c>
      <c r="D214" s="1">
        <v>5</v>
      </c>
      <c r="E214">
        <f>ROUND(D214*C214/3600/(建筑!G88*基本公式!$B$153),2)</f>
        <v>0</v>
      </c>
      <c r="F214" s="1">
        <v>25</v>
      </c>
      <c r="G214" s="69">
        <f t="shared" si="56"/>
        <v>0</v>
      </c>
      <c r="K214" s="1">
        <v>570</v>
      </c>
      <c r="L214" s="69">
        <f t="shared" si="57"/>
        <v>0</v>
      </c>
      <c r="M214" s="34">
        <f>ROUND(L214/产出与消耗!T6,4)</f>
        <v>0</v>
      </c>
      <c r="N214" s="1">
        <v>190</v>
      </c>
      <c r="O214" s="69">
        <f t="shared" si="58"/>
        <v>0</v>
      </c>
      <c r="P214" s="34">
        <f>ROUND(O214/产出与消耗!T28,4)</f>
        <v>0</v>
      </c>
      <c r="Q214" s="1">
        <v>280</v>
      </c>
      <c r="R214" s="69">
        <f t="shared" si="59"/>
        <v>0</v>
      </c>
      <c r="S214" s="34">
        <f>ROUND(R214/产出与消耗!T50,4)</f>
        <v>0</v>
      </c>
      <c r="T214" s="64">
        <f t="shared" si="60"/>
        <v>0</v>
      </c>
      <c r="U214"/>
      <c r="V214"/>
      <c r="W214"/>
    </row>
    <row r="215" spans="1:23">
      <c r="B215">
        <v>4</v>
      </c>
      <c r="C215">
        <f>MAX(ROUND(C216-(C217-C216)/(产出与消耗!$K$9-产出与消耗!$K$8)*(产出与消耗!$K$8-产出与消耗!$K$7)*1.048,0),0)</f>
        <v>0</v>
      </c>
      <c r="D215" s="1">
        <v>5</v>
      </c>
      <c r="E215">
        <f>ROUND(D215*C215/3600/(建筑!G89*基本公式!$B$153),2)</f>
        <v>0</v>
      </c>
      <c r="F215" s="1">
        <v>25</v>
      </c>
      <c r="G215" s="69">
        <f t="shared" si="56"/>
        <v>0</v>
      </c>
      <c r="K215" s="1">
        <v>570</v>
      </c>
      <c r="L215" s="69">
        <f t="shared" si="57"/>
        <v>0</v>
      </c>
      <c r="M215" s="34">
        <f>ROUND(L215/产出与消耗!T7,4)</f>
        <v>0</v>
      </c>
      <c r="N215" s="1">
        <v>190</v>
      </c>
      <c r="O215" s="69">
        <f t="shared" si="58"/>
        <v>0</v>
      </c>
      <c r="P215" s="34">
        <f>ROUND(O215/产出与消耗!T29,4)</f>
        <v>0</v>
      </c>
      <c r="Q215" s="1">
        <v>280</v>
      </c>
      <c r="R215" s="69">
        <f t="shared" si="59"/>
        <v>0</v>
      </c>
      <c r="S215" s="34">
        <f>ROUND(R215/产出与消耗!T51,4)</f>
        <v>0</v>
      </c>
      <c r="T215" s="64">
        <f t="shared" si="60"/>
        <v>0</v>
      </c>
      <c r="U215"/>
      <c r="V215"/>
      <c r="W215"/>
    </row>
    <row r="216" spans="1:23">
      <c r="B216">
        <v>5</v>
      </c>
      <c r="C216">
        <f>MAX(ROUND(C217-(C218-C217)/(产出与消耗!$K$10-产出与消耗!$K$9)*(产出与消耗!$K$9-产出与消耗!$K$8)*1.048,0),0)</f>
        <v>0</v>
      </c>
      <c r="D216" s="1">
        <v>5</v>
      </c>
      <c r="E216">
        <f>ROUND(D216*C216/3600/(建筑!G90*基本公式!$B$153),2)</f>
        <v>0</v>
      </c>
      <c r="F216" s="1">
        <v>25</v>
      </c>
      <c r="G216" s="69">
        <f t="shared" si="56"/>
        <v>0</v>
      </c>
      <c r="K216" s="1">
        <v>570</v>
      </c>
      <c r="L216" s="69">
        <f t="shared" si="57"/>
        <v>0</v>
      </c>
      <c r="M216" s="34">
        <f>ROUND(L216/产出与消耗!T8,4)</f>
        <v>0</v>
      </c>
      <c r="N216" s="1">
        <v>190</v>
      </c>
      <c r="O216" s="69">
        <f t="shared" si="58"/>
        <v>0</v>
      </c>
      <c r="P216" s="34">
        <f>ROUND(O216/产出与消耗!T30,4)</f>
        <v>0</v>
      </c>
      <c r="Q216" s="1">
        <v>280</v>
      </c>
      <c r="R216" s="69">
        <f t="shared" si="59"/>
        <v>0</v>
      </c>
      <c r="S216" s="34">
        <f>ROUND(R216/产出与消耗!T52,4)</f>
        <v>0</v>
      </c>
      <c r="T216" s="64">
        <f t="shared" si="60"/>
        <v>0</v>
      </c>
      <c r="U216"/>
      <c r="V216"/>
      <c r="W216"/>
    </row>
    <row r="217" spans="1:23">
      <c r="B217">
        <v>6</v>
      </c>
      <c r="C217">
        <f>MAX(ROUND(C218-(C219-C218)/(产出与消耗!$K$11-产出与消耗!$K$10)*(产出与消耗!$K$10-产出与消耗!$K$9)*1.048,0),0)</f>
        <v>0</v>
      </c>
      <c r="D217" s="1">
        <v>5</v>
      </c>
      <c r="E217">
        <f>ROUND(D217*C217/3600/(建筑!G91*基本公式!$B$153),2)</f>
        <v>0</v>
      </c>
      <c r="F217" s="1">
        <v>25</v>
      </c>
      <c r="G217" s="69">
        <f t="shared" si="56"/>
        <v>0</v>
      </c>
      <c r="K217" s="1">
        <v>570</v>
      </c>
      <c r="L217" s="69">
        <f t="shared" si="57"/>
        <v>0</v>
      </c>
      <c r="M217" s="34">
        <f>ROUND(L217/产出与消耗!T9,4)</f>
        <v>0</v>
      </c>
      <c r="N217" s="1">
        <v>190</v>
      </c>
      <c r="O217" s="69">
        <f t="shared" si="58"/>
        <v>0</v>
      </c>
      <c r="P217" s="34">
        <f>ROUND(O217/产出与消耗!T31,4)</f>
        <v>0</v>
      </c>
      <c r="Q217" s="1">
        <v>280</v>
      </c>
      <c r="R217" s="69">
        <f t="shared" si="59"/>
        <v>0</v>
      </c>
      <c r="S217" s="34">
        <f>ROUND(R217/产出与消耗!T53,4)</f>
        <v>0</v>
      </c>
      <c r="T217" s="64">
        <f t="shared" si="60"/>
        <v>0</v>
      </c>
      <c r="U217"/>
      <c r="V217"/>
      <c r="W217"/>
    </row>
    <row r="218" spans="1:23">
      <c r="B218">
        <v>7</v>
      </c>
      <c r="C218">
        <f>MAX(ROUND(C219-(C220-C219)/(产出与消耗!$K$12-产出与消耗!$K$11)*(产出与消耗!$K$11-产出与消耗!$K$10)*1.048,0),0)</f>
        <v>0</v>
      </c>
      <c r="D218" s="1">
        <v>5</v>
      </c>
      <c r="E218">
        <f>ROUND(D218*C218/3600/(建筑!G92*基本公式!$B$153),2)</f>
        <v>0</v>
      </c>
      <c r="F218" s="1">
        <v>25</v>
      </c>
      <c r="G218" s="69">
        <f t="shared" si="56"/>
        <v>0</v>
      </c>
      <c r="K218" s="1">
        <v>570</v>
      </c>
      <c r="L218" s="69">
        <f t="shared" si="57"/>
        <v>0</v>
      </c>
      <c r="M218" s="34">
        <f>ROUND(L218/产出与消耗!T10,4)</f>
        <v>0</v>
      </c>
      <c r="N218" s="1">
        <v>190</v>
      </c>
      <c r="O218" s="69">
        <f t="shared" si="58"/>
        <v>0</v>
      </c>
      <c r="P218" s="34">
        <f>ROUND(O218/产出与消耗!T32,4)</f>
        <v>0</v>
      </c>
      <c r="Q218" s="1">
        <v>280</v>
      </c>
      <c r="R218" s="69">
        <f t="shared" si="59"/>
        <v>0</v>
      </c>
      <c r="S218" s="34">
        <f>ROUND(R218/产出与消耗!T54,4)</f>
        <v>0</v>
      </c>
      <c r="T218" s="64">
        <f t="shared" si="60"/>
        <v>0</v>
      </c>
      <c r="U218"/>
      <c r="V218"/>
      <c r="W218"/>
    </row>
    <row r="219" spans="1:23">
      <c r="A219" s="11"/>
      <c r="B219">
        <v>8</v>
      </c>
      <c r="C219">
        <f>MAX(ROUND(C220-(C221-C220)/(产出与消耗!$K$13-产出与消耗!$K$12)*(产出与消耗!$K$12-产出与消耗!$K$11)*1.048,0),0)</f>
        <v>0</v>
      </c>
      <c r="D219" s="1">
        <v>5</v>
      </c>
      <c r="E219">
        <f>ROUND(D219*C219/3600/(建筑!G93*基本公式!$B$153),2)</f>
        <v>0</v>
      </c>
      <c r="F219" s="1">
        <v>25</v>
      </c>
      <c r="G219" s="69">
        <f t="shared" si="56"/>
        <v>0</v>
      </c>
      <c r="K219" s="1">
        <v>570</v>
      </c>
      <c r="L219" s="69">
        <f t="shared" si="57"/>
        <v>0</v>
      </c>
      <c r="M219" s="34">
        <f>ROUND(L219/产出与消耗!T11,4)</f>
        <v>0</v>
      </c>
      <c r="N219" s="1">
        <v>190</v>
      </c>
      <c r="O219" s="69">
        <f t="shared" si="58"/>
        <v>0</v>
      </c>
      <c r="P219" s="34">
        <f>ROUND(O219/产出与消耗!T33,4)</f>
        <v>0</v>
      </c>
      <c r="Q219" s="1">
        <v>280</v>
      </c>
      <c r="R219" s="69">
        <f t="shared" si="59"/>
        <v>0</v>
      </c>
      <c r="S219" s="34">
        <f>ROUND(R219/产出与消耗!T55,4)</f>
        <v>0</v>
      </c>
      <c r="T219" s="64">
        <f t="shared" si="60"/>
        <v>0</v>
      </c>
      <c r="U219"/>
      <c r="V219"/>
      <c r="W219"/>
    </row>
    <row r="220" spans="1:23">
      <c r="B220">
        <v>9</v>
      </c>
      <c r="C220">
        <f>MAX(ROUND(C221-(C222-C221)/(产出与消耗!$K$14-产出与消耗!$K$13)*(产出与消耗!$K$13-产出与消耗!$K$12)*1.048,0),0)</f>
        <v>0</v>
      </c>
      <c r="D220" s="1">
        <v>5</v>
      </c>
      <c r="E220">
        <f>ROUND(D220*C220/3600/(建筑!G94*基本公式!$B$153),2)</f>
        <v>0</v>
      </c>
      <c r="F220" s="1">
        <v>25</v>
      </c>
      <c r="G220" s="69">
        <f t="shared" si="56"/>
        <v>0</v>
      </c>
      <c r="K220" s="1">
        <v>570</v>
      </c>
      <c r="L220" s="69">
        <f t="shared" si="57"/>
        <v>0</v>
      </c>
      <c r="M220" s="34">
        <f>ROUND(L220/产出与消耗!T12,4)</f>
        <v>0</v>
      </c>
      <c r="N220" s="1">
        <v>190</v>
      </c>
      <c r="O220" s="69">
        <f t="shared" si="58"/>
        <v>0</v>
      </c>
      <c r="P220" s="34">
        <f>ROUND(O220/产出与消耗!T34,4)</f>
        <v>0</v>
      </c>
      <c r="Q220" s="1">
        <v>280</v>
      </c>
      <c r="R220" s="69">
        <f t="shared" si="59"/>
        <v>0</v>
      </c>
      <c r="S220" s="34">
        <f>ROUND(R220/产出与消耗!T56,4)</f>
        <v>0</v>
      </c>
      <c r="T220" s="64">
        <f t="shared" si="60"/>
        <v>0</v>
      </c>
      <c r="U220"/>
      <c r="V220"/>
      <c r="W220"/>
    </row>
    <row r="221" spans="1:23">
      <c r="A221" s="38" t="s">
        <v>133</v>
      </c>
      <c r="B221">
        <v>10</v>
      </c>
      <c r="C221">
        <f>MAX(ROUND(C222-(C223-C222)/(产出与消耗!$K$15-产出与消耗!$K$14)*(产出与消耗!$K$14-产出与消耗!$K$13)*1.048,0),0)</f>
        <v>151</v>
      </c>
      <c r="D221" s="1">
        <v>5</v>
      </c>
      <c r="E221">
        <f>ROUND(D221*C221/3600/(建筑!G95*基本公式!$B$153),2)</f>
        <v>0.05</v>
      </c>
      <c r="F221" s="1">
        <v>25</v>
      </c>
      <c r="G221" s="69">
        <f t="shared" si="56"/>
        <v>3775</v>
      </c>
      <c r="K221" s="1">
        <v>570</v>
      </c>
      <c r="L221" s="69">
        <f t="shared" si="57"/>
        <v>86070</v>
      </c>
      <c r="M221" s="34">
        <f>ROUND(L221/产出与消耗!T13,4)</f>
        <v>4.3799999999999999E-2</v>
      </c>
      <c r="N221" s="1">
        <v>190</v>
      </c>
      <c r="O221" s="69">
        <f t="shared" si="58"/>
        <v>28690</v>
      </c>
      <c r="P221" s="34">
        <f>ROUND(O221/产出与消耗!T35,4)</f>
        <v>1.46E-2</v>
      </c>
      <c r="Q221" s="1">
        <v>280</v>
      </c>
      <c r="R221" s="69">
        <f t="shared" si="59"/>
        <v>42280</v>
      </c>
      <c r="S221" s="34">
        <f>ROUND(R221/产出与消耗!T57,4)</f>
        <v>3.2199999999999999E-2</v>
      </c>
      <c r="T221" s="64">
        <f t="shared" si="60"/>
        <v>9.06E-2</v>
      </c>
      <c r="U221"/>
      <c r="V221"/>
      <c r="W221"/>
    </row>
    <row r="222" spans="1:23">
      <c r="B222">
        <v>11</v>
      </c>
      <c r="C222">
        <f>MAX(ROUND(C223-(C224-C223)/(产出与消耗!$K$16-产出与消耗!$K$15)*(产出与消耗!$K$15-产出与消耗!$K$14)*1.048,0),0)</f>
        <v>2381</v>
      </c>
      <c r="D222" s="1">
        <v>5</v>
      </c>
      <c r="E222">
        <f>ROUND(D222*C222/3600/(建筑!G96*基本公式!$B$153),2)</f>
        <v>0.83</v>
      </c>
      <c r="F222" s="1">
        <v>25</v>
      </c>
      <c r="G222" s="69">
        <f t="shared" si="56"/>
        <v>59525</v>
      </c>
      <c r="K222" s="1">
        <v>570</v>
      </c>
      <c r="L222" s="69">
        <f t="shared" si="57"/>
        <v>1357170</v>
      </c>
      <c r="M222" s="34">
        <f>ROUND(L222/产出与消耗!T14,4)</f>
        <v>0.34200000000000003</v>
      </c>
      <c r="N222" s="1">
        <v>190</v>
      </c>
      <c r="O222" s="69">
        <f t="shared" si="58"/>
        <v>452390</v>
      </c>
      <c r="P222" s="34">
        <f>ROUND(O222/产出与消耗!T36,4)</f>
        <v>0.114</v>
      </c>
      <c r="Q222" s="1">
        <v>280</v>
      </c>
      <c r="R222" s="69">
        <f t="shared" si="59"/>
        <v>666680</v>
      </c>
      <c r="S222" s="34">
        <f>ROUND(R222/产出与消耗!T58,4)</f>
        <v>0.252</v>
      </c>
      <c r="T222" s="64">
        <f t="shared" si="60"/>
        <v>0.70799999999999996</v>
      </c>
      <c r="U222"/>
      <c r="V222"/>
      <c r="W222"/>
    </row>
    <row r="223" spans="1:23">
      <c r="B223">
        <v>12</v>
      </c>
      <c r="C223">
        <f>MAX(ROUND(C224-(C225-C224)/(产出与消耗!$K$17-产出与消耗!$K$16)*(产出与消耗!$K$16-产出与消耗!$K$15)*1.048,0),0)</f>
        <v>7947</v>
      </c>
      <c r="D223" s="1">
        <v>5</v>
      </c>
      <c r="E223">
        <f>ROUND(D223*C223/3600/(建筑!G97*基本公式!$B$153),2)</f>
        <v>1.84</v>
      </c>
      <c r="F223" s="1">
        <v>25</v>
      </c>
      <c r="G223" s="69">
        <f t="shared" si="56"/>
        <v>198675</v>
      </c>
      <c r="K223" s="1">
        <v>570</v>
      </c>
      <c r="L223" s="69">
        <f t="shared" si="57"/>
        <v>4529790</v>
      </c>
      <c r="M223" s="34">
        <f>ROUND(L223/产出与消耗!T15,4)</f>
        <v>0.51170000000000004</v>
      </c>
      <c r="N223" s="1">
        <v>190</v>
      </c>
      <c r="O223" s="69">
        <f t="shared" si="58"/>
        <v>1509930</v>
      </c>
      <c r="P223" s="34">
        <f>ROUND(O223/产出与消耗!T37,4)</f>
        <v>0.1706</v>
      </c>
      <c r="Q223" s="1">
        <v>280</v>
      </c>
      <c r="R223" s="69">
        <f t="shared" si="59"/>
        <v>2225160</v>
      </c>
      <c r="S223" s="34">
        <f>ROUND(R223/产出与消耗!T59,4)</f>
        <v>0.377</v>
      </c>
      <c r="T223" s="64">
        <f t="shared" si="60"/>
        <v>1.0592999999999999</v>
      </c>
      <c r="U223"/>
      <c r="V223"/>
      <c r="W223"/>
    </row>
    <row r="224" spans="1:23">
      <c r="A224" s="11"/>
      <c r="B224">
        <v>13</v>
      </c>
      <c r="C224">
        <f>MAX(ROUND(C225-(C226-C225)/(产出与消耗!$K$18-产出与消耗!$K$17)*(产出与消耗!$K$17-产出与消耗!$K$16)*1.048,0),0)</f>
        <v>12477</v>
      </c>
      <c r="D224" s="1">
        <v>5</v>
      </c>
      <c r="E224">
        <f>ROUND(D224*C224/3600/(建筑!G98*基本公式!$B$153),2)</f>
        <v>2.89</v>
      </c>
      <c r="F224" s="1">
        <v>25</v>
      </c>
      <c r="G224" s="69">
        <f t="shared" si="56"/>
        <v>311925</v>
      </c>
      <c r="K224" s="1">
        <v>570</v>
      </c>
      <c r="L224" s="69">
        <f t="shared" si="57"/>
        <v>7111890</v>
      </c>
      <c r="M224" s="34">
        <f>ROUND(L224/产出与消耗!T16,4)</f>
        <v>0.41420000000000001</v>
      </c>
      <c r="N224" s="1">
        <v>190</v>
      </c>
      <c r="O224" s="69">
        <f t="shared" si="58"/>
        <v>2370630</v>
      </c>
      <c r="P224" s="34">
        <f>ROUND(O224/产出与消耗!T38,4)</f>
        <v>0.1381</v>
      </c>
      <c r="Q224" s="1">
        <v>280</v>
      </c>
      <c r="R224" s="69">
        <f t="shared" si="59"/>
        <v>3493560</v>
      </c>
      <c r="S224" s="34">
        <f>ROUND(R224/产出与消耗!T60,4)</f>
        <v>0.30520000000000003</v>
      </c>
      <c r="T224" s="64">
        <f t="shared" si="60"/>
        <v>0.85750000000000004</v>
      </c>
      <c r="U224"/>
      <c r="V224"/>
      <c r="W224"/>
    </row>
    <row r="225" spans="1:23">
      <c r="A225" s="39" t="s">
        <v>134</v>
      </c>
      <c r="B225">
        <v>14</v>
      </c>
      <c r="C225">
        <f>MAX(ROUND(C226-(C227-C226)/(产出与消耗!$K$19-产出与消耗!$K$18)*(产出与消耗!$K$18-产出与消耗!$K$17)*1.048,0),0)</f>
        <v>16352</v>
      </c>
      <c r="D225" s="1">
        <v>5</v>
      </c>
      <c r="E225">
        <f>ROUND(D225*C225/3600/(建筑!G99*基本公式!$B$153),2)</f>
        <v>3.79</v>
      </c>
      <c r="F225" s="1">
        <v>25</v>
      </c>
      <c r="G225" s="69">
        <f t="shared" si="56"/>
        <v>408800</v>
      </c>
      <c r="K225" s="1">
        <v>570</v>
      </c>
      <c r="L225" s="69">
        <f t="shared" si="57"/>
        <v>9320640</v>
      </c>
      <c r="M225" s="34">
        <f>ROUND(L225/产出与消耗!T17,4)</f>
        <v>0.31480000000000002</v>
      </c>
      <c r="N225" s="1">
        <v>190</v>
      </c>
      <c r="O225" s="69">
        <f t="shared" si="58"/>
        <v>3106880</v>
      </c>
      <c r="P225" s="34">
        <f>ROUND(O225/产出与消耗!T39,4)</f>
        <v>0.10489999999999999</v>
      </c>
      <c r="Q225" s="1">
        <v>280</v>
      </c>
      <c r="R225" s="69">
        <f t="shared" si="59"/>
        <v>4578560</v>
      </c>
      <c r="S225" s="34">
        <f>ROUND(R225/产出与消耗!T61,4)</f>
        <v>0.2319</v>
      </c>
      <c r="T225" s="64">
        <f t="shared" si="60"/>
        <v>0.65159999999999996</v>
      </c>
      <c r="U225"/>
      <c r="V225"/>
      <c r="W225"/>
    </row>
    <row r="226" spans="1:23">
      <c r="B226">
        <v>15</v>
      </c>
      <c r="C226">
        <f>MAX(ROUND(C227-(C228-C227)/(产出与消耗!$K$20-产出与消耗!$K$19)*(产出与消耗!$K$19-产出与消耗!$K$18)*1.048,0),0)</f>
        <v>20618</v>
      </c>
      <c r="D226" s="1">
        <v>5</v>
      </c>
      <c r="E226">
        <f>ROUND(D226*C226/3600/(建筑!G100*基本公式!$B$153),2)</f>
        <v>4.7699999999999996</v>
      </c>
      <c r="F226" s="1">
        <v>25</v>
      </c>
      <c r="G226" s="69">
        <f t="shared" si="56"/>
        <v>515450</v>
      </c>
      <c r="K226" s="1">
        <v>570</v>
      </c>
      <c r="L226" s="69">
        <f t="shared" si="57"/>
        <v>11752260</v>
      </c>
      <c r="M226" s="34">
        <f>ROUND(L226/产出与消耗!T18,4)</f>
        <v>0.24179999999999999</v>
      </c>
      <c r="N226" s="1">
        <v>190</v>
      </c>
      <c r="O226" s="69">
        <f t="shared" si="58"/>
        <v>3917420</v>
      </c>
      <c r="P226" s="34">
        <f>ROUND(O226/产出与消耗!T40,4)</f>
        <v>8.0600000000000005E-2</v>
      </c>
      <c r="Q226" s="1">
        <v>280</v>
      </c>
      <c r="R226" s="69">
        <f t="shared" si="59"/>
        <v>5773040</v>
      </c>
      <c r="S226" s="34">
        <f>ROUND(R226/产出与消耗!T62,4)</f>
        <v>0.1782</v>
      </c>
      <c r="T226" s="64">
        <f t="shared" si="60"/>
        <v>0.50060000000000004</v>
      </c>
      <c r="U226"/>
      <c r="V226"/>
      <c r="W226"/>
    </row>
    <row r="227" spans="1:23">
      <c r="B227">
        <v>16</v>
      </c>
      <c r="C227">
        <f>MAX(ROUND(C228-(C229-C228)/(产出与消耗!$K$21-产出与消耗!$K$20)*(产出与消耗!$K$20-产出与消耗!$K$19)*1.048,0),0)</f>
        <v>24689</v>
      </c>
      <c r="D227" s="1">
        <v>5</v>
      </c>
      <c r="E227">
        <f>ROUND(D227*C227/3600/(建筑!G101*基本公式!$B$153),2)</f>
        <v>4.29</v>
      </c>
      <c r="F227" s="1">
        <v>25</v>
      </c>
      <c r="G227" s="69">
        <f t="shared" si="56"/>
        <v>617225</v>
      </c>
      <c r="K227" s="1">
        <v>570</v>
      </c>
      <c r="L227" s="69">
        <f t="shared" si="57"/>
        <v>14072730</v>
      </c>
      <c r="M227" s="34">
        <f>ROUND(L227/产出与消耗!T19,4)</f>
        <v>0.18720000000000001</v>
      </c>
      <c r="N227" s="1">
        <v>190</v>
      </c>
      <c r="O227" s="69">
        <f t="shared" si="58"/>
        <v>4690910</v>
      </c>
      <c r="P227" s="34">
        <f>ROUND(O227/产出与消耗!T41,4)</f>
        <v>6.2399999999999997E-2</v>
      </c>
      <c r="Q227" s="1">
        <v>280</v>
      </c>
      <c r="R227" s="69">
        <f t="shared" si="59"/>
        <v>6912920</v>
      </c>
      <c r="S227" s="34">
        <f>ROUND(R227/产出与消耗!T63,4)</f>
        <v>0.13789999999999999</v>
      </c>
      <c r="T227" s="64">
        <f t="shared" si="60"/>
        <v>0.38749999999999996</v>
      </c>
      <c r="U227"/>
      <c r="V227"/>
      <c r="W227"/>
    </row>
    <row r="228" spans="1:23">
      <c r="B228">
        <v>17</v>
      </c>
      <c r="C228">
        <f>MAX(ROUND(C229-(C230-C229)/(产出与消耗!$K$22-产出与消耗!$K$21)*(产出与消耗!$K$21-产出与消耗!$K$20)*1.048,0),0)</f>
        <v>28962</v>
      </c>
      <c r="D228" s="1">
        <v>5</v>
      </c>
      <c r="E228">
        <f>ROUND(D228*C228/3600/(建筑!G102*基本公式!$B$153),2)</f>
        <v>5.03</v>
      </c>
      <c r="F228" s="1">
        <v>25</v>
      </c>
      <c r="G228" s="69">
        <f t="shared" si="56"/>
        <v>724050</v>
      </c>
      <c r="K228" s="1">
        <v>570</v>
      </c>
      <c r="L228" s="69">
        <f t="shared" si="57"/>
        <v>16508340</v>
      </c>
      <c r="M228" s="34">
        <f>ROUND(L228/产出与消耗!T20,4)</f>
        <v>0.14699999999999999</v>
      </c>
      <c r="N228" s="1">
        <v>190</v>
      </c>
      <c r="O228" s="69">
        <f t="shared" si="58"/>
        <v>5502780</v>
      </c>
      <c r="P228" s="34">
        <f>ROUND(O228/产出与消耗!T42,4)</f>
        <v>4.9000000000000002E-2</v>
      </c>
      <c r="Q228" s="1">
        <v>280</v>
      </c>
      <c r="R228" s="69">
        <f t="shared" si="59"/>
        <v>8109360</v>
      </c>
      <c r="S228" s="34">
        <f>ROUND(R228/产出与消耗!T64,4)</f>
        <v>0.10829999999999999</v>
      </c>
      <c r="T228" s="64">
        <f t="shared" si="60"/>
        <v>0.30430000000000001</v>
      </c>
      <c r="U228"/>
      <c r="V228"/>
      <c r="W228"/>
    </row>
    <row r="229" spans="1:23">
      <c r="B229">
        <v>18</v>
      </c>
      <c r="C229">
        <f>MAX(ROUND(C230-(C231-C230)/(产出与消耗!$K$23-产出与消耗!$K$22)*(产出与消耗!$K$22-产出与消耗!$K$21)*1.048,0),0)</f>
        <v>33534</v>
      </c>
      <c r="D229" s="1">
        <v>5</v>
      </c>
      <c r="E229">
        <f>ROUND(D229*C229/3600/(建筑!G103*基本公式!$B$153),2)</f>
        <v>5.82</v>
      </c>
      <c r="F229" s="1">
        <v>25</v>
      </c>
      <c r="G229" s="69">
        <f t="shared" si="56"/>
        <v>838350</v>
      </c>
      <c r="K229" s="1">
        <v>570</v>
      </c>
      <c r="L229" s="69">
        <f t="shared" si="57"/>
        <v>19114380</v>
      </c>
      <c r="M229" s="34">
        <f>ROUND(L229/产出与消耗!T21,4)</f>
        <v>0.1171</v>
      </c>
      <c r="N229" s="1">
        <v>190</v>
      </c>
      <c r="O229" s="69">
        <f t="shared" si="58"/>
        <v>6371460</v>
      </c>
      <c r="P229" s="34">
        <f>ROUND(O229/产出与消耗!T43,4)</f>
        <v>3.9E-2</v>
      </c>
      <c r="Q229" s="1">
        <v>280</v>
      </c>
      <c r="R229" s="69">
        <f t="shared" si="59"/>
        <v>9389520</v>
      </c>
      <c r="S229" s="34">
        <f>ROUND(R229/产出与消耗!T65,4)</f>
        <v>8.6300000000000002E-2</v>
      </c>
      <c r="T229" s="64">
        <f t="shared" si="60"/>
        <v>0.2424</v>
      </c>
      <c r="U229"/>
      <c r="V229"/>
      <c r="W229"/>
    </row>
    <row r="230" spans="1:23">
      <c r="A230" s="40" t="s">
        <v>135</v>
      </c>
      <c r="B230">
        <v>19</v>
      </c>
      <c r="C230">
        <f>ROUND(产出与消耗!$K$22*C231/产出与消耗!$K$23,0)</f>
        <v>38250</v>
      </c>
      <c r="D230" s="1">
        <v>5</v>
      </c>
      <c r="E230">
        <f>ROUND(D230*C230/3600/(建筑!G104*基本公式!$B$153),2)</f>
        <v>6.64</v>
      </c>
      <c r="F230" s="1">
        <v>25</v>
      </c>
      <c r="G230" s="69">
        <f t="shared" si="56"/>
        <v>956250</v>
      </c>
      <c r="K230" s="1">
        <v>570</v>
      </c>
      <c r="L230" s="69">
        <f t="shared" si="57"/>
        <v>21802500</v>
      </c>
      <c r="M230" s="34">
        <f>ROUND(L230/产出与消耗!T22,4)</f>
        <v>9.4299999999999995E-2</v>
      </c>
      <c r="N230" s="1">
        <v>190</v>
      </c>
      <c r="O230" s="69">
        <f t="shared" si="58"/>
        <v>7267500</v>
      </c>
      <c r="P230" s="34">
        <f>ROUND(O230/产出与消耗!T44,4)</f>
        <v>3.1399999999999997E-2</v>
      </c>
      <c r="Q230" s="1">
        <v>280</v>
      </c>
      <c r="R230" s="69">
        <f t="shared" si="59"/>
        <v>10710000</v>
      </c>
      <c r="S230" s="34">
        <f>ROUND(R230/产出与消耗!T66,4)</f>
        <v>6.9500000000000006E-2</v>
      </c>
      <c r="T230" s="64">
        <f t="shared" si="60"/>
        <v>0.19519999999999998</v>
      </c>
      <c r="U230"/>
      <c r="V230"/>
      <c r="W230"/>
    </row>
    <row r="231" spans="1:23">
      <c r="B231">
        <v>20</v>
      </c>
      <c r="C231">
        <v>45000</v>
      </c>
      <c r="D231" s="1">
        <v>5</v>
      </c>
      <c r="E231">
        <f>ROUND(D231*C231/3600/(建筑!G105*基本公式!$B$153),2)</f>
        <v>6.25</v>
      </c>
      <c r="F231" s="1">
        <v>25</v>
      </c>
      <c r="G231" s="69">
        <f t="shared" si="56"/>
        <v>1125000</v>
      </c>
      <c r="K231" s="1">
        <v>570</v>
      </c>
      <c r="L231" s="69">
        <f t="shared" si="57"/>
        <v>25650000</v>
      </c>
      <c r="M231" s="34">
        <f>ROUND(L231/产出与消耗!T23,4)</f>
        <v>7.6700000000000004E-2</v>
      </c>
      <c r="N231" s="1">
        <v>190</v>
      </c>
      <c r="O231" s="69">
        <f t="shared" si="58"/>
        <v>8550000</v>
      </c>
      <c r="P231" s="34">
        <f>ROUND(O231/产出与消耗!T45,4)</f>
        <v>2.5600000000000001E-2</v>
      </c>
      <c r="Q231" s="1">
        <v>280</v>
      </c>
      <c r="R231" s="69">
        <f t="shared" si="59"/>
        <v>12600000</v>
      </c>
      <c r="S231" s="34">
        <f>ROUND(R231/产出与消耗!T67,4)</f>
        <v>5.6500000000000002E-2</v>
      </c>
      <c r="T231" s="64">
        <f t="shared" si="60"/>
        <v>0.1588</v>
      </c>
      <c r="U231"/>
      <c r="V231"/>
      <c r="W231"/>
    </row>
    <row r="232" spans="1:23">
      <c r="K232"/>
      <c r="M232"/>
      <c r="N232"/>
      <c r="P232"/>
      <c r="Q232"/>
      <c r="S232"/>
      <c r="T232"/>
      <c r="U232"/>
      <c r="V232"/>
      <c r="W232"/>
    </row>
    <row r="233" spans="1:23">
      <c r="A233" t="s">
        <v>217</v>
      </c>
      <c r="B233">
        <v>1</v>
      </c>
      <c r="C233">
        <f>MAX(ROUND(C234-(C235-C234)/(产出与消耗!$K$6-产出与消耗!$K$5)*(产出与消耗!$K$5-产出与消耗!$K$4)*1.048,0),0)</f>
        <v>0</v>
      </c>
      <c r="D233" s="1">
        <v>16</v>
      </c>
      <c r="E233">
        <f>ROUND(D233*C233/3600/(建筑!G86*基本公式!$B$153),2)</f>
        <v>0</v>
      </c>
      <c r="F233" s="1">
        <v>13</v>
      </c>
      <c r="G233" s="69">
        <f t="shared" ref="G233:G252" si="61">F233*C233</f>
        <v>0</v>
      </c>
      <c r="K233" s="1">
        <v>470</v>
      </c>
      <c r="L233" s="69">
        <f t="shared" ref="L233:L252" si="62">ROUND(K233*C233,0)</f>
        <v>0</v>
      </c>
      <c r="M233" s="34">
        <f>ROUND(L233/产出与消耗!T4,4)</f>
        <v>0</v>
      </c>
      <c r="N233" s="1">
        <v>475</v>
      </c>
      <c r="O233" s="69">
        <f t="shared" ref="O233:O252" si="63">ROUND(N233*C233,0)</f>
        <v>0</v>
      </c>
      <c r="P233" s="34">
        <f>ROUND(O233/产出与消耗!T26,4)</f>
        <v>0</v>
      </c>
      <c r="Q233" s="1">
        <v>160</v>
      </c>
      <c r="R233" s="69">
        <f t="shared" ref="R233:R252" si="64">ROUND(Q233*C233,0)</f>
        <v>0</v>
      </c>
      <c r="S233" s="34">
        <f>ROUND(R233/产出与消耗!T48,4)</f>
        <v>0</v>
      </c>
      <c r="T233" s="64">
        <f>M233+P233+S233</f>
        <v>0</v>
      </c>
      <c r="U233"/>
      <c r="V233"/>
      <c r="W233"/>
    </row>
    <row r="234" spans="1:23">
      <c r="B234">
        <v>2</v>
      </c>
      <c r="C234">
        <f>MAX(ROUND(C235-(C236-C235)/(产出与消耗!$K$7-产出与消耗!$K$6)*(产出与消耗!$K$6-产出与消耗!$K$5)*1.048,0),0)</f>
        <v>0</v>
      </c>
      <c r="D234" s="1">
        <v>16</v>
      </c>
      <c r="E234">
        <f>ROUND(D234*C234/3600/(建筑!G87*基本公式!$B$153),2)</f>
        <v>0</v>
      </c>
      <c r="F234" s="1">
        <v>13</v>
      </c>
      <c r="G234" s="69">
        <f t="shared" si="61"/>
        <v>0</v>
      </c>
      <c r="K234" s="1">
        <v>470</v>
      </c>
      <c r="L234" s="69">
        <f t="shared" si="62"/>
        <v>0</v>
      </c>
      <c r="M234" s="34">
        <f>ROUND(L234/产出与消耗!T5,4)</f>
        <v>0</v>
      </c>
      <c r="N234" s="1">
        <v>475</v>
      </c>
      <c r="O234" s="69">
        <f t="shared" si="63"/>
        <v>0</v>
      </c>
      <c r="P234" s="34">
        <f>ROUND(O234/产出与消耗!T27,4)</f>
        <v>0</v>
      </c>
      <c r="Q234" s="1">
        <v>160</v>
      </c>
      <c r="R234" s="69">
        <f t="shared" si="64"/>
        <v>0</v>
      </c>
      <c r="S234" s="34">
        <f>ROUND(R234/产出与消耗!T49,4)</f>
        <v>0</v>
      </c>
      <c r="T234" s="64">
        <f t="shared" ref="T234:T252" si="65">M234+P234+S234</f>
        <v>0</v>
      </c>
    </row>
    <row r="235" spans="1:23">
      <c r="B235">
        <v>3</v>
      </c>
      <c r="C235">
        <f>MAX(ROUND(C236-(C237-C236)/(产出与消耗!$K$8-产出与消耗!$K$7)*(产出与消耗!$K$7-产出与消耗!$K$6)*1.048,0),0)</f>
        <v>0</v>
      </c>
      <c r="D235" s="1">
        <v>16</v>
      </c>
      <c r="E235">
        <f>ROUND(D235*C235/3600/(建筑!G88*基本公式!$B$153),2)</f>
        <v>0</v>
      </c>
      <c r="F235" s="1">
        <v>13</v>
      </c>
      <c r="G235" s="69">
        <f t="shared" si="61"/>
        <v>0</v>
      </c>
      <c r="K235" s="1">
        <v>470</v>
      </c>
      <c r="L235" s="69">
        <f t="shared" si="62"/>
        <v>0</v>
      </c>
      <c r="M235" s="34">
        <f>ROUND(L235/产出与消耗!T6,4)</f>
        <v>0</v>
      </c>
      <c r="N235" s="1">
        <v>475</v>
      </c>
      <c r="O235" s="69">
        <f t="shared" si="63"/>
        <v>0</v>
      </c>
      <c r="P235" s="34">
        <f>ROUND(O235/产出与消耗!T28,4)</f>
        <v>0</v>
      </c>
      <c r="Q235" s="1">
        <v>160</v>
      </c>
      <c r="R235" s="69">
        <f t="shared" si="64"/>
        <v>0</v>
      </c>
      <c r="S235" s="34">
        <f>ROUND(R235/产出与消耗!T50,4)</f>
        <v>0</v>
      </c>
      <c r="T235" s="64">
        <f t="shared" si="65"/>
        <v>0</v>
      </c>
    </row>
    <row r="236" spans="1:23">
      <c r="B236">
        <v>4</v>
      </c>
      <c r="C236">
        <f>MAX(ROUND(C237-(C238-C237)/(产出与消耗!$K$9-产出与消耗!$K$8)*(产出与消耗!$K$8-产出与消耗!$K$7)*1.048,0),0)</f>
        <v>0</v>
      </c>
      <c r="D236" s="1">
        <v>16</v>
      </c>
      <c r="E236">
        <f>ROUND(D236*C236/3600/(建筑!G89*基本公式!$B$153),2)</f>
        <v>0</v>
      </c>
      <c r="F236" s="1">
        <v>13</v>
      </c>
      <c r="G236" s="69">
        <f t="shared" si="61"/>
        <v>0</v>
      </c>
      <c r="K236" s="1">
        <v>470</v>
      </c>
      <c r="L236" s="69">
        <f t="shared" si="62"/>
        <v>0</v>
      </c>
      <c r="M236" s="34">
        <f>ROUND(L236/产出与消耗!T7,4)</f>
        <v>0</v>
      </c>
      <c r="N236" s="1">
        <v>475</v>
      </c>
      <c r="O236" s="69">
        <f t="shared" si="63"/>
        <v>0</v>
      </c>
      <c r="P236" s="34">
        <f>ROUND(O236/产出与消耗!T29,4)</f>
        <v>0</v>
      </c>
      <c r="Q236" s="1">
        <v>160</v>
      </c>
      <c r="R236" s="69">
        <f t="shared" si="64"/>
        <v>0</v>
      </c>
      <c r="S236" s="34">
        <f>ROUND(R236/产出与消耗!T51,4)</f>
        <v>0</v>
      </c>
      <c r="T236" s="64">
        <f t="shared" si="65"/>
        <v>0</v>
      </c>
    </row>
    <row r="237" spans="1:23">
      <c r="B237">
        <v>5</v>
      </c>
      <c r="C237">
        <f>MAX(ROUND(C238-(C239-C238)/(产出与消耗!$K$10-产出与消耗!$K$9)*(产出与消耗!$K$9-产出与消耗!$K$8)*1.048,0),0)</f>
        <v>0</v>
      </c>
      <c r="D237" s="1">
        <v>16</v>
      </c>
      <c r="E237">
        <f>ROUND(D237*C237/3600/(建筑!G90*基本公式!$B$153),2)</f>
        <v>0</v>
      </c>
      <c r="F237" s="1">
        <v>13</v>
      </c>
      <c r="G237" s="69">
        <f t="shared" si="61"/>
        <v>0</v>
      </c>
      <c r="K237" s="1">
        <v>470</v>
      </c>
      <c r="L237" s="69">
        <f t="shared" si="62"/>
        <v>0</v>
      </c>
      <c r="M237" s="34">
        <f>ROUND(L237/产出与消耗!T8,4)</f>
        <v>0</v>
      </c>
      <c r="N237" s="1">
        <v>475</v>
      </c>
      <c r="O237" s="69">
        <f t="shared" si="63"/>
        <v>0</v>
      </c>
      <c r="P237" s="34">
        <f>ROUND(O237/产出与消耗!T30,4)</f>
        <v>0</v>
      </c>
      <c r="Q237" s="1">
        <v>160</v>
      </c>
      <c r="R237" s="69">
        <f t="shared" si="64"/>
        <v>0</v>
      </c>
      <c r="S237" s="34">
        <f>ROUND(R237/产出与消耗!T52,4)</f>
        <v>0</v>
      </c>
      <c r="T237" s="64">
        <f t="shared" si="65"/>
        <v>0</v>
      </c>
    </row>
    <row r="238" spans="1:23">
      <c r="B238">
        <v>6</v>
      </c>
      <c r="C238">
        <f>MAX(ROUND(C239-(C240-C239)/(产出与消耗!$K$11-产出与消耗!$K$10)*(产出与消耗!$K$10-产出与消耗!$K$9)*1.048,0),0)</f>
        <v>0</v>
      </c>
      <c r="D238" s="1">
        <v>16</v>
      </c>
      <c r="E238">
        <f>ROUND(D238*C238/3600/(建筑!G91*基本公式!$B$153),2)</f>
        <v>0</v>
      </c>
      <c r="F238" s="1">
        <v>13</v>
      </c>
      <c r="G238" s="69">
        <f t="shared" si="61"/>
        <v>0</v>
      </c>
      <c r="K238" s="1">
        <v>470</v>
      </c>
      <c r="L238" s="69">
        <f t="shared" si="62"/>
        <v>0</v>
      </c>
      <c r="M238" s="34">
        <f>ROUND(L238/产出与消耗!T9,4)</f>
        <v>0</v>
      </c>
      <c r="N238" s="1">
        <v>475</v>
      </c>
      <c r="O238" s="69">
        <f t="shared" si="63"/>
        <v>0</v>
      </c>
      <c r="P238" s="34">
        <f>ROUND(O238/产出与消耗!T31,4)</f>
        <v>0</v>
      </c>
      <c r="Q238" s="1">
        <v>160</v>
      </c>
      <c r="R238" s="69">
        <f t="shared" si="64"/>
        <v>0</v>
      </c>
      <c r="S238" s="34">
        <f>ROUND(R238/产出与消耗!T53,4)</f>
        <v>0</v>
      </c>
      <c r="T238" s="64">
        <f t="shared" si="65"/>
        <v>0</v>
      </c>
    </row>
    <row r="239" spans="1:23">
      <c r="B239">
        <v>7</v>
      </c>
      <c r="C239">
        <f>MAX(ROUND(C240-(C241-C240)/(产出与消耗!$K$12-产出与消耗!$K$11)*(产出与消耗!$K$11-产出与消耗!$K$10)*1.048,0),0)</f>
        <v>0</v>
      </c>
      <c r="D239" s="1">
        <v>16</v>
      </c>
      <c r="E239">
        <f>ROUND(D239*C239/3600/(建筑!G92*基本公式!$B$153),2)</f>
        <v>0</v>
      </c>
      <c r="F239" s="1">
        <v>13</v>
      </c>
      <c r="G239" s="69">
        <f t="shared" si="61"/>
        <v>0</v>
      </c>
      <c r="K239" s="1">
        <v>470</v>
      </c>
      <c r="L239" s="69">
        <f t="shared" si="62"/>
        <v>0</v>
      </c>
      <c r="M239" s="34">
        <f>ROUND(L239/产出与消耗!T10,4)</f>
        <v>0</v>
      </c>
      <c r="N239" s="1">
        <v>475</v>
      </c>
      <c r="O239" s="69">
        <f t="shared" si="63"/>
        <v>0</v>
      </c>
      <c r="P239" s="34">
        <f>ROUND(O239/产出与消耗!T32,4)</f>
        <v>0</v>
      </c>
      <c r="Q239" s="1">
        <v>160</v>
      </c>
      <c r="R239" s="69">
        <f t="shared" si="64"/>
        <v>0</v>
      </c>
      <c r="S239" s="34">
        <f>ROUND(R239/产出与消耗!T54,4)</f>
        <v>0</v>
      </c>
      <c r="T239" s="64">
        <f t="shared" si="65"/>
        <v>0</v>
      </c>
    </row>
    <row r="240" spans="1:23">
      <c r="A240" s="11"/>
      <c r="B240">
        <v>8</v>
      </c>
      <c r="C240">
        <f>MAX(ROUND(C241-(C242-C241)/(产出与消耗!$K$13-产出与消耗!$K$12)*(产出与消耗!$K$12-产出与消耗!$K$11)*1.048,0),0)</f>
        <v>0</v>
      </c>
      <c r="D240" s="1">
        <v>16</v>
      </c>
      <c r="E240">
        <f>ROUND(D240*C240/3600/(建筑!G93*基本公式!$B$153),2)</f>
        <v>0</v>
      </c>
      <c r="F240" s="1">
        <v>13</v>
      </c>
      <c r="G240" s="69">
        <f t="shared" si="61"/>
        <v>0</v>
      </c>
      <c r="K240" s="1">
        <v>470</v>
      </c>
      <c r="L240" s="69">
        <f t="shared" si="62"/>
        <v>0</v>
      </c>
      <c r="M240" s="34">
        <f>ROUND(L240/产出与消耗!T11,4)</f>
        <v>0</v>
      </c>
      <c r="N240" s="1">
        <v>475</v>
      </c>
      <c r="O240" s="69">
        <f t="shared" si="63"/>
        <v>0</v>
      </c>
      <c r="P240" s="34">
        <f>ROUND(O240/产出与消耗!T33,4)</f>
        <v>0</v>
      </c>
      <c r="Q240" s="1">
        <v>160</v>
      </c>
      <c r="R240" s="69">
        <f t="shared" si="64"/>
        <v>0</v>
      </c>
      <c r="S240" s="34">
        <f>ROUND(R240/产出与消耗!T55,4)</f>
        <v>0</v>
      </c>
      <c r="T240" s="64">
        <f t="shared" si="65"/>
        <v>0</v>
      </c>
    </row>
    <row r="241" spans="1:20">
      <c r="B241">
        <v>9</v>
      </c>
      <c r="C241">
        <f>MAX(ROUND(C242-(C243-C242)/(产出与消耗!$K$14-产出与消耗!$K$13)*(产出与消耗!$K$13-产出与消耗!$K$12)*1.048,0),0)</f>
        <v>0</v>
      </c>
      <c r="D241" s="1">
        <v>16</v>
      </c>
      <c r="E241">
        <f>ROUND(D241*C241/3600/(建筑!G94*基本公式!$B$153),2)</f>
        <v>0</v>
      </c>
      <c r="F241" s="1">
        <v>13</v>
      </c>
      <c r="G241" s="69">
        <f t="shared" si="61"/>
        <v>0</v>
      </c>
      <c r="K241" s="1">
        <v>470</v>
      </c>
      <c r="L241" s="69">
        <f t="shared" si="62"/>
        <v>0</v>
      </c>
      <c r="M241" s="34">
        <f>ROUND(L241/产出与消耗!T12,4)</f>
        <v>0</v>
      </c>
      <c r="N241" s="1">
        <v>475</v>
      </c>
      <c r="O241" s="69">
        <f t="shared" si="63"/>
        <v>0</v>
      </c>
      <c r="P241" s="34">
        <f>ROUND(O241/产出与消耗!T34,4)</f>
        <v>0</v>
      </c>
      <c r="Q241" s="1">
        <v>160</v>
      </c>
      <c r="R241" s="69">
        <f t="shared" si="64"/>
        <v>0</v>
      </c>
      <c r="S241" s="34">
        <f>ROUND(R241/产出与消耗!T56,4)</f>
        <v>0</v>
      </c>
      <c r="T241" s="64">
        <f t="shared" si="65"/>
        <v>0</v>
      </c>
    </row>
    <row r="242" spans="1:20">
      <c r="A242" s="38" t="s">
        <v>133</v>
      </c>
      <c r="B242">
        <v>10</v>
      </c>
      <c r="C242">
        <f>MAX(ROUND(C243-(C244-C243)/(产出与消耗!$K$15-产出与消耗!$K$14)*(产出与消耗!$K$14-产出与消耗!$K$13)*1.048,0),0)</f>
        <v>151</v>
      </c>
      <c r="D242" s="1">
        <v>16</v>
      </c>
      <c r="E242">
        <f>ROUND(D242*C242/3600/(建筑!G95*基本公式!$B$153),2)</f>
        <v>0.17</v>
      </c>
      <c r="F242" s="1">
        <v>13</v>
      </c>
      <c r="G242" s="69">
        <f t="shared" si="61"/>
        <v>1963</v>
      </c>
      <c r="K242" s="1">
        <v>470</v>
      </c>
      <c r="L242" s="69">
        <f t="shared" si="62"/>
        <v>70970</v>
      </c>
      <c r="M242" s="34">
        <f>ROUND(L242/产出与消耗!T13,4)</f>
        <v>3.61E-2</v>
      </c>
      <c r="N242" s="1">
        <v>475</v>
      </c>
      <c r="O242" s="69">
        <f t="shared" si="63"/>
        <v>71725</v>
      </c>
      <c r="P242" s="34">
        <f>ROUND(O242/产出与消耗!T35,4)</f>
        <v>3.6499999999999998E-2</v>
      </c>
      <c r="Q242" s="1">
        <v>160</v>
      </c>
      <c r="R242" s="69">
        <f t="shared" si="64"/>
        <v>24160</v>
      </c>
      <c r="S242" s="34">
        <f>ROUND(R242/产出与消耗!T57,4)</f>
        <v>1.84E-2</v>
      </c>
      <c r="T242" s="64">
        <f t="shared" si="65"/>
        <v>9.0999999999999998E-2</v>
      </c>
    </row>
    <row r="243" spans="1:20">
      <c r="B243">
        <v>11</v>
      </c>
      <c r="C243">
        <f>MAX(ROUND(C244-(C245-C244)/(产出与消耗!$K$16-产出与消耗!$K$15)*(产出与消耗!$K$15-产出与消耗!$K$14)*1.048,0),0)</f>
        <v>2381</v>
      </c>
      <c r="D243" s="1">
        <v>16</v>
      </c>
      <c r="E243">
        <f>ROUND(D243*C243/3600/(建筑!G96*基本公式!$B$153),2)</f>
        <v>2.65</v>
      </c>
      <c r="F243" s="1">
        <v>13</v>
      </c>
      <c r="G243" s="69">
        <f t="shared" si="61"/>
        <v>30953</v>
      </c>
      <c r="K243" s="1">
        <v>470</v>
      </c>
      <c r="L243" s="69">
        <f t="shared" si="62"/>
        <v>1119070</v>
      </c>
      <c r="M243" s="34">
        <f>ROUND(L243/产出与消耗!T14,4)</f>
        <v>0.28199999999999997</v>
      </c>
      <c r="N243" s="1">
        <v>475</v>
      </c>
      <c r="O243" s="69">
        <f t="shared" si="63"/>
        <v>1130975</v>
      </c>
      <c r="P243" s="34">
        <f>ROUND(O243/产出与消耗!T36,4)</f>
        <v>0.28499999999999998</v>
      </c>
      <c r="Q243" s="1">
        <v>160</v>
      </c>
      <c r="R243" s="69">
        <f t="shared" si="64"/>
        <v>380960</v>
      </c>
      <c r="S243" s="34">
        <f>ROUND(R243/产出与消耗!T58,4)</f>
        <v>0.14399999999999999</v>
      </c>
      <c r="T243" s="64">
        <f t="shared" si="65"/>
        <v>0.71099999999999997</v>
      </c>
    </row>
    <row r="244" spans="1:20">
      <c r="B244">
        <v>12</v>
      </c>
      <c r="C244">
        <f>MAX(ROUND(C245-(C246-C245)/(产出与消耗!$K$17-产出与消耗!$K$16)*(产出与消耗!$K$16-产出与消耗!$K$15)*1.048,0),0)</f>
        <v>7947</v>
      </c>
      <c r="D244" s="1">
        <v>16</v>
      </c>
      <c r="E244">
        <f>ROUND(D244*C244/3600/(建筑!G97*基本公式!$B$153),2)</f>
        <v>5.89</v>
      </c>
      <c r="F244" s="1">
        <v>13</v>
      </c>
      <c r="G244" s="69">
        <f t="shared" si="61"/>
        <v>103311</v>
      </c>
      <c r="K244" s="1">
        <v>470</v>
      </c>
      <c r="L244" s="69">
        <f t="shared" si="62"/>
        <v>3735090</v>
      </c>
      <c r="M244" s="34">
        <f>ROUND(L244/产出与消耗!T15,4)</f>
        <v>0.4219</v>
      </c>
      <c r="N244" s="1">
        <v>475</v>
      </c>
      <c r="O244" s="69">
        <f t="shared" si="63"/>
        <v>3774825</v>
      </c>
      <c r="P244" s="34">
        <f>ROUND(O244/产出与消耗!T37,4)</f>
        <v>0.4264</v>
      </c>
      <c r="Q244" s="1">
        <v>160</v>
      </c>
      <c r="R244" s="69">
        <f t="shared" si="64"/>
        <v>1271520</v>
      </c>
      <c r="S244" s="34">
        <f>ROUND(R244/产出与消耗!T59,4)</f>
        <v>0.21540000000000001</v>
      </c>
      <c r="T244" s="64">
        <f t="shared" si="65"/>
        <v>1.0637000000000001</v>
      </c>
    </row>
    <row r="245" spans="1:20">
      <c r="A245" s="11"/>
      <c r="B245">
        <v>13</v>
      </c>
      <c r="C245">
        <f>MAX(ROUND(C246-(C247-C246)/(产出与消耗!$K$18-产出与消耗!$K$17)*(产出与消耗!$K$17-产出与消耗!$K$16)*1.048,0),0)</f>
        <v>12477</v>
      </c>
      <c r="D245" s="1">
        <v>16</v>
      </c>
      <c r="E245">
        <f>ROUND(D245*C245/3600/(建筑!G98*基本公式!$B$153),2)</f>
        <v>9.24</v>
      </c>
      <c r="F245" s="1">
        <v>13</v>
      </c>
      <c r="G245" s="69">
        <f t="shared" si="61"/>
        <v>162201</v>
      </c>
      <c r="K245" s="1">
        <v>470</v>
      </c>
      <c r="L245" s="69">
        <f t="shared" si="62"/>
        <v>5864190</v>
      </c>
      <c r="M245" s="34">
        <f>ROUND(L245/产出与消耗!T16,4)</f>
        <v>0.34150000000000003</v>
      </c>
      <c r="N245" s="1">
        <v>475</v>
      </c>
      <c r="O245" s="69">
        <f t="shared" si="63"/>
        <v>5926575</v>
      </c>
      <c r="P245" s="34">
        <f>ROUND(O245/产出与消耗!T38,4)</f>
        <v>0.34520000000000001</v>
      </c>
      <c r="Q245" s="1">
        <v>160</v>
      </c>
      <c r="R245" s="69">
        <f t="shared" si="64"/>
        <v>1996320</v>
      </c>
      <c r="S245" s="34">
        <f>ROUND(R245/产出与消耗!T60,4)</f>
        <v>0.1744</v>
      </c>
      <c r="T245" s="64">
        <f t="shared" si="65"/>
        <v>0.86110000000000009</v>
      </c>
    </row>
    <row r="246" spans="1:20">
      <c r="A246" s="39" t="s">
        <v>134</v>
      </c>
      <c r="B246">
        <v>14</v>
      </c>
      <c r="C246">
        <f>MAX(ROUND(C247-(C248-C247)/(产出与消耗!$K$19-产出与消耗!$K$18)*(产出与消耗!$K$18-产出与消耗!$K$17)*1.048,0),0)</f>
        <v>16352</v>
      </c>
      <c r="D246" s="1">
        <v>16</v>
      </c>
      <c r="E246">
        <f>ROUND(D246*C246/3600/(建筑!G99*基本公式!$B$153),2)</f>
        <v>12.11</v>
      </c>
      <c r="F246" s="1">
        <v>13</v>
      </c>
      <c r="G246" s="69">
        <f t="shared" si="61"/>
        <v>212576</v>
      </c>
      <c r="K246" s="1">
        <v>470</v>
      </c>
      <c r="L246" s="69">
        <f t="shared" si="62"/>
        <v>7685440</v>
      </c>
      <c r="M246" s="34">
        <f>ROUND(L246/产出与消耗!T17,4)</f>
        <v>0.25950000000000001</v>
      </c>
      <c r="N246" s="1">
        <v>475</v>
      </c>
      <c r="O246" s="69">
        <f t="shared" si="63"/>
        <v>7767200</v>
      </c>
      <c r="P246" s="34">
        <f>ROUND(O246/产出与消耗!T39,4)</f>
        <v>0.26229999999999998</v>
      </c>
      <c r="Q246" s="1">
        <v>160</v>
      </c>
      <c r="R246" s="69">
        <f t="shared" si="64"/>
        <v>2616320</v>
      </c>
      <c r="S246" s="34">
        <f>ROUND(R246/产出与消耗!T61,4)</f>
        <v>0.13250000000000001</v>
      </c>
      <c r="T246" s="64">
        <f t="shared" si="65"/>
        <v>0.6543000000000001</v>
      </c>
    </row>
    <row r="247" spans="1:20">
      <c r="B247">
        <v>15</v>
      </c>
      <c r="C247">
        <f>MAX(ROUND(C248-(C249-C248)/(产出与消耗!$K$20-产出与消耗!$K$19)*(产出与消耗!$K$19-产出与消耗!$K$18)*1.048,0),0)</f>
        <v>20618</v>
      </c>
      <c r="D247" s="1">
        <v>16</v>
      </c>
      <c r="E247">
        <f>ROUND(D247*C247/3600/(建筑!G100*基本公式!$B$153),2)</f>
        <v>15.27</v>
      </c>
      <c r="F247" s="1">
        <v>13</v>
      </c>
      <c r="G247" s="69">
        <f t="shared" si="61"/>
        <v>268034</v>
      </c>
      <c r="K247" s="1">
        <v>470</v>
      </c>
      <c r="L247" s="69">
        <f t="shared" si="62"/>
        <v>9690460</v>
      </c>
      <c r="M247" s="34">
        <f>ROUND(L247/产出与消耗!T18,4)</f>
        <v>0.19939999999999999</v>
      </c>
      <c r="N247" s="1">
        <v>475</v>
      </c>
      <c r="O247" s="69">
        <f t="shared" si="63"/>
        <v>9793550</v>
      </c>
      <c r="P247" s="34">
        <f>ROUND(O247/产出与消耗!T40,4)</f>
        <v>0.20150000000000001</v>
      </c>
      <c r="Q247" s="1">
        <v>160</v>
      </c>
      <c r="R247" s="69">
        <f t="shared" si="64"/>
        <v>3298880</v>
      </c>
      <c r="S247" s="34">
        <f>ROUND(R247/产出与消耗!T62,4)</f>
        <v>0.1018</v>
      </c>
      <c r="T247" s="64">
        <f t="shared" si="65"/>
        <v>0.50270000000000004</v>
      </c>
    </row>
    <row r="248" spans="1:20">
      <c r="B248">
        <v>16</v>
      </c>
      <c r="C248">
        <f>MAX(ROUND(C249-(C250-C249)/(产出与消耗!$K$21-产出与消耗!$K$20)*(产出与消耗!$K$20-产出与消耗!$K$19)*1.048,0),0)</f>
        <v>24689</v>
      </c>
      <c r="D248" s="1">
        <v>16</v>
      </c>
      <c r="E248">
        <f>ROUND(D248*C248/3600/(建筑!G101*基本公式!$B$153),2)</f>
        <v>13.72</v>
      </c>
      <c r="F248" s="1">
        <v>13</v>
      </c>
      <c r="G248" s="69">
        <f t="shared" si="61"/>
        <v>320957</v>
      </c>
      <c r="K248" s="1">
        <v>470</v>
      </c>
      <c r="L248" s="69">
        <f t="shared" si="62"/>
        <v>11603830</v>
      </c>
      <c r="M248" s="34">
        <f>ROUND(L248/产出与消耗!T19,4)</f>
        <v>0.15440000000000001</v>
      </c>
      <c r="N248" s="1">
        <v>475</v>
      </c>
      <c r="O248" s="69">
        <f t="shared" si="63"/>
        <v>11727275</v>
      </c>
      <c r="P248" s="34">
        <f>ROUND(O248/产出与消耗!T41,4)</f>
        <v>0.156</v>
      </c>
      <c r="Q248" s="1">
        <v>160</v>
      </c>
      <c r="R248" s="69">
        <f t="shared" si="64"/>
        <v>3950240</v>
      </c>
      <c r="S248" s="34">
        <f>ROUND(R248/产出与消耗!T63,4)</f>
        <v>7.8799999999999995E-2</v>
      </c>
      <c r="T248" s="64">
        <f t="shared" si="65"/>
        <v>0.38919999999999999</v>
      </c>
    </row>
    <row r="249" spans="1:20">
      <c r="B249">
        <v>17</v>
      </c>
      <c r="C249">
        <f>MAX(ROUND(C250-(C251-C250)/(产出与消耗!$K$22-产出与消耗!$K$21)*(产出与消耗!$K$21-产出与消耗!$K$20)*1.048,0),0)</f>
        <v>28962</v>
      </c>
      <c r="D249" s="1">
        <v>16</v>
      </c>
      <c r="E249">
        <f>ROUND(D249*C249/3600/(建筑!G102*基本公式!$B$153),2)</f>
        <v>16.09</v>
      </c>
      <c r="F249" s="1">
        <v>13</v>
      </c>
      <c r="G249" s="69">
        <f t="shared" si="61"/>
        <v>376506</v>
      </c>
      <c r="K249" s="1">
        <v>470</v>
      </c>
      <c r="L249" s="69">
        <f t="shared" si="62"/>
        <v>13612140</v>
      </c>
      <c r="M249" s="34">
        <f>ROUND(L249/产出与消耗!T20,4)</f>
        <v>0.1212</v>
      </c>
      <c r="N249" s="1">
        <v>475</v>
      </c>
      <c r="O249" s="69">
        <f t="shared" si="63"/>
        <v>13756950</v>
      </c>
      <c r="P249" s="34">
        <f>ROUND(O249/产出与消耗!T42,4)</f>
        <v>0.1225</v>
      </c>
      <c r="Q249" s="1">
        <v>160</v>
      </c>
      <c r="R249" s="69">
        <f t="shared" si="64"/>
        <v>4633920</v>
      </c>
      <c r="S249" s="34">
        <f>ROUND(R249/产出与消耗!T64,4)</f>
        <v>6.1899999999999997E-2</v>
      </c>
      <c r="T249" s="64">
        <f t="shared" si="65"/>
        <v>0.30559999999999998</v>
      </c>
    </row>
    <row r="250" spans="1:20">
      <c r="B250">
        <v>18</v>
      </c>
      <c r="C250">
        <f>MAX(ROUND(C251-(C252-C251)/(产出与消耗!$K$23-产出与消耗!$K$22)*(产出与消耗!$K$22-产出与消耗!$K$21)*1.048,0),0)</f>
        <v>33534</v>
      </c>
      <c r="D250" s="1">
        <v>16</v>
      </c>
      <c r="E250">
        <f>ROUND(D250*C250/3600/(建筑!G103*基本公式!$B$153),2)</f>
        <v>18.63</v>
      </c>
      <c r="F250" s="1">
        <v>13</v>
      </c>
      <c r="G250" s="69">
        <f t="shared" si="61"/>
        <v>435942</v>
      </c>
      <c r="K250" s="1">
        <v>470</v>
      </c>
      <c r="L250" s="69">
        <f t="shared" si="62"/>
        <v>15760980</v>
      </c>
      <c r="M250" s="34">
        <f>ROUND(L250/产出与消耗!T21,4)</f>
        <v>9.6500000000000002E-2</v>
      </c>
      <c r="N250" s="1">
        <v>475</v>
      </c>
      <c r="O250" s="69">
        <f t="shared" si="63"/>
        <v>15928650</v>
      </c>
      <c r="P250" s="34">
        <f>ROUND(O250/产出与消耗!T43,4)</f>
        <v>9.7500000000000003E-2</v>
      </c>
      <c r="Q250" s="1">
        <v>160</v>
      </c>
      <c r="R250" s="69">
        <f t="shared" si="64"/>
        <v>5365440</v>
      </c>
      <c r="S250" s="34">
        <f>ROUND(R250/产出与消耗!T65,4)</f>
        <v>4.9299999999999997E-2</v>
      </c>
      <c r="T250" s="64">
        <f t="shared" si="65"/>
        <v>0.24330000000000002</v>
      </c>
    </row>
    <row r="251" spans="1:20">
      <c r="A251" s="40" t="s">
        <v>135</v>
      </c>
      <c r="B251">
        <v>19</v>
      </c>
      <c r="C251">
        <f>ROUND(产出与消耗!$K$22*C252/产出与消耗!$K$23,0)</f>
        <v>38250</v>
      </c>
      <c r="D251" s="1">
        <v>16</v>
      </c>
      <c r="E251">
        <f>ROUND(D251*C251/3600/(建筑!G104*基本公式!$B$153),2)</f>
        <v>21.25</v>
      </c>
      <c r="F251" s="1">
        <v>13</v>
      </c>
      <c r="G251" s="69">
        <f t="shared" si="61"/>
        <v>497250</v>
      </c>
      <c r="K251" s="1">
        <v>470</v>
      </c>
      <c r="L251" s="69">
        <f t="shared" si="62"/>
        <v>17977500</v>
      </c>
      <c r="M251" s="34">
        <f>ROUND(L251/产出与消耗!T22,4)</f>
        <v>7.7700000000000005E-2</v>
      </c>
      <c r="N251" s="1">
        <v>475</v>
      </c>
      <c r="O251" s="69">
        <f t="shared" si="63"/>
        <v>18168750</v>
      </c>
      <c r="P251" s="34">
        <f>ROUND(O251/产出与消耗!T44,4)</f>
        <v>7.8600000000000003E-2</v>
      </c>
      <c r="Q251" s="1">
        <v>160</v>
      </c>
      <c r="R251" s="69">
        <f t="shared" si="64"/>
        <v>6120000</v>
      </c>
      <c r="S251" s="34">
        <f>ROUND(R251/产出与消耗!T66,4)</f>
        <v>3.9699999999999999E-2</v>
      </c>
      <c r="T251" s="64">
        <f t="shared" si="65"/>
        <v>0.19600000000000001</v>
      </c>
    </row>
    <row r="252" spans="1:20">
      <c r="B252">
        <v>20</v>
      </c>
      <c r="C252">
        <v>45000</v>
      </c>
      <c r="D252" s="1">
        <v>16</v>
      </c>
      <c r="E252">
        <f>ROUND(D252*C252/3600/(建筑!G105*基本公式!$B$153),2)</f>
        <v>20</v>
      </c>
      <c r="F252" s="1">
        <v>13</v>
      </c>
      <c r="G252" s="69">
        <f t="shared" si="61"/>
        <v>585000</v>
      </c>
      <c r="K252" s="1">
        <v>470</v>
      </c>
      <c r="L252" s="69">
        <f t="shared" si="62"/>
        <v>21150000</v>
      </c>
      <c r="M252" s="34">
        <f>ROUND(L252/产出与消耗!T23,4)</f>
        <v>6.3299999999999995E-2</v>
      </c>
      <c r="N252" s="1">
        <v>475</v>
      </c>
      <c r="O252" s="69">
        <f t="shared" si="63"/>
        <v>21375000</v>
      </c>
      <c r="P252" s="34">
        <f>ROUND(O252/产出与消耗!T45,4)</f>
        <v>6.3899999999999998E-2</v>
      </c>
      <c r="Q252" s="1">
        <v>160</v>
      </c>
      <c r="R252" s="69">
        <f t="shared" si="64"/>
        <v>7200000</v>
      </c>
      <c r="S252" s="34">
        <f>ROUND(R252/产出与消耗!T67,4)</f>
        <v>3.2300000000000002E-2</v>
      </c>
      <c r="T252" s="64">
        <f t="shared" si="65"/>
        <v>0.15949999999999998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workbookViewId="0">
      <pane xSplit="2" ySplit="1" topLeftCell="C11" activePane="bottomRight" state="frozen"/>
      <selection pane="topRight" activeCell="B1" sqref="B1"/>
      <selection pane="bottomLeft" activeCell="A2" sqref="A2"/>
      <selection pane="bottomRight" activeCell="J2" sqref="J2"/>
    </sheetView>
  </sheetViews>
  <sheetFormatPr defaultRowHeight="13.5"/>
  <cols>
    <col min="2" max="2" width="10.625" customWidth="1"/>
    <col min="7" max="7" width="10.5" customWidth="1"/>
  </cols>
  <sheetData>
    <row r="1" spans="1:12" s="48" customFormat="1">
      <c r="A1" s="48" t="s">
        <v>322</v>
      </c>
      <c r="B1" s="48" t="s">
        <v>303</v>
      </c>
      <c r="C1" s="48" t="s">
        <v>314</v>
      </c>
      <c r="D1" s="48" t="s">
        <v>315</v>
      </c>
      <c r="E1" s="48" t="s">
        <v>316</v>
      </c>
      <c r="F1" s="48" t="s">
        <v>317</v>
      </c>
      <c r="G1" s="48" t="s">
        <v>319</v>
      </c>
      <c r="H1" s="48" t="s">
        <v>318</v>
      </c>
      <c r="I1" s="48" t="s">
        <v>313</v>
      </c>
      <c r="J1" s="48" t="s">
        <v>447</v>
      </c>
      <c r="K1" s="48" t="s">
        <v>352</v>
      </c>
    </row>
    <row r="2" spans="1:12" s="48" customFormat="1" ht="27">
      <c r="B2" s="48" t="s">
        <v>270</v>
      </c>
      <c r="C2" s="48" t="s">
        <v>271</v>
      </c>
      <c r="D2" s="48" t="s">
        <v>272</v>
      </c>
      <c r="E2" s="48" t="s">
        <v>273</v>
      </c>
      <c r="F2" s="48" t="s">
        <v>274</v>
      </c>
      <c r="G2" s="48" t="s">
        <v>275</v>
      </c>
      <c r="H2" s="48" t="s">
        <v>276</v>
      </c>
      <c r="I2" s="48" t="s">
        <v>277</v>
      </c>
      <c r="J2" s="48" t="s">
        <v>278</v>
      </c>
      <c r="K2" s="48" t="s">
        <v>279</v>
      </c>
      <c r="L2" s="48" t="s">
        <v>280</v>
      </c>
    </row>
    <row r="3" spans="1:12">
      <c r="B3">
        <v>1</v>
      </c>
      <c r="C3" s="64">
        <f>其他表格!$AA$2</f>
        <v>0.6</v>
      </c>
      <c r="D3" s="64">
        <f>其他表格!$AB$2+建筑!H44</f>
        <v>0.33999999999999997</v>
      </c>
      <c r="E3" s="64">
        <f>其他表格!$AC$2+建筑!I44</f>
        <v>6.8000000000000005E-2</v>
      </c>
      <c r="F3" s="64">
        <f>其他表格!$AD$2+建筑!J44</f>
        <v>0.03</v>
      </c>
      <c r="G3" s="64">
        <f>其他表格!$AE$2+建筑!K44</f>
        <v>2E-3</v>
      </c>
      <c r="H3" s="34">
        <f t="shared" ref="H3:H22" si="0">ROUND(C3/SUM(C3:G3),4)</f>
        <v>0.57689999999999997</v>
      </c>
      <c r="I3" s="34">
        <f t="shared" ref="I3:I22" si="1">ROUND(D3/SUM(C3:G3),4)</f>
        <v>0.32690000000000002</v>
      </c>
      <c r="J3" s="34">
        <f t="shared" ref="J3:J22" si="2">ROUND(E3/SUM(C3:G3),4)</f>
        <v>6.54E-2</v>
      </c>
      <c r="K3" s="34">
        <f t="shared" ref="K3:K22" si="3">ROUND(F3/SUM(C3:G3),4)</f>
        <v>2.8799999999999999E-2</v>
      </c>
      <c r="L3" s="34">
        <f t="shared" ref="L3:L22" si="4">ROUND(G3/SUM(C3:G3),4)</f>
        <v>1.9E-3</v>
      </c>
    </row>
    <row r="4" spans="1:12">
      <c r="B4">
        <v>2</v>
      </c>
      <c r="C4" s="64">
        <f>其他表格!$AA$2</f>
        <v>0.6</v>
      </c>
      <c r="D4" s="64">
        <f>其他表格!$AB$2+建筑!H45</f>
        <v>0.37</v>
      </c>
      <c r="E4" s="64">
        <f>其他表格!$AC$2+建筑!I45</f>
        <v>6.8000000000000005E-2</v>
      </c>
      <c r="F4" s="64">
        <f>其他表格!$AD$2+建筑!J45</f>
        <v>0.03</v>
      </c>
      <c r="G4" s="64">
        <f>其他表格!$AE$2+建筑!K45</f>
        <v>2E-3</v>
      </c>
      <c r="H4" s="34">
        <f t="shared" si="0"/>
        <v>0.56069999999999998</v>
      </c>
      <c r="I4" s="34">
        <f t="shared" si="1"/>
        <v>0.3458</v>
      </c>
      <c r="J4" s="34">
        <f t="shared" si="2"/>
        <v>6.3600000000000004E-2</v>
      </c>
      <c r="K4" s="34">
        <f t="shared" si="3"/>
        <v>2.8000000000000001E-2</v>
      </c>
      <c r="L4" s="34">
        <f t="shared" si="4"/>
        <v>1.9E-3</v>
      </c>
    </row>
    <row r="5" spans="1:12">
      <c r="B5">
        <v>3</v>
      </c>
      <c r="C5" s="64">
        <f>其他表格!$AA$2</f>
        <v>0.6</v>
      </c>
      <c r="D5" s="64">
        <f>其他表格!$AB$2+建筑!H46</f>
        <v>0.4</v>
      </c>
      <c r="E5" s="64">
        <f>其他表格!$AC$2+建筑!I46</f>
        <v>7.8E-2</v>
      </c>
      <c r="F5" s="64">
        <f>其他表格!$AD$2+建筑!J46</f>
        <v>0.03</v>
      </c>
      <c r="G5" s="64">
        <f>其他表格!$AE$2+建筑!K46</f>
        <v>2E-3</v>
      </c>
      <c r="H5" s="34">
        <f t="shared" si="0"/>
        <v>0.54049999999999998</v>
      </c>
      <c r="I5" s="34">
        <f t="shared" si="1"/>
        <v>0.3604</v>
      </c>
      <c r="J5" s="34">
        <f t="shared" si="2"/>
        <v>7.0300000000000001E-2</v>
      </c>
      <c r="K5" s="34">
        <f t="shared" si="3"/>
        <v>2.7E-2</v>
      </c>
      <c r="L5" s="34">
        <f t="shared" si="4"/>
        <v>1.8E-3</v>
      </c>
    </row>
    <row r="6" spans="1:12">
      <c r="B6">
        <v>4</v>
      </c>
      <c r="C6" s="64">
        <f>其他表格!$AA$2</f>
        <v>0.6</v>
      </c>
      <c r="D6" s="64">
        <f>其他表格!$AB$2+建筑!H47</f>
        <v>0.44999999999999996</v>
      </c>
      <c r="E6" s="64">
        <f>其他表格!$AC$2+建筑!I47</f>
        <v>7.8E-2</v>
      </c>
      <c r="F6" s="64">
        <f>其他表格!$AD$2+建筑!J47</f>
        <v>0.03</v>
      </c>
      <c r="G6" s="64">
        <f>其他表格!$AE$2+建筑!K47</f>
        <v>2E-3</v>
      </c>
      <c r="H6" s="34">
        <f t="shared" si="0"/>
        <v>0.51719999999999999</v>
      </c>
      <c r="I6" s="34">
        <f t="shared" si="1"/>
        <v>0.38790000000000002</v>
      </c>
      <c r="J6" s="34">
        <f t="shared" si="2"/>
        <v>6.7199999999999996E-2</v>
      </c>
      <c r="K6" s="34">
        <f t="shared" si="3"/>
        <v>2.5899999999999999E-2</v>
      </c>
      <c r="L6" s="34">
        <f t="shared" si="4"/>
        <v>1.6999999999999999E-3</v>
      </c>
    </row>
    <row r="7" spans="1:12">
      <c r="B7">
        <v>5</v>
      </c>
      <c r="C7" s="64">
        <f>其他表格!$AA$2</f>
        <v>0.6</v>
      </c>
      <c r="D7" s="64">
        <f>其他表格!$AB$2+建筑!H48</f>
        <v>0.5</v>
      </c>
      <c r="E7" s="64">
        <f>其他表格!$AC$2+建筑!I48</f>
        <v>8.8000000000000009E-2</v>
      </c>
      <c r="F7" s="64">
        <f>其他表格!$AD$2+建筑!J48</f>
        <v>0.03</v>
      </c>
      <c r="G7" s="64">
        <f>其他表格!$AE$2+建筑!K48</f>
        <v>2E-3</v>
      </c>
      <c r="H7" s="34">
        <f t="shared" si="0"/>
        <v>0.49180000000000001</v>
      </c>
      <c r="I7" s="34">
        <f t="shared" si="1"/>
        <v>0.4098</v>
      </c>
      <c r="J7" s="34">
        <f t="shared" si="2"/>
        <v>7.2099999999999997E-2</v>
      </c>
      <c r="K7" s="34">
        <f t="shared" si="3"/>
        <v>2.46E-2</v>
      </c>
      <c r="L7" s="34">
        <f t="shared" si="4"/>
        <v>1.6000000000000001E-3</v>
      </c>
    </row>
    <row r="8" spans="1:12">
      <c r="B8">
        <v>6</v>
      </c>
      <c r="C8" s="64">
        <f>其他表格!$AA$2</f>
        <v>0.6</v>
      </c>
      <c r="D8" s="64">
        <f>其他表格!$AB$2+建筑!H49</f>
        <v>0.55000000000000004</v>
      </c>
      <c r="E8" s="64">
        <f>其他表格!$AC$2+建筑!I49</f>
        <v>9.8000000000000004E-2</v>
      </c>
      <c r="F8" s="64">
        <f>其他表格!$AD$2+建筑!J49</f>
        <v>0.03</v>
      </c>
      <c r="G8" s="64">
        <f>其他表格!$AE$2+建筑!K49</f>
        <v>2E-3</v>
      </c>
      <c r="H8" s="34">
        <f t="shared" si="0"/>
        <v>0.46879999999999999</v>
      </c>
      <c r="I8" s="34">
        <f t="shared" si="1"/>
        <v>0.42970000000000003</v>
      </c>
      <c r="J8" s="34">
        <f t="shared" si="2"/>
        <v>7.6600000000000001E-2</v>
      </c>
      <c r="K8" s="34">
        <f t="shared" si="3"/>
        <v>2.3400000000000001E-2</v>
      </c>
      <c r="L8" s="34">
        <f t="shared" si="4"/>
        <v>1.6000000000000001E-3</v>
      </c>
    </row>
    <row r="9" spans="1:12">
      <c r="B9">
        <v>7</v>
      </c>
      <c r="C9" s="64">
        <f>其他表格!$AA$2</f>
        <v>0.6</v>
      </c>
      <c r="D9" s="64">
        <f>其他表格!$AB$2+建筑!H50</f>
        <v>0.5</v>
      </c>
      <c r="E9" s="64">
        <f>其他表格!$AC$2+建筑!I50</f>
        <v>0.10800000000000001</v>
      </c>
      <c r="F9" s="64">
        <f>其他表格!$AD$2+建筑!J50</f>
        <v>0.03</v>
      </c>
      <c r="G9" s="64">
        <f>其他表格!$AE$2+建筑!K50</f>
        <v>2E-3</v>
      </c>
      <c r="H9" s="34">
        <f t="shared" si="0"/>
        <v>0.4839</v>
      </c>
      <c r="I9" s="34">
        <f t="shared" si="1"/>
        <v>0.4032</v>
      </c>
      <c r="J9" s="34">
        <f t="shared" si="2"/>
        <v>8.7099999999999997E-2</v>
      </c>
      <c r="K9" s="34">
        <f t="shared" si="3"/>
        <v>2.4199999999999999E-2</v>
      </c>
      <c r="L9" s="34">
        <f t="shared" si="4"/>
        <v>1.6000000000000001E-3</v>
      </c>
    </row>
    <row r="10" spans="1:12">
      <c r="B10">
        <v>8</v>
      </c>
      <c r="C10" s="64">
        <f>其他表格!$AA$2</f>
        <v>0.6</v>
      </c>
      <c r="D10" s="64">
        <f>其他表格!$AB$2+建筑!H51</f>
        <v>0.44999999999999996</v>
      </c>
      <c r="E10" s="64">
        <f>其他表格!$AC$2+建筑!I51</f>
        <v>0.11800000000000001</v>
      </c>
      <c r="F10" s="64">
        <f>其他表格!$AD$2+建筑!J51</f>
        <v>0.03</v>
      </c>
      <c r="G10" s="64">
        <f>其他表格!$AE$2+建筑!K51</f>
        <v>2E-3</v>
      </c>
      <c r="H10" s="34">
        <f t="shared" si="0"/>
        <v>0.5</v>
      </c>
      <c r="I10" s="34">
        <f t="shared" si="1"/>
        <v>0.375</v>
      </c>
      <c r="J10" s="34">
        <f t="shared" si="2"/>
        <v>9.8299999999999998E-2</v>
      </c>
      <c r="K10" s="34">
        <f t="shared" si="3"/>
        <v>2.5000000000000001E-2</v>
      </c>
      <c r="L10" s="34">
        <f t="shared" si="4"/>
        <v>1.6999999999999999E-3</v>
      </c>
    </row>
    <row r="11" spans="1:12">
      <c r="B11">
        <v>9</v>
      </c>
      <c r="C11" s="64">
        <f>其他表格!$AA$2</f>
        <v>0.6</v>
      </c>
      <c r="D11" s="64">
        <f>其他表格!$AB$2+建筑!H52</f>
        <v>0.4</v>
      </c>
      <c r="E11" s="64">
        <f>其他表格!$AC$2+建筑!I52</f>
        <v>0.128</v>
      </c>
      <c r="F11" s="64">
        <f>其他表格!$AD$2+建筑!J52</f>
        <v>0.04</v>
      </c>
      <c r="G11" s="64">
        <f>其他表格!$AE$2+建筑!K52</f>
        <v>2E-3</v>
      </c>
      <c r="H11" s="34">
        <f t="shared" si="0"/>
        <v>0.51280000000000003</v>
      </c>
      <c r="I11" s="34">
        <f t="shared" si="1"/>
        <v>0.34189999999999998</v>
      </c>
      <c r="J11" s="34">
        <f t="shared" si="2"/>
        <v>0.1094</v>
      </c>
      <c r="K11" s="34">
        <f t="shared" si="3"/>
        <v>3.4200000000000001E-2</v>
      </c>
      <c r="L11" s="34">
        <f t="shared" si="4"/>
        <v>1.6999999999999999E-3</v>
      </c>
    </row>
    <row r="12" spans="1:12">
      <c r="B12">
        <v>10</v>
      </c>
      <c r="C12" s="64">
        <f>其他表格!$AA$2</f>
        <v>0.6</v>
      </c>
      <c r="D12" s="64">
        <f>其他表格!$AB$2+建筑!H53</f>
        <v>0.4</v>
      </c>
      <c r="E12" s="64">
        <f>其他表格!$AC$2+建筑!I53</f>
        <v>0.14800000000000002</v>
      </c>
      <c r="F12" s="64">
        <f>其他表格!$AD$2+建筑!J53</f>
        <v>0.05</v>
      </c>
      <c r="G12" s="64">
        <f>其他表格!$AE$2+建筑!K53</f>
        <v>2E-3</v>
      </c>
      <c r="H12" s="34">
        <f t="shared" si="0"/>
        <v>0.5</v>
      </c>
      <c r="I12" s="34">
        <f t="shared" si="1"/>
        <v>0.33329999999999999</v>
      </c>
      <c r="J12" s="34">
        <f t="shared" si="2"/>
        <v>0.12330000000000001</v>
      </c>
      <c r="K12" s="34">
        <f t="shared" si="3"/>
        <v>4.1700000000000001E-2</v>
      </c>
      <c r="L12" s="34">
        <f t="shared" si="4"/>
        <v>1.6999999999999999E-3</v>
      </c>
    </row>
    <row r="13" spans="1:12">
      <c r="B13">
        <v>11</v>
      </c>
      <c r="C13" s="64">
        <f>其他表格!$AA$2</f>
        <v>0.6</v>
      </c>
      <c r="D13" s="64">
        <f>其他表格!$AB$2+建筑!H54</f>
        <v>0.4</v>
      </c>
      <c r="E13" s="64">
        <f>其他表格!$AC$2+建筑!I54</f>
        <v>0.16800000000000001</v>
      </c>
      <c r="F13" s="64">
        <f>其他表格!$AD$2+建筑!J54</f>
        <v>0.06</v>
      </c>
      <c r="G13" s="64">
        <f>其他表格!$AE$2+建筑!K54</f>
        <v>2E-3</v>
      </c>
      <c r="H13" s="34">
        <f t="shared" si="0"/>
        <v>0.48780000000000001</v>
      </c>
      <c r="I13" s="34">
        <f t="shared" si="1"/>
        <v>0.32519999999999999</v>
      </c>
      <c r="J13" s="34">
        <f t="shared" si="2"/>
        <v>0.1366</v>
      </c>
      <c r="K13" s="34">
        <f t="shared" si="3"/>
        <v>4.8800000000000003E-2</v>
      </c>
      <c r="L13" s="34">
        <f t="shared" si="4"/>
        <v>1.6000000000000001E-3</v>
      </c>
    </row>
    <row r="14" spans="1:12">
      <c r="B14">
        <v>12</v>
      </c>
      <c r="C14" s="64">
        <f>其他表格!$AA$2</f>
        <v>0.6</v>
      </c>
      <c r="D14" s="64">
        <f>其他表格!$AB$2+建筑!H55</f>
        <v>0.4</v>
      </c>
      <c r="E14" s="64">
        <f>其他表格!$AC$2+建筑!I55</f>
        <v>0.188</v>
      </c>
      <c r="F14" s="64">
        <f>其他表格!$AD$2+建筑!J55</f>
        <v>7.0000000000000007E-2</v>
      </c>
      <c r="G14" s="64">
        <f>其他表格!$AE$2+建筑!K55</f>
        <v>2E-3</v>
      </c>
      <c r="H14" s="34">
        <f t="shared" si="0"/>
        <v>0.47620000000000001</v>
      </c>
      <c r="I14" s="34">
        <f t="shared" si="1"/>
        <v>0.3175</v>
      </c>
      <c r="J14" s="34">
        <f t="shared" si="2"/>
        <v>0.1492</v>
      </c>
      <c r="K14" s="34">
        <f t="shared" si="3"/>
        <v>5.5599999999999997E-2</v>
      </c>
      <c r="L14" s="34">
        <f t="shared" si="4"/>
        <v>1.6000000000000001E-3</v>
      </c>
    </row>
    <row r="15" spans="1:12">
      <c r="B15">
        <v>13</v>
      </c>
      <c r="C15" s="64">
        <f>其他表格!$AA$2</f>
        <v>0.6</v>
      </c>
      <c r="D15" s="64">
        <f>其他表格!$AB$2+建筑!H56</f>
        <v>0.4</v>
      </c>
      <c r="E15" s="64">
        <f>其他表格!$AC$2+建筑!I56</f>
        <v>0.20800000000000002</v>
      </c>
      <c r="F15" s="64">
        <f>其他表格!$AD$2+建筑!J56</f>
        <v>0.08</v>
      </c>
      <c r="G15" s="64">
        <f>其他表格!$AE$2+建筑!K56</f>
        <v>1.2E-2</v>
      </c>
      <c r="H15" s="34">
        <f t="shared" si="0"/>
        <v>0.46150000000000002</v>
      </c>
      <c r="I15" s="34">
        <f t="shared" si="1"/>
        <v>0.30769999999999997</v>
      </c>
      <c r="J15" s="34">
        <f t="shared" si="2"/>
        <v>0.16</v>
      </c>
      <c r="K15" s="34">
        <f t="shared" si="3"/>
        <v>6.1499999999999999E-2</v>
      </c>
      <c r="L15" s="34">
        <f t="shared" si="4"/>
        <v>9.1999999999999998E-3</v>
      </c>
    </row>
    <row r="16" spans="1:12">
      <c r="B16">
        <v>14</v>
      </c>
      <c r="C16" s="64">
        <f>其他表格!$AA$2</f>
        <v>0.6</v>
      </c>
      <c r="D16" s="64">
        <f>其他表格!$AB$2+建筑!H57</f>
        <v>0.4</v>
      </c>
      <c r="E16" s="64">
        <f>其他表格!$AC$2+建筑!I57</f>
        <v>0.22800000000000001</v>
      </c>
      <c r="F16" s="64">
        <f>其他表格!$AD$2+建筑!J57</f>
        <v>0.09</v>
      </c>
      <c r="G16" s="64">
        <f>其他表格!$AE$2+建筑!K57</f>
        <v>1.4E-2</v>
      </c>
      <c r="H16" s="34">
        <f t="shared" si="0"/>
        <v>0.45050000000000001</v>
      </c>
      <c r="I16" s="34">
        <f t="shared" si="1"/>
        <v>0.30030000000000001</v>
      </c>
      <c r="J16" s="34">
        <f t="shared" si="2"/>
        <v>0.17119999999999999</v>
      </c>
      <c r="K16" s="34">
        <f t="shared" si="3"/>
        <v>6.7599999999999993E-2</v>
      </c>
      <c r="L16" s="34">
        <f t="shared" si="4"/>
        <v>1.0500000000000001E-2</v>
      </c>
    </row>
    <row r="17" spans="1:12">
      <c r="B17">
        <v>15</v>
      </c>
      <c r="C17" s="64">
        <f>其他表格!$AA$2</f>
        <v>0.6</v>
      </c>
      <c r="D17" s="64">
        <f>其他表格!$AB$2+建筑!H58</f>
        <v>0.4</v>
      </c>
      <c r="E17" s="64">
        <f>其他表格!$AC$2+建筑!I58</f>
        <v>0.25800000000000001</v>
      </c>
      <c r="F17" s="64">
        <f>其他表格!$AD$2+建筑!J58</f>
        <v>0.1</v>
      </c>
      <c r="G17" s="64">
        <f>其他表格!$AE$2+建筑!K58</f>
        <v>1.6E-2</v>
      </c>
      <c r="H17" s="34">
        <f t="shared" si="0"/>
        <v>0.43669999999999998</v>
      </c>
      <c r="I17" s="34">
        <f t="shared" si="1"/>
        <v>0.29110000000000003</v>
      </c>
      <c r="J17" s="34">
        <f t="shared" si="2"/>
        <v>0.18779999999999999</v>
      </c>
      <c r="K17" s="34">
        <f t="shared" si="3"/>
        <v>7.2800000000000004E-2</v>
      </c>
      <c r="L17" s="34">
        <f t="shared" si="4"/>
        <v>1.1599999999999999E-2</v>
      </c>
    </row>
    <row r="18" spans="1:12">
      <c r="B18">
        <v>16</v>
      </c>
      <c r="C18" s="64">
        <f>其他表格!$AA$2</f>
        <v>0.6</v>
      </c>
      <c r="D18" s="64">
        <f>其他表格!$AB$2+建筑!H59</f>
        <v>0.4</v>
      </c>
      <c r="E18" s="64">
        <f>其他表格!$AC$2+建筑!I59</f>
        <v>0.28800000000000003</v>
      </c>
      <c r="F18" s="64">
        <f>其他表格!$AD$2+建筑!J59</f>
        <v>0.11</v>
      </c>
      <c r="G18" s="64">
        <f>其他表格!$AE$2+建筑!K59</f>
        <v>1.8000000000000002E-2</v>
      </c>
      <c r="H18" s="34">
        <f t="shared" si="0"/>
        <v>0.42370000000000002</v>
      </c>
      <c r="I18" s="34">
        <f t="shared" si="1"/>
        <v>0.28249999999999997</v>
      </c>
      <c r="J18" s="34">
        <f t="shared" si="2"/>
        <v>0.2034</v>
      </c>
      <c r="K18" s="34">
        <f t="shared" si="3"/>
        <v>7.7700000000000005E-2</v>
      </c>
      <c r="L18" s="34">
        <f t="shared" si="4"/>
        <v>1.2699999999999999E-2</v>
      </c>
    </row>
    <row r="19" spans="1:12">
      <c r="B19">
        <v>17</v>
      </c>
      <c r="C19" s="64">
        <f>其他表格!$AA$2</f>
        <v>0.6</v>
      </c>
      <c r="D19" s="64">
        <f>其他表格!$AB$2+建筑!H60</f>
        <v>0.4</v>
      </c>
      <c r="E19" s="64">
        <f>其他表格!$AC$2+建筑!I60</f>
        <v>0.318</v>
      </c>
      <c r="F19" s="64">
        <f>其他表格!$AD$2+建筑!J60</f>
        <v>0.12</v>
      </c>
      <c r="G19" s="64">
        <f>其他表格!$AE$2+建筑!K60</f>
        <v>2.0000000000000004E-2</v>
      </c>
      <c r="H19" s="34">
        <f t="shared" si="0"/>
        <v>0.41149999999999998</v>
      </c>
      <c r="I19" s="34">
        <f t="shared" si="1"/>
        <v>0.27429999999999999</v>
      </c>
      <c r="J19" s="34">
        <f t="shared" si="2"/>
        <v>0.21809999999999999</v>
      </c>
      <c r="K19" s="34">
        <f t="shared" si="3"/>
        <v>8.2299999999999998E-2</v>
      </c>
      <c r="L19" s="34">
        <f t="shared" si="4"/>
        <v>1.37E-2</v>
      </c>
    </row>
    <row r="20" spans="1:12">
      <c r="B20">
        <v>18</v>
      </c>
      <c r="C20" s="64">
        <f>其他表格!$AA$2</f>
        <v>0.6</v>
      </c>
      <c r="D20" s="64">
        <f>其他表格!$AB$2+建筑!H61</f>
        <v>0.4</v>
      </c>
      <c r="E20" s="64">
        <f>其他表格!$AC$2+建筑!I61</f>
        <v>0.34800000000000003</v>
      </c>
      <c r="F20" s="64">
        <f>其他表格!$AD$2+建筑!J61</f>
        <v>0.13</v>
      </c>
      <c r="G20" s="64">
        <f>其他表格!$AE$2+建筑!K61</f>
        <v>2.2000000000000006E-2</v>
      </c>
      <c r="H20" s="34">
        <f t="shared" si="0"/>
        <v>0.4</v>
      </c>
      <c r="I20" s="34">
        <f t="shared" si="1"/>
        <v>0.26669999999999999</v>
      </c>
      <c r="J20" s="34">
        <f t="shared" si="2"/>
        <v>0.23200000000000001</v>
      </c>
      <c r="K20" s="34">
        <f t="shared" si="3"/>
        <v>8.6699999999999999E-2</v>
      </c>
      <c r="L20" s="34">
        <f t="shared" si="4"/>
        <v>1.47E-2</v>
      </c>
    </row>
    <row r="21" spans="1:12">
      <c r="B21">
        <v>19</v>
      </c>
      <c r="C21" s="64">
        <f>其他表格!$AA$2</f>
        <v>0.6</v>
      </c>
      <c r="D21" s="64">
        <f>其他表格!$AB$2+建筑!H62</f>
        <v>0.4</v>
      </c>
      <c r="E21" s="64">
        <f>其他表格!$AC$2+建筑!I62</f>
        <v>0.37800000000000006</v>
      </c>
      <c r="F21" s="64">
        <f>其他表格!$AD$2+建筑!J62</f>
        <v>0.13999999999999999</v>
      </c>
      <c r="G21" s="64">
        <f>其他表格!$AE$2+建筑!K62</f>
        <v>2.4000000000000007E-2</v>
      </c>
      <c r="H21" s="34">
        <f t="shared" si="0"/>
        <v>0.3891</v>
      </c>
      <c r="I21" s="34">
        <f t="shared" si="1"/>
        <v>0.25940000000000002</v>
      </c>
      <c r="J21" s="34">
        <f t="shared" si="2"/>
        <v>0.24510000000000001</v>
      </c>
      <c r="K21" s="34">
        <f t="shared" si="3"/>
        <v>9.0800000000000006E-2</v>
      </c>
      <c r="L21" s="34">
        <f t="shared" si="4"/>
        <v>1.5599999999999999E-2</v>
      </c>
    </row>
    <row r="22" spans="1:12">
      <c r="B22">
        <v>20</v>
      </c>
      <c r="C22" s="64">
        <f>其他表格!$AA$2</f>
        <v>0.6</v>
      </c>
      <c r="D22" s="64">
        <f>其他表格!$AB$2+建筑!H63</f>
        <v>0.4</v>
      </c>
      <c r="E22" s="64">
        <f>其他表格!$AC$2+建筑!I63</f>
        <v>0.40800000000000008</v>
      </c>
      <c r="F22" s="64">
        <f>其他表格!$AD$2+建筑!J63</f>
        <v>0.14999999999999997</v>
      </c>
      <c r="G22" s="64">
        <f>其他表格!$AE$2+建筑!K63</f>
        <v>2.6000000000000009E-2</v>
      </c>
      <c r="H22" s="34">
        <f t="shared" si="0"/>
        <v>0.37880000000000003</v>
      </c>
      <c r="I22" s="34">
        <f t="shared" si="1"/>
        <v>0.2525</v>
      </c>
      <c r="J22" s="34">
        <f t="shared" si="2"/>
        <v>0.2576</v>
      </c>
      <c r="K22" s="34">
        <f t="shared" si="3"/>
        <v>9.4700000000000006E-2</v>
      </c>
      <c r="L22" s="34">
        <f t="shared" si="4"/>
        <v>1.6400000000000001E-2</v>
      </c>
    </row>
    <row r="23" spans="1:12">
      <c r="A23" t="s">
        <v>347</v>
      </c>
      <c r="B23" s="82">
        <f>COUNT(A24:A201)</f>
        <v>100</v>
      </c>
    </row>
    <row r="24" spans="1:12" s="48" customFormat="1"/>
    <row r="25" spans="1:12" s="81" customFormat="1">
      <c r="B25" s="81" t="s">
        <v>321</v>
      </c>
    </row>
    <row r="26" spans="1:12">
      <c r="A26">
        <v>1</v>
      </c>
      <c r="B26" t="s">
        <v>413</v>
      </c>
      <c r="I26">
        <v>1</v>
      </c>
      <c r="K26" t="s">
        <v>414</v>
      </c>
    </row>
    <row r="27" spans="1:12">
      <c r="A27">
        <v>2</v>
      </c>
      <c r="B27" t="s">
        <v>403</v>
      </c>
      <c r="I27">
        <v>1</v>
      </c>
      <c r="K27" t="s">
        <v>402</v>
      </c>
    </row>
    <row r="28" spans="1:12">
      <c r="A28">
        <v>3</v>
      </c>
      <c r="B28" t="s">
        <v>412</v>
      </c>
      <c r="I28">
        <v>1</v>
      </c>
    </row>
    <row r="29" spans="1:12">
      <c r="A29">
        <v>4</v>
      </c>
      <c r="B29" t="s">
        <v>416</v>
      </c>
      <c r="I29">
        <v>2</v>
      </c>
      <c r="K29" t="s">
        <v>415</v>
      </c>
    </row>
    <row r="30" spans="1:12">
      <c r="A30">
        <v>5</v>
      </c>
      <c r="B30" t="s">
        <v>409</v>
      </c>
      <c r="I30">
        <v>2</v>
      </c>
      <c r="K30" t="s">
        <v>408</v>
      </c>
    </row>
    <row r="31" spans="1:12">
      <c r="A31">
        <v>6</v>
      </c>
      <c r="B31" t="s">
        <v>407</v>
      </c>
      <c r="I31">
        <v>2</v>
      </c>
      <c r="K31" t="s">
        <v>406</v>
      </c>
    </row>
    <row r="32" spans="1:12">
      <c r="A32">
        <v>7</v>
      </c>
      <c r="B32" t="s">
        <v>410</v>
      </c>
      <c r="I32">
        <v>3</v>
      </c>
      <c r="K32" t="s">
        <v>411</v>
      </c>
    </row>
    <row r="33" spans="1:11">
      <c r="A33">
        <v>8</v>
      </c>
      <c r="B33" t="s">
        <v>323</v>
      </c>
      <c r="F33">
        <f>SUM(C33:E33)</f>
        <v>0</v>
      </c>
      <c r="G33">
        <f>(I33+1)*基本公式!$B$187*3</f>
        <v>240</v>
      </c>
      <c r="I33">
        <v>3</v>
      </c>
    </row>
    <row r="34" spans="1:11">
      <c r="A34">
        <v>9</v>
      </c>
      <c r="B34" t="s">
        <v>324</v>
      </c>
      <c r="F34">
        <f>SUM(C34:E34)</f>
        <v>0</v>
      </c>
      <c r="G34">
        <f>(I34+1)*基本公式!$B$187*3</f>
        <v>300</v>
      </c>
      <c r="I34">
        <v>4</v>
      </c>
    </row>
    <row r="35" spans="1:11">
      <c r="A35">
        <v>10</v>
      </c>
      <c r="B35" t="s">
        <v>325</v>
      </c>
      <c r="F35">
        <f>SUM(C35:E35)</f>
        <v>0</v>
      </c>
      <c r="G35">
        <f>(I35+1)*基本公式!$B$187*3</f>
        <v>360</v>
      </c>
      <c r="I35">
        <v>5</v>
      </c>
    </row>
    <row r="36" spans="1:11" s="81" customFormat="1">
      <c r="B36" s="81" t="s">
        <v>326</v>
      </c>
    </row>
    <row r="37" spans="1:11">
      <c r="A37">
        <v>1</v>
      </c>
      <c r="B37" t="s">
        <v>327</v>
      </c>
      <c r="F37">
        <f t="shared" ref="F37:F40" si="5">SUM(C37:E37)</f>
        <v>0</v>
      </c>
      <c r="G37">
        <f>(I37+1)*基本公式!$B$187*3</f>
        <v>120</v>
      </c>
      <c r="I37">
        <v>1</v>
      </c>
    </row>
    <row r="38" spans="1:11">
      <c r="A38">
        <v>2</v>
      </c>
      <c r="B38" t="s">
        <v>329</v>
      </c>
      <c r="F38">
        <f t="shared" si="5"/>
        <v>0</v>
      </c>
      <c r="G38">
        <f>(I38+1)*基本公式!$B$187*3</f>
        <v>120</v>
      </c>
      <c r="I38">
        <v>1</v>
      </c>
    </row>
    <row r="39" spans="1:11">
      <c r="A39">
        <v>3</v>
      </c>
      <c r="B39" t="s">
        <v>417</v>
      </c>
      <c r="F39">
        <f t="shared" si="5"/>
        <v>0</v>
      </c>
      <c r="G39">
        <f>(I39+1)*基本公式!$B$187*3</f>
        <v>120</v>
      </c>
      <c r="I39">
        <v>1</v>
      </c>
    </row>
    <row r="40" spans="1:11">
      <c r="A40">
        <v>4</v>
      </c>
      <c r="B40" t="s">
        <v>330</v>
      </c>
      <c r="F40">
        <f t="shared" si="5"/>
        <v>0</v>
      </c>
      <c r="G40">
        <f>(I40+1)*基本公式!$B$187*3</f>
        <v>120</v>
      </c>
      <c r="I40">
        <v>1</v>
      </c>
    </row>
    <row r="41" spans="1:11">
      <c r="A41">
        <v>5</v>
      </c>
      <c r="B41" t="s">
        <v>334</v>
      </c>
      <c r="I41">
        <v>2</v>
      </c>
    </row>
    <row r="42" spans="1:11">
      <c r="A42">
        <v>6</v>
      </c>
      <c r="B42" t="s">
        <v>328</v>
      </c>
      <c r="I42">
        <v>2</v>
      </c>
    </row>
    <row r="43" spans="1:11">
      <c r="A43">
        <v>7</v>
      </c>
      <c r="B43" t="s">
        <v>333</v>
      </c>
      <c r="I43">
        <v>4</v>
      </c>
    </row>
    <row r="44" spans="1:11">
      <c r="A44">
        <v>8</v>
      </c>
      <c r="B44" t="s">
        <v>332</v>
      </c>
      <c r="I44">
        <v>4</v>
      </c>
    </row>
    <row r="45" spans="1:11">
      <c r="A45">
        <v>9</v>
      </c>
      <c r="B45" t="s">
        <v>331</v>
      </c>
      <c r="I45">
        <v>5</v>
      </c>
    </row>
    <row r="46" spans="1:11" s="81" customFormat="1">
      <c r="B46" s="81" t="s">
        <v>335</v>
      </c>
    </row>
    <row r="47" spans="1:11">
      <c r="A47">
        <v>9</v>
      </c>
      <c r="B47" t="s">
        <v>429</v>
      </c>
      <c r="I47">
        <v>1</v>
      </c>
      <c r="K47" t="s">
        <v>428</v>
      </c>
    </row>
    <row r="48" spans="1:11">
      <c r="A48">
        <v>8</v>
      </c>
      <c r="B48" t="s">
        <v>427</v>
      </c>
      <c r="I48">
        <v>2</v>
      </c>
      <c r="K48" t="s">
        <v>426</v>
      </c>
    </row>
    <row r="49" spans="1:11">
      <c r="A49">
        <v>1</v>
      </c>
      <c r="B49" t="s">
        <v>336</v>
      </c>
      <c r="I49">
        <v>2</v>
      </c>
    </row>
    <row r="50" spans="1:11">
      <c r="A50">
        <v>2</v>
      </c>
      <c r="B50" t="s">
        <v>423</v>
      </c>
      <c r="I50">
        <v>2</v>
      </c>
      <c r="K50" t="s">
        <v>422</v>
      </c>
    </row>
    <row r="51" spans="1:11">
      <c r="A51">
        <v>3</v>
      </c>
      <c r="B51" t="s">
        <v>339</v>
      </c>
      <c r="I51">
        <v>3</v>
      </c>
    </row>
    <row r="52" spans="1:11">
      <c r="A52">
        <v>7</v>
      </c>
      <c r="B52" t="s">
        <v>424</v>
      </c>
      <c r="I52">
        <v>3</v>
      </c>
      <c r="K52" t="s">
        <v>425</v>
      </c>
    </row>
    <row r="53" spans="1:11">
      <c r="A53">
        <v>4</v>
      </c>
      <c r="B53" t="s">
        <v>340</v>
      </c>
      <c r="I53">
        <v>4</v>
      </c>
    </row>
    <row r="54" spans="1:11">
      <c r="A54">
        <v>5</v>
      </c>
      <c r="B54" t="s">
        <v>337</v>
      </c>
      <c r="I54">
        <v>4</v>
      </c>
    </row>
    <row r="55" spans="1:11">
      <c r="A55">
        <v>6</v>
      </c>
      <c r="B55" t="s">
        <v>338</v>
      </c>
      <c r="I55">
        <v>5</v>
      </c>
    </row>
    <row r="56" spans="1:11" s="81" customFormat="1">
      <c r="B56" s="81" t="s">
        <v>341</v>
      </c>
    </row>
    <row r="57" spans="1:11">
      <c r="A57">
        <v>1</v>
      </c>
      <c r="B57" t="s">
        <v>361</v>
      </c>
      <c r="I57">
        <v>1</v>
      </c>
      <c r="K57" t="s">
        <v>362</v>
      </c>
    </row>
    <row r="58" spans="1:11">
      <c r="A58">
        <v>2</v>
      </c>
      <c r="B58" t="s">
        <v>421</v>
      </c>
      <c r="I58">
        <v>2</v>
      </c>
      <c r="K58" t="s">
        <v>420</v>
      </c>
    </row>
    <row r="59" spans="1:11">
      <c r="A59">
        <v>3</v>
      </c>
      <c r="B59" t="s">
        <v>376</v>
      </c>
      <c r="I59">
        <v>2</v>
      </c>
      <c r="K59" t="s">
        <v>375</v>
      </c>
    </row>
    <row r="60" spans="1:11">
      <c r="A60">
        <v>4</v>
      </c>
      <c r="B60" t="s">
        <v>419</v>
      </c>
      <c r="I60">
        <v>2</v>
      </c>
      <c r="K60" t="s">
        <v>418</v>
      </c>
    </row>
    <row r="61" spans="1:11">
      <c r="A61">
        <v>5</v>
      </c>
      <c r="B61" t="s">
        <v>356</v>
      </c>
      <c r="I61">
        <v>3</v>
      </c>
    </row>
    <row r="62" spans="1:11">
      <c r="A62">
        <v>6</v>
      </c>
      <c r="B62" t="s">
        <v>368</v>
      </c>
      <c r="I62">
        <v>3</v>
      </c>
      <c r="K62" t="s">
        <v>367</v>
      </c>
    </row>
    <row r="63" spans="1:11">
      <c r="A63">
        <v>7</v>
      </c>
      <c r="B63" t="s">
        <v>386</v>
      </c>
      <c r="I63">
        <v>4</v>
      </c>
      <c r="K63" t="s">
        <v>385</v>
      </c>
    </row>
    <row r="64" spans="1:11">
      <c r="A64">
        <v>8</v>
      </c>
      <c r="B64" t="s">
        <v>431</v>
      </c>
      <c r="I64">
        <v>5</v>
      </c>
    </row>
    <row r="65" spans="1:11" s="81" customFormat="1">
      <c r="B65" s="81" t="s">
        <v>342</v>
      </c>
    </row>
    <row r="66" spans="1:11">
      <c r="A66">
        <v>1</v>
      </c>
      <c r="B66" t="s">
        <v>354</v>
      </c>
      <c r="I66">
        <v>1</v>
      </c>
      <c r="K66" t="s">
        <v>355</v>
      </c>
    </row>
    <row r="67" spans="1:11">
      <c r="A67">
        <v>2</v>
      </c>
      <c r="B67" t="s">
        <v>374</v>
      </c>
      <c r="I67">
        <v>1</v>
      </c>
      <c r="K67" t="s">
        <v>373</v>
      </c>
    </row>
    <row r="68" spans="1:11">
      <c r="A68">
        <v>3</v>
      </c>
      <c r="B68" t="s">
        <v>389</v>
      </c>
      <c r="I68">
        <v>1</v>
      </c>
      <c r="K68" t="s">
        <v>388</v>
      </c>
    </row>
    <row r="69" spans="1:11">
      <c r="A69">
        <v>4</v>
      </c>
      <c r="B69" t="s">
        <v>380</v>
      </c>
      <c r="I69">
        <v>1</v>
      </c>
      <c r="K69" t="s">
        <v>379</v>
      </c>
    </row>
    <row r="70" spans="1:11">
      <c r="A70">
        <v>5</v>
      </c>
      <c r="B70" t="s">
        <v>360</v>
      </c>
      <c r="I70">
        <v>2</v>
      </c>
      <c r="K70" t="s">
        <v>359</v>
      </c>
    </row>
    <row r="71" spans="1:11">
      <c r="A71">
        <v>6</v>
      </c>
      <c r="B71" t="s">
        <v>382</v>
      </c>
      <c r="I71">
        <v>2</v>
      </c>
      <c r="K71" t="s">
        <v>381</v>
      </c>
    </row>
    <row r="72" spans="1:11">
      <c r="A72">
        <v>7</v>
      </c>
      <c r="B72" t="s">
        <v>396</v>
      </c>
      <c r="I72">
        <v>4</v>
      </c>
    </row>
    <row r="73" spans="1:11">
      <c r="A73">
        <v>8</v>
      </c>
      <c r="B73" t="s">
        <v>430</v>
      </c>
      <c r="I73">
        <v>5</v>
      </c>
    </row>
    <row r="74" spans="1:11" s="81" customFormat="1">
      <c r="B74" s="81" t="s">
        <v>343</v>
      </c>
    </row>
    <row r="75" spans="1:11">
      <c r="A75">
        <v>1</v>
      </c>
      <c r="B75" t="s">
        <v>364</v>
      </c>
      <c r="I75">
        <v>1</v>
      </c>
      <c r="K75" t="s">
        <v>363</v>
      </c>
    </row>
    <row r="76" spans="1:11">
      <c r="A76">
        <v>2</v>
      </c>
      <c r="B76" t="s">
        <v>366</v>
      </c>
      <c r="I76">
        <v>1</v>
      </c>
      <c r="K76" t="s">
        <v>365</v>
      </c>
    </row>
    <row r="77" spans="1:11">
      <c r="A77">
        <v>3</v>
      </c>
      <c r="B77" t="s">
        <v>395</v>
      </c>
      <c r="I77">
        <v>1</v>
      </c>
      <c r="K77" t="s">
        <v>394</v>
      </c>
    </row>
    <row r="78" spans="1:11">
      <c r="A78">
        <v>4</v>
      </c>
      <c r="B78" t="s">
        <v>398</v>
      </c>
      <c r="I78">
        <v>1</v>
      </c>
      <c r="K78" t="s">
        <v>399</v>
      </c>
    </row>
    <row r="79" spans="1:11">
      <c r="A79">
        <v>5</v>
      </c>
      <c r="B79" t="s">
        <v>393</v>
      </c>
      <c r="I79">
        <v>2</v>
      </c>
      <c r="K79" t="s">
        <v>392</v>
      </c>
    </row>
    <row r="80" spans="1:11">
      <c r="A80">
        <v>6</v>
      </c>
      <c r="B80" t="s">
        <v>397</v>
      </c>
      <c r="I80">
        <v>3</v>
      </c>
    </row>
    <row r="81" spans="1:11">
      <c r="A81">
        <v>7</v>
      </c>
      <c r="B81" t="s">
        <v>401</v>
      </c>
      <c r="I81">
        <v>4</v>
      </c>
      <c r="K81" t="s">
        <v>400</v>
      </c>
    </row>
    <row r="82" spans="1:11">
      <c r="A82">
        <v>8</v>
      </c>
      <c r="B82" t="s">
        <v>390</v>
      </c>
      <c r="I82">
        <v>4</v>
      </c>
      <c r="K82" t="s">
        <v>391</v>
      </c>
    </row>
    <row r="83" spans="1:11" s="81" customFormat="1">
      <c r="B83" s="81" t="s">
        <v>344</v>
      </c>
    </row>
    <row r="84" spans="1:11">
      <c r="A84">
        <v>1</v>
      </c>
      <c r="B84" t="s">
        <v>351</v>
      </c>
      <c r="I84">
        <v>1</v>
      </c>
      <c r="K84" t="s">
        <v>353</v>
      </c>
    </row>
    <row r="85" spans="1:11">
      <c r="A85">
        <v>2</v>
      </c>
      <c r="B85" t="s">
        <v>358</v>
      </c>
      <c r="I85">
        <v>1</v>
      </c>
      <c r="K85" t="s">
        <v>357</v>
      </c>
    </row>
    <row r="86" spans="1:11">
      <c r="A86">
        <v>3</v>
      </c>
      <c r="B86" t="s">
        <v>372</v>
      </c>
      <c r="I86">
        <v>1</v>
      </c>
      <c r="K86" t="s">
        <v>371</v>
      </c>
    </row>
    <row r="87" spans="1:11">
      <c r="A87">
        <v>4</v>
      </c>
      <c r="B87" t="s">
        <v>384</v>
      </c>
      <c r="I87">
        <v>1</v>
      </c>
      <c r="K87" t="s">
        <v>383</v>
      </c>
    </row>
    <row r="88" spans="1:11">
      <c r="A88">
        <v>5</v>
      </c>
      <c r="B88" t="s">
        <v>378</v>
      </c>
      <c r="I88">
        <v>1</v>
      </c>
      <c r="K88" t="s">
        <v>377</v>
      </c>
    </row>
    <row r="89" spans="1:11">
      <c r="A89">
        <v>6</v>
      </c>
      <c r="B89" t="s">
        <v>370</v>
      </c>
      <c r="I89">
        <v>2</v>
      </c>
      <c r="K89" t="s">
        <v>369</v>
      </c>
    </row>
    <row r="90" spans="1:11">
      <c r="A90">
        <v>7</v>
      </c>
      <c r="B90" t="s">
        <v>387</v>
      </c>
      <c r="I90">
        <v>5</v>
      </c>
    </row>
    <row r="91" spans="1:11" s="81" customFormat="1">
      <c r="B91" s="81" t="s">
        <v>345</v>
      </c>
    </row>
    <row r="92" spans="1:11">
      <c r="A92">
        <v>1</v>
      </c>
      <c r="B92" t="s">
        <v>435</v>
      </c>
      <c r="I92">
        <v>1</v>
      </c>
      <c r="K92" t="s">
        <v>434</v>
      </c>
    </row>
    <row r="93" spans="1:11">
      <c r="A93">
        <v>2</v>
      </c>
      <c r="B93" t="s">
        <v>437</v>
      </c>
      <c r="I93">
        <v>1</v>
      </c>
      <c r="K93" t="s">
        <v>436</v>
      </c>
    </row>
    <row r="94" spans="1:11">
      <c r="A94">
        <v>3</v>
      </c>
      <c r="B94" t="s">
        <v>432</v>
      </c>
      <c r="I94">
        <v>2</v>
      </c>
      <c r="K94" t="s">
        <v>433</v>
      </c>
    </row>
    <row r="95" spans="1:11">
      <c r="A95">
        <v>4</v>
      </c>
      <c r="B95" t="s">
        <v>443</v>
      </c>
      <c r="I95">
        <v>3</v>
      </c>
      <c r="K95" t="s">
        <v>442</v>
      </c>
    </row>
    <row r="96" spans="1:11">
      <c r="A96">
        <v>5</v>
      </c>
      <c r="B96" t="s">
        <v>439</v>
      </c>
      <c r="I96">
        <v>3</v>
      </c>
      <c r="K96" t="s">
        <v>438</v>
      </c>
    </row>
    <row r="97" spans="1:11">
      <c r="A97">
        <v>6</v>
      </c>
      <c r="B97" t="s">
        <v>441</v>
      </c>
      <c r="I97">
        <v>4</v>
      </c>
      <c r="K97" t="s">
        <v>440</v>
      </c>
    </row>
    <row r="98" spans="1:11" s="81" customFormat="1">
      <c r="B98" s="81" t="s">
        <v>346</v>
      </c>
    </row>
    <row r="99" spans="1:11">
      <c r="A99">
        <v>1</v>
      </c>
    </row>
    <row r="100" spans="1:11">
      <c r="A100">
        <v>2</v>
      </c>
    </row>
    <row r="101" spans="1:11">
      <c r="A101">
        <v>3</v>
      </c>
    </row>
    <row r="102" spans="1:11">
      <c r="A102">
        <v>4</v>
      </c>
    </row>
    <row r="103" spans="1:11">
      <c r="A103">
        <v>5</v>
      </c>
    </row>
    <row r="104" spans="1:11">
      <c r="A104">
        <v>6</v>
      </c>
    </row>
    <row r="105" spans="1:11">
      <c r="A105">
        <v>7</v>
      </c>
    </row>
    <row r="106" spans="1:11">
      <c r="A106">
        <v>8</v>
      </c>
    </row>
    <row r="107" spans="1:11">
      <c r="A107">
        <v>9</v>
      </c>
    </row>
    <row r="108" spans="1:11">
      <c r="A108">
        <v>10</v>
      </c>
    </row>
    <row r="109" spans="1:11">
      <c r="A109">
        <v>11</v>
      </c>
    </row>
    <row r="110" spans="1:11">
      <c r="A110">
        <v>12</v>
      </c>
    </row>
    <row r="111" spans="1:11">
      <c r="A111">
        <v>13</v>
      </c>
    </row>
    <row r="112" spans="1:11">
      <c r="A112">
        <v>14</v>
      </c>
    </row>
    <row r="113" spans="1:2">
      <c r="A113">
        <v>15</v>
      </c>
    </row>
    <row r="114" spans="1:2">
      <c r="A114">
        <v>16</v>
      </c>
    </row>
    <row r="115" spans="1:2" s="81" customFormat="1">
      <c r="B115" s="81" t="s">
        <v>348</v>
      </c>
    </row>
    <row r="116" spans="1:2">
      <c r="A116">
        <v>1</v>
      </c>
    </row>
    <row r="117" spans="1:2">
      <c r="A117">
        <v>2</v>
      </c>
    </row>
    <row r="118" spans="1:2">
      <c r="A118">
        <v>3</v>
      </c>
    </row>
    <row r="119" spans="1:2">
      <c r="A119">
        <v>4</v>
      </c>
    </row>
    <row r="120" spans="1:2">
      <c r="A120">
        <v>5</v>
      </c>
    </row>
    <row r="121" spans="1:2">
      <c r="A121">
        <v>6</v>
      </c>
    </row>
    <row r="122" spans="1:2" s="81" customFormat="1">
      <c r="B122" s="81" t="s">
        <v>349</v>
      </c>
    </row>
    <row r="123" spans="1:2">
      <c r="A123">
        <v>1</v>
      </c>
    </row>
    <row r="124" spans="1:2">
      <c r="A124">
        <v>2</v>
      </c>
    </row>
    <row r="125" spans="1:2">
      <c r="A125">
        <v>3</v>
      </c>
    </row>
    <row r="126" spans="1:2">
      <c r="A126">
        <v>4</v>
      </c>
    </row>
    <row r="127" spans="1:2">
      <c r="A127">
        <v>5</v>
      </c>
    </row>
    <row r="128" spans="1:2">
      <c r="A128">
        <v>6</v>
      </c>
    </row>
    <row r="129" spans="1:2" s="81" customFormat="1">
      <c r="B129" s="81" t="s">
        <v>350</v>
      </c>
    </row>
    <row r="130" spans="1:2">
      <c r="A130">
        <v>1</v>
      </c>
    </row>
    <row r="131" spans="1:2">
      <c r="A131">
        <v>2</v>
      </c>
    </row>
    <row r="132" spans="1:2">
      <c r="A132">
        <v>3</v>
      </c>
    </row>
    <row r="133" spans="1:2">
      <c r="A133">
        <v>4</v>
      </c>
    </row>
    <row r="134" spans="1:2">
      <c r="A134">
        <v>5</v>
      </c>
    </row>
    <row r="135" spans="1:2">
      <c r="A135">
        <v>6</v>
      </c>
    </row>
    <row r="136" spans="1:2">
      <c r="A136">
        <v>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7" sqref="D17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基本公式</vt:lpstr>
      <vt:lpstr>兵攻防</vt:lpstr>
      <vt:lpstr>产出与消耗</vt:lpstr>
      <vt:lpstr>建筑消耗</vt:lpstr>
      <vt:lpstr>建筑</vt:lpstr>
      <vt:lpstr>兵消耗</vt:lpstr>
      <vt:lpstr>科技</vt:lpstr>
      <vt:lpstr>武将</vt:lpstr>
      <vt:lpstr>大地图</vt:lpstr>
      <vt:lpstr>其他表格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2013-09-22T09:51:23Z</dcterms:modified>
</cp:coreProperties>
</file>