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orksheet\"/>
    </mc:Choice>
  </mc:AlternateContent>
  <bookViews>
    <workbookView xWindow="0" yWindow="0" windowWidth="28800" windowHeight="11955"/>
  </bookViews>
  <sheets>
    <sheet name="Trawl_Info" sheetId="1" r:id="rId1"/>
    <sheet name="Trawl Debris_Count" sheetId="2" r:id="rId2"/>
    <sheet name="Trawl 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8" i="1" l="1"/>
  <c r="Q48" i="1"/>
  <c r="N48" i="1"/>
  <c r="M48" i="1"/>
  <c r="H48" i="1"/>
  <c r="G48" i="1"/>
  <c r="E48" i="1"/>
  <c r="D48" i="1"/>
  <c r="R47" i="1"/>
  <c r="Q47" i="1"/>
  <c r="N47" i="1"/>
  <c r="M47" i="1"/>
  <c r="H47" i="1"/>
  <c r="G47" i="1"/>
  <c r="E47" i="1"/>
  <c r="D47" i="1"/>
  <c r="R46" i="1"/>
  <c r="Q46" i="1"/>
  <c r="N46" i="1"/>
  <c r="M46" i="1"/>
  <c r="H46" i="1"/>
  <c r="G46" i="1"/>
  <c r="E46" i="1"/>
  <c r="D46" i="1"/>
  <c r="R45" i="1"/>
  <c r="Q45" i="1"/>
  <c r="N45" i="1"/>
  <c r="M45" i="1"/>
  <c r="H45" i="1"/>
  <c r="G45" i="1"/>
  <c r="E45" i="1"/>
  <c r="D45" i="1"/>
  <c r="R44" i="1"/>
  <c r="Q44" i="1"/>
  <c r="N44" i="1"/>
  <c r="M44" i="1"/>
  <c r="H44" i="1"/>
  <c r="G44" i="1"/>
  <c r="E44" i="1"/>
  <c r="D44" i="1"/>
  <c r="R43" i="1"/>
  <c r="Q43" i="1"/>
  <c r="N43" i="1"/>
  <c r="M43" i="1"/>
  <c r="H43" i="1"/>
  <c r="G43" i="1"/>
  <c r="E43" i="1"/>
  <c r="D43" i="1"/>
  <c r="R40" i="1"/>
  <c r="Q40" i="1"/>
  <c r="N40" i="1"/>
  <c r="M40" i="1"/>
  <c r="H40" i="1"/>
  <c r="G40" i="1"/>
  <c r="E40" i="1"/>
  <c r="D40" i="1"/>
  <c r="R39" i="1"/>
  <c r="Q39" i="1"/>
  <c r="N39" i="1"/>
  <c r="M39" i="1"/>
  <c r="H39" i="1"/>
  <c r="G39" i="1"/>
  <c r="E39" i="1"/>
  <c r="D39" i="1"/>
  <c r="R38" i="1"/>
  <c r="Q38" i="1"/>
  <c r="N38" i="1"/>
  <c r="M38" i="1"/>
  <c r="H38" i="1"/>
  <c r="G38" i="1"/>
  <c r="E38" i="1"/>
  <c r="D38" i="1"/>
  <c r="N37" i="1"/>
  <c r="M37" i="1"/>
  <c r="H37" i="1"/>
  <c r="G37" i="1"/>
  <c r="E37" i="1"/>
  <c r="D37" i="1"/>
  <c r="R36" i="1"/>
  <c r="Q36" i="1"/>
  <c r="N36" i="1"/>
  <c r="M36" i="1"/>
  <c r="H36" i="1"/>
  <c r="G36" i="1"/>
  <c r="E36" i="1"/>
  <c r="D36" i="1"/>
  <c r="R35" i="1"/>
  <c r="Q35" i="1"/>
  <c r="N35" i="1"/>
  <c r="M35" i="1"/>
  <c r="H35" i="1"/>
  <c r="G35" i="1"/>
  <c r="E35" i="1"/>
  <c r="D35" i="1"/>
  <c r="R34" i="1"/>
  <c r="Q34" i="1"/>
  <c r="N34" i="1"/>
  <c r="M34" i="1"/>
  <c r="H34" i="1"/>
  <c r="G34" i="1"/>
  <c r="E34" i="1"/>
  <c r="D34" i="1"/>
  <c r="R33" i="1"/>
  <c r="Q33" i="1"/>
  <c r="N33" i="1"/>
  <c r="M33" i="1"/>
  <c r="H33" i="1"/>
  <c r="G33" i="1"/>
  <c r="E33" i="1"/>
  <c r="D33" i="1"/>
  <c r="R32" i="1"/>
  <c r="Q32" i="1"/>
  <c r="N32" i="1"/>
  <c r="M32" i="1"/>
  <c r="H32" i="1"/>
  <c r="G32" i="1"/>
  <c r="E32" i="1"/>
  <c r="D32" i="1"/>
  <c r="R31" i="1"/>
  <c r="Q31" i="1"/>
  <c r="N31" i="1"/>
  <c r="M31" i="1"/>
  <c r="H31" i="1"/>
  <c r="G31" i="1"/>
  <c r="E31" i="1"/>
  <c r="D31" i="1"/>
  <c r="R30" i="1"/>
  <c r="Q30" i="1"/>
  <c r="N30" i="1"/>
  <c r="M30" i="1"/>
  <c r="H30" i="1"/>
  <c r="G30" i="1"/>
  <c r="E30" i="1"/>
  <c r="D30" i="1"/>
  <c r="R29" i="1"/>
  <c r="Q29" i="1"/>
  <c r="N29" i="1"/>
  <c r="M29" i="1"/>
  <c r="H29" i="1"/>
  <c r="G29" i="1"/>
  <c r="E29" i="1"/>
  <c r="D29" i="1"/>
  <c r="R28" i="1"/>
  <c r="Q28" i="1"/>
  <c r="N28" i="1"/>
  <c r="M28" i="1"/>
  <c r="H28" i="1"/>
  <c r="G28" i="1"/>
  <c r="E28" i="1"/>
  <c r="D28" i="1"/>
  <c r="R27" i="1"/>
  <c r="Q27" i="1"/>
  <c r="N27" i="1"/>
  <c r="M27" i="1"/>
  <c r="H27" i="1"/>
  <c r="G27" i="1"/>
  <c r="E27" i="1"/>
  <c r="D27" i="1"/>
  <c r="R26" i="1"/>
  <c r="Q26" i="1"/>
  <c r="N26" i="1"/>
  <c r="M26" i="1"/>
  <c r="H26" i="1"/>
  <c r="G26" i="1"/>
  <c r="E26" i="1"/>
  <c r="D26" i="1"/>
  <c r="R25" i="1"/>
  <c r="Q25" i="1"/>
  <c r="N25" i="1"/>
  <c r="M25" i="1"/>
  <c r="H25" i="1"/>
  <c r="G25" i="1"/>
  <c r="E25" i="1"/>
  <c r="D25" i="1"/>
  <c r="R24" i="1"/>
  <c r="Q24" i="1"/>
  <c r="N24" i="1"/>
  <c r="M24" i="1"/>
  <c r="H24" i="1"/>
  <c r="G24" i="1"/>
  <c r="E24" i="1"/>
  <c r="D24" i="1"/>
  <c r="R23" i="1"/>
  <c r="Q23" i="1"/>
  <c r="N23" i="1"/>
  <c r="M23" i="1"/>
  <c r="H23" i="1"/>
  <c r="G23" i="1"/>
  <c r="E23" i="1"/>
  <c r="D23" i="1"/>
  <c r="R22" i="1"/>
  <c r="Q22" i="1"/>
  <c r="N22" i="1"/>
  <c r="M22" i="1"/>
  <c r="H22" i="1"/>
  <c r="G22" i="1"/>
  <c r="E22" i="1"/>
  <c r="D22" i="1"/>
  <c r="R21" i="1"/>
  <c r="Q21" i="1"/>
  <c r="N21" i="1"/>
  <c r="M21" i="1"/>
  <c r="H21" i="1"/>
  <c r="G21" i="1"/>
  <c r="E21" i="1"/>
  <c r="D21" i="1"/>
  <c r="R20" i="1"/>
  <c r="Q20" i="1"/>
  <c r="N20" i="1"/>
  <c r="M20" i="1"/>
  <c r="H20" i="1"/>
  <c r="G20" i="1"/>
  <c r="E20" i="1"/>
  <c r="D20" i="1"/>
  <c r="R19" i="1"/>
  <c r="Q19" i="1"/>
  <c r="N19" i="1"/>
  <c r="M19" i="1"/>
  <c r="H19" i="1"/>
  <c r="G19" i="1"/>
  <c r="E19" i="1"/>
  <c r="D19" i="1"/>
  <c r="R18" i="1"/>
  <c r="Q18" i="1"/>
  <c r="N18" i="1"/>
  <c r="M18" i="1"/>
  <c r="H18" i="1"/>
  <c r="G18" i="1"/>
  <c r="E18" i="1"/>
  <c r="D18" i="1"/>
  <c r="R17" i="1"/>
  <c r="Q17" i="1"/>
  <c r="N17" i="1"/>
  <c r="M17" i="1"/>
  <c r="H17" i="1"/>
  <c r="G17" i="1"/>
  <c r="E17" i="1"/>
  <c r="D17" i="1"/>
  <c r="R16" i="1"/>
  <c r="Q16" i="1"/>
  <c r="N16" i="1"/>
  <c r="M16" i="1"/>
  <c r="H16" i="1"/>
  <c r="G16" i="1"/>
  <c r="E16" i="1"/>
  <c r="D16" i="1"/>
  <c r="R15" i="1"/>
  <c r="Q15" i="1"/>
  <c r="N15" i="1"/>
  <c r="M15" i="1"/>
  <c r="E15" i="1"/>
  <c r="D15" i="1"/>
  <c r="R14" i="1"/>
  <c r="Q14" i="1"/>
  <c r="N14" i="1"/>
  <c r="M14" i="1"/>
  <c r="H14" i="1"/>
  <c r="G14" i="1"/>
  <c r="E14" i="1"/>
  <c r="D14" i="1"/>
  <c r="R13" i="1"/>
  <c r="Q13" i="1"/>
  <c r="N13" i="1"/>
  <c r="M13" i="1"/>
  <c r="H13" i="1"/>
  <c r="G13" i="1"/>
  <c r="E13" i="1"/>
  <c r="D13" i="1"/>
  <c r="R12" i="1"/>
  <c r="Q12" i="1"/>
  <c r="N12" i="1"/>
  <c r="M12" i="1"/>
  <c r="H12" i="1"/>
  <c r="G12" i="1"/>
  <c r="E12" i="1"/>
  <c r="D12" i="1"/>
  <c r="N11" i="1"/>
  <c r="M11" i="1"/>
  <c r="E11" i="1"/>
  <c r="D11" i="1"/>
  <c r="R10" i="1"/>
  <c r="Q10" i="1"/>
  <c r="N10" i="1"/>
  <c r="M10" i="1"/>
  <c r="H10" i="1"/>
  <c r="G10" i="1"/>
  <c r="E10" i="1"/>
  <c r="D10" i="1"/>
  <c r="R9" i="1"/>
  <c r="Q9" i="1"/>
  <c r="N9" i="1"/>
  <c r="M9" i="1"/>
  <c r="H9" i="1"/>
  <c r="G9" i="1"/>
  <c r="E9" i="1"/>
  <c r="D9" i="1"/>
  <c r="R8" i="1"/>
  <c r="Q8" i="1"/>
  <c r="N8" i="1"/>
  <c r="M8" i="1"/>
  <c r="H8" i="1"/>
  <c r="G8" i="1"/>
  <c r="E8" i="1"/>
  <c r="D8" i="1"/>
  <c r="R7" i="1"/>
  <c r="Q7" i="1"/>
  <c r="N7" i="1"/>
  <c r="M7" i="1"/>
  <c r="H7" i="1"/>
  <c r="G7" i="1"/>
  <c r="E7" i="1"/>
  <c r="D7" i="1"/>
  <c r="R6" i="1"/>
  <c r="Q6" i="1"/>
  <c r="N6" i="1"/>
  <c r="M6" i="1"/>
  <c r="H6" i="1"/>
  <c r="G6" i="1"/>
  <c r="E6" i="1"/>
  <c r="D6" i="1"/>
  <c r="R5" i="1"/>
  <c r="Q5" i="1"/>
  <c r="N5" i="1"/>
  <c r="M5" i="1"/>
  <c r="H5" i="1"/>
  <c r="G5" i="1"/>
  <c r="E5" i="1"/>
  <c r="D5" i="1"/>
  <c r="R4" i="1"/>
  <c r="Q4" i="1"/>
  <c r="N4" i="1"/>
  <c r="M4" i="1"/>
  <c r="H4" i="1"/>
  <c r="G4" i="1"/>
  <c r="E4" i="1"/>
  <c r="D4" i="1"/>
  <c r="R3" i="1"/>
  <c r="Q3" i="1"/>
  <c r="N3" i="1"/>
  <c r="M3" i="1"/>
  <c r="H3" i="1"/>
  <c r="G3" i="1"/>
  <c r="E3" i="1"/>
  <c r="D3" i="1"/>
  <c r="R2" i="1"/>
  <c r="Q2" i="1"/>
  <c r="N2" i="1"/>
  <c r="M2" i="1"/>
  <c r="H2" i="1"/>
  <c r="G2" i="1"/>
  <c r="E2" i="1"/>
  <c r="D2" i="1"/>
</calcChain>
</file>

<file path=xl/sharedStrings.xml><?xml version="1.0" encoding="utf-8"?>
<sst xmlns="http://schemas.openxmlformats.org/spreadsheetml/2006/main" count="644" uniqueCount="270">
  <si>
    <t>Cruise</t>
    <phoneticPr fontId="4" type="noConversion"/>
  </si>
  <si>
    <t>Tow ID</t>
    <phoneticPr fontId="4" type="noConversion"/>
  </si>
  <si>
    <t>Date</t>
    <phoneticPr fontId="4" type="noConversion"/>
  </si>
  <si>
    <t>GIW_Long</t>
    <phoneticPr fontId="4" type="noConversion"/>
  </si>
  <si>
    <t>GIW_Lat</t>
    <phoneticPr fontId="4" type="noConversion"/>
  </si>
  <si>
    <t>GIW_Time</t>
    <phoneticPr fontId="4" type="noConversion"/>
  </si>
  <si>
    <t>GONB_Long</t>
    <phoneticPr fontId="4" type="noConversion"/>
  </si>
  <si>
    <t>GONB_Lat</t>
    <phoneticPr fontId="4" type="noConversion"/>
  </si>
  <si>
    <t>GONB_Depth</t>
    <phoneticPr fontId="4" type="noConversion"/>
  </si>
  <si>
    <t>GONB_Time</t>
    <phoneticPr fontId="4" type="noConversion"/>
  </si>
  <si>
    <t>GOFB_Tow speed</t>
    <phoneticPr fontId="4" type="noConversion"/>
  </si>
  <si>
    <t>GOFB_Wire Length</t>
    <phoneticPr fontId="4" type="noConversion"/>
  </si>
  <si>
    <t>GOFB_Long</t>
    <phoneticPr fontId="4" type="noConversion"/>
  </si>
  <si>
    <t>GOFB_Lat</t>
    <phoneticPr fontId="4" type="noConversion"/>
  </si>
  <si>
    <t>GOFB_Depth</t>
    <phoneticPr fontId="4" type="noConversion"/>
  </si>
  <si>
    <t>GOFB_Time</t>
    <phoneticPr fontId="4" type="noConversion"/>
  </si>
  <si>
    <t>GOW_Long</t>
    <phoneticPr fontId="4" type="noConversion"/>
  </si>
  <si>
    <t>GOW_Lat</t>
    <phoneticPr fontId="4" type="noConversion"/>
  </si>
  <si>
    <t>GOW_Time</t>
    <phoneticPr fontId="4" type="noConversion"/>
  </si>
  <si>
    <t>Notes</t>
  </si>
  <si>
    <t>OR1_1235</t>
    <phoneticPr fontId="4" type="noConversion"/>
  </si>
  <si>
    <t>DW4187</t>
    <phoneticPr fontId="4" type="noConversion"/>
  </si>
  <si>
    <t>OR1_1235</t>
    <phoneticPr fontId="4" type="noConversion"/>
  </si>
  <si>
    <t>CP4188</t>
    <phoneticPr fontId="4" type="noConversion"/>
  </si>
  <si>
    <t>OR1_1235</t>
  </si>
  <si>
    <t>CP4189</t>
    <phoneticPr fontId="4" type="noConversion"/>
  </si>
  <si>
    <t>15:25到底；礫石卵石多</t>
    <phoneticPr fontId="4" type="noConversion"/>
  </si>
  <si>
    <t>DW4190</t>
    <phoneticPr fontId="4" type="noConversion"/>
  </si>
  <si>
    <t>No tension↓</t>
    <phoneticPr fontId="4" type="noConversion"/>
  </si>
  <si>
    <t>CP4191</t>
    <phoneticPr fontId="4" type="noConversion"/>
  </si>
  <si>
    <t>trawl未關</t>
    <phoneticPr fontId="4" type="noConversion"/>
  </si>
  <si>
    <t>CP4192</t>
    <phoneticPr fontId="4" type="noConversion"/>
  </si>
  <si>
    <t>CP4193</t>
    <phoneticPr fontId="4" type="noConversion"/>
  </si>
  <si>
    <t>trawl破</t>
    <phoneticPr fontId="4" type="noConversion"/>
  </si>
  <si>
    <t>CP4194</t>
    <phoneticPr fontId="4" type="noConversion"/>
  </si>
  <si>
    <t>23:24到底</t>
    <phoneticPr fontId="4" type="noConversion"/>
  </si>
  <si>
    <r>
      <t>D</t>
    </r>
    <r>
      <rPr>
        <sz val="12"/>
        <color theme="1"/>
        <rFont val="新細明體"/>
        <family val="1"/>
        <charset val="136"/>
        <scheme val="minor"/>
      </rPr>
      <t>W4195</t>
    </r>
    <phoneticPr fontId="4" type="noConversion"/>
  </si>
  <si>
    <r>
      <t>C</t>
    </r>
    <r>
      <rPr>
        <sz val="12"/>
        <color theme="1"/>
        <rFont val="新細明體"/>
        <family val="1"/>
        <charset val="136"/>
        <scheme val="minor"/>
      </rPr>
      <t>P4196</t>
    </r>
    <phoneticPr fontId="4" type="noConversion"/>
  </si>
  <si>
    <r>
      <t>D</t>
    </r>
    <r>
      <rPr>
        <sz val="12"/>
        <color theme="1"/>
        <rFont val="新細明體"/>
        <family val="1"/>
        <charset val="136"/>
        <scheme val="minor"/>
      </rPr>
      <t>W4197</t>
    </r>
    <phoneticPr fontId="4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</si>
  <si>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6:20到底</t>
    </r>
    <phoneticPr fontId="4" type="noConversion"/>
  </si>
  <si>
    <r>
      <t>D</t>
    </r>
    <r>
      <rPr>
        <sz val="12"/>
        <color theme="1"/>
        <rFont val="新細明體"/>
        <family val="1"/>
        <charset val="136"/>
        <scheme val="minor"/>
      </rPr>
      <t>W4198</t>
    </r>
    <phoneticPr fontId="4" type="noConversion"/>
  </si>
  <si>
    <t>玻璃海綿多</t>
    <phoneticPr fontId="4" type="noConversion"/>
  </si>
  <si>
    <r>
      <t>D</t>
    </r>
    <r>
      <rPr>
        <sz val="12"/>
        <color theme="1"/>
        <rFont val="新細明體"/>
        <family val="1"/>
        <charset val="136"/>
        <scheme val="minor"/>
      </rPr>
      <t>W4199</t>
    </r>
    <phoneticPr fontId="4" type="noConversion"/>
  </si>
  <si>
    <r>
      <t>D</t>
    </r>
    <r>
      <rPr>
        <sz val="12"/>
        <color theme="1"/>
        <rFont val="新細明體"/>
        <family val="1"/>
        <charset val="136"/>
        <scheme val="minor"/>
      </rPr>
      <t>W4200</t>
    </r>
    <phoneticPr fontId="4" type="noConversion"/>
  </si>
  <si>
    <t>未到底</t>
    <phoneticPr fontId="4" type="noConversion"/>
  </si>
  <si>
    <r>
      <t>D</t>
    </r>
    <r>
      <rPr>
        <sz val="12"/>
        <color theme="1"/>
        <rFont val="新細明體"/>
        <family val="1"/>
        <charset val="136"/>
        <scheme val="minor"/>
      </rPr>
      <t>W4201</t>
    </r>
    <phoneticPr fontId="4" type="noConversion"/>
  </si>
  <si>
    <r>
      <t>C</t>
    </r>
    <r>
      <rPr>
        <sz val="12"/>
        <color theme="1"/>
        <rFont val="新細明體"/>
        <family val="1"/>
        <charset val="136"/>
        <scheme val="minor"/>
      </rPr>
      <t>P4202</t>
    </r>
    <phoneticPr fontId="4" type="noConversion"/>
  </si>
  <si>
    <r>
      <t>C</t>
    </r>
    <r>
      <rPr>
        <sz val="12"/>
        <color theme="1"/>
        <rFont val="新細明體"/>
        <family val="1"/>
        <charset val="136"/>
        <scheme val="minor"/>
      </rPr>
      <t>P4203</t>
    </r>
    <phoneticPr fontId="4" type="noConversion"/>
  </si>
  <si>
    <t>16:04到1700m</t>
    <phoneticPr fontId="4" type="noConversion"/>
  </si>
  <si>
    <t>CP4204</t>
    <phoneticPr fontId="4" type="noConversion"/>
  </si>
  <si>
    <t>CP4205</t>
    <phoneticPr fontId="4" type="noConversion"/>
  </si>
  <si>
    <r>
      <t>C</t>
    </r>
    <r>
      <rPr>
        <sz val="12"/>
        <color theme="1"/>
        <rFont val="新細明體"/>
        <family val="1"/>
        <charset val="136"/>
        <scheme val="minor"/>
      </rPr>
      <t>P4206</t>
    </r>
    <phoneticPr fontId="4" type="noConversion"/>
  </si>
  <si>
    <t>OR1_1244</t>
    <phoneticPr fontId="4" type="noConversion"/>
  </si>
  <si>
    <t>CP4207</t>
    <phoneticPr fontId="4" type="noConversion"/>
  </si>
  <si>
    <t>Tension顯示不正常，around 200kg</t>
    <phoneticPr fontId="4" type="noConversion"/>
  </si>
  <si>
    <t>CP4208</t>
    <phoneticPr fontId="4" type="noConversion"/>
  </si>
  <si>
    <t>CP4209</t>
    <phoneticPr fontId="4" type="noConversion"/>
  </si>
  <si>
    <t>卡到纜繩，船的鉸鏈繩子拉斷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</si>
  <si>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</si>
  <si>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H1</t>
    <phoneticPr fontId="4" type="noConversion"/>
  </si>
  <si>
    <t>OT1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</si>
  <si>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</si>
  <si>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OT2-2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</si>
  <si>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</si>
  <si>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OT3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</si>
  <si>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</si>
  <si>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OT4</t>
  </si>
  <si>
    <t>OT5</t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</si>
  <si>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</si>
  <si>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OT6</t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</si>
  <si>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</si>
  <si>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OT7</t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</si>
  <si>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</si>
  <si>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OT8</t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</si>
  <si>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</si>
  <si>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OT9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</si>
  <si>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</si>
  <si>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T1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</si>
  <si>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</si>
  <si>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Y1</t>
    <phoneticPr fontId="4" type="noConversion"/>
  </si>
  <si>
    <t>NOR1_T004</t>
    <phoneticPr fontId="4" type="noConversion"/>
  </si>
  <si>
    <t>CP4210</t>
    <phoneticPr fontId="4" type="noConversion"/>
  </si>
  <si>
    <t>NOR1_T004</t>
    <phoneticPr fontId="4" type="noConversion"/>
  </si>
  <si>
    <t>CP4211</t>
  </si>
  <si>
    <t>完整廢油桶</t>
    <phoneticPr fontId="4" type="noConversion"/>
  </si>
  <si>
    <t>NOR1_T004</t>
  </si>
  <si>
    <t>CP4212</t>
  </si>
  <si>
    <t>黑煙囪</t>
    <phoneticPr fontId="4" type="noConversion"/>
  </si>
  <si>
    <t>CP4213</t>
  </si>
  <si>
    <t>NOR1_002B</t>
    <phoneticPr fontId="4" type="noConversion"/>
  </si>
  <si>
    <t>CP4214</t>
    <phoneticPr fontId="3" type="noConversion"/>
  </si>
  <si>
    <t>NOR1_002B</t>
    <phoneticPr fontId="4" type="noConversion"/>
  </si>
  <si>
    <t>CP4215</t>
    <phoneticPr fontId="3" type="noConversion"/>
  </si>
  <si>
    <t>NOR1_002B</t>
    <phoneticPr fontId="4" type="noConversion"/>
  </si>
  <si>
    <t>CP4216</t>
  </si>
  <si>
    <t>NOR1_002C</t>
    <phoneticPr fontId="4" type="noConversion"/>
  </si>
  <si>
    <t>CP4217</t>
    <phoneticPr fontId="4" type="noConversion"/>
  </si>
  <si>
    <t>可能未到底，東西很少，多浮游性</t>
    <phoneticPr fontId="4" type="noConversion"/>
  </si>
  <si>
    <t>NOR1_002C</t>
    <phoneticPr fontId="4" type="noConversion"/>
  </si>
  <si>
    <t>CP4218</t>
  </si>
  <si>
    <t>5:46到底</t>
    <phoneticPr fontId="4" type="noConversion"/>
  </si>
  <si>
    <t>NOR1_002C</t>
    <phoneticPr fontId="4" type="noConversion"/>
  </si>
  <si>
    <t>CP4219</t>
  </si>
  <si>
    <t>16:14離底</t>
    <phoneticPr fontId="4" type="noConversion"/>
  </si>
  <si>
    <t>NOR1_002C</t>
    <phoneticPr fontId="4" type="noConversion"/>
  </si>
  <si>
    <t>CP4220</t>
  </si>
  <si>
    <t>NOR1_002C</t>
    <phoneticPr fontId="4" type="noConversion"/>
  </si>
  <si>
    <t>CP4221</t>
  </si>
  <si>
    <t>右車故障</t>
    <phoneticPr fontId="4" type="noConversion"/>
  </si>
  <si>
    <t>Cruise</t>
    <phoneticPr fontId="4" type="noConversion"/>
  </si>
  <si>
    <t>Tow ID</t>
    <phoneticPr fontId="4" type="noConversion"/>
  </si>
  <si>
    <t>Type</t>
    <phoneticPr fontId="4" type="noConversion"/>
  </si>
  <si>
    <t>Sample</t>
    <phoneticPr fontId="4" type="noConversion"/>
  </si>
  <si>
    <t>Weight(g)</t>
    <phoneticPr fontId="4" type="noConversion"/>
  </si>
  <si>
    <t>Count</t>
    <phoneticPr fontId="4" type="noConversion"/>
  </si>
  <si>
    <t>Note</t>
    <phoneticPr fontId="4" type="noConversion"/>
  </si>
  <si>
    <t>OR1_1235</t>
    <phoneticPr fontId="4" type="noConversion"/>
  </si>
  <si>
    <t>DW4187</t>
  </si>
  <si>
    <t>Plastic</t>
    <phoneticPr fontId="4" type="noConversion"/>
  </si>
  <si>
    <t>Plastic rope</t>
    <phoneticPr fontId="4" type="noConversion"/>
  </si>
  <si>
    <t>OR1_1235</t>
    <phoneticPr fontId="4" type="noConversion"/>
  </si>
  <si>
    <t>Metal</t>
  </si>
  <si>
    <t>Bolt</t>
  </si>
  <si>
    <t>huge metal ring</t>
  </si>
  <si>
    <t>Fabric</t>
    <phoneticPr fontId="4" type="noConversion"/>
  </si>
  <si>
    <t>Rope</t>
  </si>
  <si>
    <t>1小段</t>
  </si>
  <si>
    <t>CP4188</t>
  </si>
  <si>
    <t>Plastic rope</t>
  </si>
  <si>
    <t>2小段</t>
  </si>
  <si>
    <t>Plastic</t>
  </si>
  <si>
    <t>Fisging line</t>
  </si>
  <si>
    <t>Metal Fragments</t>
  </si>
  <si>
    <t>Glass</t>
  </si>
  <si>
    <t>Glass Fragments</t>
    <phoneticPr fontId="4" type="noConversion"/>
  </si>
  <si>
    <t>可能是同一個Glass但碎掉</t>
  </si>
  <si>
    <t>Others</t>
    <phoneticPr fontId="4" type="noConversion"/>
  </si>
  <si>
    <t>Wood</t>
  </si>
  <si>
    <t>CP4189</t>
  </si>
  <si>
    <t>Plastic Fragments</t>
  </si>
  <si>
    <t>Other</t>
  </si>
  <si>
    <t>Cable tie</t>
  </si>
  <si>
    <t>Glass Bottles</t>
  </si>
  <si>
    <t>附著8隻籐壺</t>
  </si>
  <si>
    <t>Rubber</t>
  </si>
  <si>
    <t>Rubber Fragments</t>
  </si>
  <si>
    <t>Processed Lumber</t>
  </si>
  <si>
    <t>Paper and cardboard</t>
  </si>
  <si>
    <t>Fabric</t>
    <phoneticPr fontId="4" type="noConversion"/>
  </si>
  <si>
    <t>Fabric pieces</t>
  </si>
  <si>
    <t>Others</t>
    <phoneticPr fontId="4" type="noConversion"/>
  </si>
  <si>
    <t>CP4191</t>
  </si>
  <si>
    <t>Wood</t>
    <phoneticPr fontId="4" type="noConversion"/>
  </si>
  <si>
    <t>CP4192</t>
  </si>
  <si>
    <t>Plastic Fragments</t>
    <phoneticPr fontId="4" type="noConversion"/>
  </si>
  <si>
    <t>Rope</t>
    <phoneticPr fontId="4" type="noConversion"/>
  </si>
  <si>
    <t>Wood</t>
    <phoneticPr fontId="4" type="noConversion"/>
  </si>
  <si>
    <t>CP4194</t>
  </si>
  <si>
    <t>化妝品包裝</t>
  </si>
  <si>
    <t>花生殼</t>
  </si>
  <si>
    <t>CP4196</t>
  </si>
  <si>
    <t>繩</t>
    <phoneticPr fontId="4" type="noConversion"/>
  </si>
  <si>
    <t>Coal Clinker</t>
  </si>
  <si>
    <t>DW4197</t>
  </si>
  <si>
    <t>延繩釣</t>
  </si>
  <si>
    <t>DW4198</t>
    <phoneticPr fontId="4" type="noConversion"/>
  </si>
  <si>
    <t>Metal</t>
    <phoneticPr fontId="4" type="noConversion"/>
  </si>
  <si>
    <t>Metal Ring</t>
    <phoneticPr fontId="4" type="noConversion"/>
  </si>
  <si>
    <t>DW4201</t>
  </si>
  <si>
    <t>Food wrappers</t>
  </si>
  <si>
    <t>Metal Ring</t>
  </si>
  <si>
    <t>Glass Fragments</t>
  </si>
  <si>
    <t>CP4202</t>
  </si>
  <si>
    <t>Cups</t>
  </si>
  <si>
    <t>鋁箔包</t>
  </si>
  <si>
    <t>Fiber</t>
  </si>
  <si>
    <t>CP4203</t>
  </si>
  <si>
    <t>Sponges</t>
  </si>
  <si>
    <t>CP4204</t>
  </si>
  <si>
    <t>一個為檳榔包裝</t>
  </si>
  <si>
    <t>Bottles</t>
  </si>
  <si>
    <t>Bags</t>
  </si>
  <si>
    <t>一個為夾鏈袋，一個為垃圾袋</t>
  </si>
  <si>
    <t>Cloth/Fabric</t>
  </si>
  <si>
    <t>CP4205</t>
  </si>
  <si>
    <t>藥瓶</t>
  </si>
  <si>
    <t>Others</t>
    <phoneticPr fontId="4" type="noConversion"/>
  </si>
  <si>
    <t>Battery</t>
  </si>
  <si>
    <t>Brick</t>
  </si>
  <si>
    <t>Mud Stack(煙囟)</t>
  </si>
  <si>
    <t>CP4206</t>
  </si>
  <si>
    <t>Copper line</t>
  </si>
  <si>
    <t>Cabal</t>
  </si>
  <si>
    <t>OR1_1244</t>
    <phoneticPr fontId="4" type="noConversion"/>
  </si>
  <si>
    <t>CP4207</t>
    <phoneticPr fontId="4" type="noConversion"/>
  </si>
  <si>
    <t>CP4207</t>
    <phoneticPr fontId="4" type="noConversion"/>
  </si>
  <si>
    <t>Cable tie</t>
    <phoneticPr fontId="4" type="noConversion"/>
  </si>
  <si>
    <t>OR1_1244</t>
  </si>
  <si>
    <t>Glass</t>
    <phoneticPr fontId="4" type="noConversion"/>
  </si>
  <si>
    <t>Beverage bottles</t>
    <phoneticPr fontId="4" type="noConversion"/>
  </si>
  <si>
    <t>Others</t>
    <phoneticPr fontId="4" type="noConversion"/>
  </si>
  <si>
    <t>wood</t>
    <phoneticPr fontId="4" type="noConversion"/>
  </si>
  <si>
    <t>??</t>
    <phoneticPr fontId="4" type="noConversion"/>
  </si>
  <si>
    <t>CP4208</t>
    <phoneticPr fontId="4" type="noConversion"/>
  </si>
  <si>
    <t>Plastic</t>
    <phoneticPr fontId="4" type="noConversion"/>
  </si>
  <si>
    <t>Plastic fragments</t>
    <phoneticPr fontId="4" type="noConversion"/>
  </si>
  <si>
    <t>CP4209</t>
    <phoneticPr fontId="4" type="noConversion"/>
  </si>
  <si>
    <t>CP4209</t>
    <phoneticPr fontId="4" type="noConversion"/>
  </si>
  <si>
    <t>Metal</t>
    <phoneticPr fontId="4" type="noConversion"/>
  </si>
  <si>
    <t>Cable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</si>
  <si>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</si>
  <si>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Y1</t>
    <phoneticPr fontId="4" type="noConversion"/>
  </si>
  <si>
    <t>Food wrappers</t>
    <phoneticPr fontId="4" type="noConversion"/>
  </si>
  <si>
    <t>Plastic</t>
    <phoneticPr fontId="4" type="noConversion"/>
  </si>
  <si>
    <t>Caps</t>
    <phoneticPr fontId="4" type="noConversion"/>
  </si>
  <si>
    <t>Bags</t>
    <phoneticPr fontId="4" type="noConversion"/>
  </si>
  <si>
    <t>Plastic Rope</t>
    <phoneticPr fontId="4" type="noConversion"/>
  </si>
  <si>
    <t>Y1</t>
    <phoneticPr fontId="4" type="noConversion"/>
  </si>
  <si>
    <t>Plastic Utensils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</si>
  <si>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</si>
  <si>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Y1</t>
    <phoneticPr fontId="4" type="noConversion"/>
  </si>
  <si>
    <t>Other Plastic Item</t>
    <phoneticPr fontId="4" type="noConversion"/>
  </si>
  <si>
    <t>尺、星星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</si>
  <si>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</si>
  <si>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Others</t>
    <phoneticPr fontId="4" type="noConversion"/>
  </si>
  <si>
    <t>麻布袋</t>
    <phoneticPr fontId="4" type="noConversion"/>
  </si>
  <si>
    <t>T1</t>
    <phoneticPr fontId="4" type="noConversion"/>
  </si>
  <si>
    <t>Food wrappers</t>
    <phoneticPr fontId="4" type="noConversion"/>
  </si>
  <si>
    <t>大，有許多生物附著</t>
    <phoneticPr fontId="4" type="noConversion"/>
  </si>
  <si>
    <t>OT9</t>
    <phoneticPr fontId="4" type="noConversion"/>
  </si>
  <si>
    <t>有2硬殼</t>
    <phoneticPr fontId="4" type="noConversion"/>
  </si>
  <si>
    <t>Food wrappers</t>
    <phoneticPr fontId="4" type="noConversion"/>
  </si>
  <si>
    <t>from菲律賓</t>
    <phoneticPr fontId="4" type="noConversion"/>
  </si>
  <si>
    <r>
      <t>FR2_</t>
    </r>
    <r>
      <rPr>
        <sz val="12"/>
        <color theme="1"/>
        <rFont val="新細明體"/>
        <family val="2"/>
        <charset val="136"/>
        <scheme val="minor"/>
      </rPr>
      <t>20200903</t>
    </r>
    <phoneticPr fontId="4" type="noConversion"/>
  </si>
  <si>
    <t>OT9</t>
    <phoneticPr fontId="4" type="noConversion"/>
  </si>
  <si>
    <t>Plastic</t>
    <phoneticPr fontId="4" type="noConversion"/>
  </si>
  <si>
    <t>電線</t>
    <phoneticPr fontId="4" type="noConversion"/>
  </si>
  <si>
    <t>OT8</t>
    <phoneticPr fontId="4" type="noConversion"/>
  </si>
  <si>
    <t>貓食</t>
    <phoneticPr fontId="4" type="noConversion"/>
  </si>
  <si>
    <t>電線</t>
    <phoneticPr fontId="4" type="noConversion"/>
  </si>
  <si>
    <t>OT7</t>
    <phoneticPr fontId="4" type="noConversion"/>
  </si>
  <si>
    <t>Plastic</t>
    <phoneticPr fontId="4" type="noConversion"/>
  </si>
  <si>
    <t>OT6</t>
    <phoneticPr fontId="4" type="noConversion"/>
  </si>
  <si>
    <t>簡體字</t>
    <phoneticPr fontId="4" type="noConversion"/>
  </si>
  <si>
    <t>OT6</t>
    <phoneticPr fontId="4" type="noConversion"/>
  </si>
  <si>
    <t>Metal Fragments</t>
    <phoneticPr fontId="4" type="noConversion"/>
  </si>
  <si>
    <t>不確定</t>
    <phoneticPr fontId="4" type="noConversion"/>
  </si>
  <si>
    <t>OT5</t>
    <phoneticPr fontId="4" type="noConversion"/>
  </si>
  <si>
    <t>Plastic Fragments</t>
    <phoneticPr fontId="4" type="noConversion"/>
  </si>
  <si>
    <t>Bags</t>
    <phoneticPr fontId="4" type="noConversion"/>
  </si>
  <si>
    <t>OT5</t>
    <phoneticPr fontId="4" type="noConversion"/>
  </si>
  <si>
    <t>Plastic</t>
    <phoneticPr fontId="4" type="noConversion"/>
  </si>
  <si>
    <t>硬</t>
    <phoneticPr fontId="4" type="noConversion"/>
  </si>
  <si>
    <t>OT4</t>
    <phoneticPr fontId="4" type="noConversion"/>
  </si>
  <si>
    <t>OT4</t>
    <phoneticPr fontId="4" type="noConversion"/>
  </si>
  <si>
    <t>康師傅；簡體</t>
    <phoneticPr fontId="4" type="noConversion"/>
  </si>
  <si>
    <t>OT3</t>
    <phoneticPr fontId="4" type="noConversion"/>
  </si>
  <si>
    <t>OT2-2</t>
    <phoneticPr fontId="4" type="noConversion"/>
  </si>
  <si>
    <t>OT1</t>
    <phoneticPr fontId="4" type="noConversion"/>
  </si>
  <si>
    <t>Plastic Fragments</t>
    <phoneticPr fontId="4" type="noConversion"/>
  </si>
  <si>
    <t>Name</t>
    <phoneticPr fontId="4" type="noConversion"/>
  </si>
  <si>
    <t>Description</t>
    <phoneticPr fontId="4" type="noConversion"/>
  </si>
  <si>
    <t>GIW</t>
  </si>
  <si>
    <t>Gear in water</t>
    <phoneticPr fontId="4" type="noConversion"/>
  </si>
  <si>
    <t>GONB</t>
  </si>
  <si>
    <t>Gear on bottom</t>
    <phoneticPr fontId="4" type="noConversion"/>
  </si>
  <si>
    <t>GOFB</t>
  </si>
  <si>
    <t>Gear off bottom</t>
    <phoneticPr fontId="4" type="noConversion"/>
  </si>
  <si>
    <t>GOW</t>
  </si>
  <si>
    <t>Gear out of water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</si>
</sst>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0.0000"/>
  </numFmts>
  <fonts count="10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源泉圓體 R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0"/>
      <name val="源泉圓體 R"/>
      <family val="2"/>
      <charset val="136"/>
    </font>
    <font>
      <sz val="12"/>
      <color theme="1"/>
      <name val="Times New Roman"/>
      <family val="1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3">
    <xf numFmtId="0" fontId="0" fillId="0" borderId="0" xfId="0"/>
    <xf numFmtId="0" fontId="2" fillId="5" borderId="1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 wrapText="1"/>
    </xf>
    <xf numFmtId="0" fontId="2" fillId="5" borderId="2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 wrapText="1"/>
    </xf>
    <xf numFmtId="0" fontId="2" fillId="5" borderId="3" xfId="2" applyFont="1" applyFill="1" applyBorder="1" applyAlignment="1">
      <alignment horizontal="center" vertical="center"/>
    </xf>
    <xf numFmtId="0" fontId="5" fillId="5" borderId="0" xfId="0" applyFont="1" applyFill="1"/>
    <xf numFmtId="0" fontId="0" fillId="6" borderId="3" xfId="0" applyFill="1" applyBorder="1"/>
    <xf numFmtId="0" fontId="0" fillId="0" borderId="3" xfId="0" applyBorder="1"/>
    <xf numFmtId="176" fontId="6" fillId="0" borderId="3" xfId="0" applyNumberFormat="1" applyFont="1" applyBorder="1" applyAlignment="1">
      <alignment horizontal="center" vertical="center"/>
    </xf>
    <xf numFmtId="177" fontId="0" fillId="7" borderId="4" xfId="0" applyNumberFormat="1" applyFill="1" applyBorder="1"/>
    <xf numFmtId="177" fontId="0" fillId="7" borderId="3" xfId="0" applyNumberFormat="1" applyFill="1" applyBorder="1"/>
    <xf numFmtId="20" fontId="0" fillId="7" borderId="3" xfId="0" applyNumberFormat="1" applyFill="1" applyBorder="1"/>
    <xf numFmtId="177" fontId="0" fillId="0" borderId="5" xfId="0" applyNumberFormat="1" applyBorder="1"/>
    <xf numFmtId="177" fontId="0" fillId="0" borderId="3" xfId="0" applyNumberFormat="1" applyBorder="1"/>
    <xf numFmtId="20" fontId="7" fillId="0" borderId="3" xfId="3" applyNumberFormat="1" applyFont="1" applyFill="1" applyBorder="1" applyAlignment="1"/>
    <xf numFmtId="0" fontId="0" fillId="7" borderId="6" xfId="0" applyFill="1" applyBorder="1"/>
    <xf numFmtId="0" fontId="0" fillId="7" borderId="3" xfId="0" applyFill="1" applyBorder="1"/>
    <xf numFmtId="20" fontId="0" fillId="0" borderId="7" xfId="0" applyNumberFormat="1" applyBorder="1"/>
    <xf numFmtId="20" fontId="1" fillId="8" borderId="3" xfId="3" applyNumberFormat="1" applyFill="1" applyBorder="1" applyAlignment="1"/>
    <xf numFmtId="0" fontId="1" fillId="8" borderId="3" xfId="1" applyFill="1" applyBorder="1" applyAlignment="1"/>
    <xf numFmtId="0" fontId="9" fillId="0" borderId="3" xfId="0" applyFont="1" applyBorder="1"/>
    <xf numFmtId="177" fontId="0" fillId="8" borderId="5" xfId="0" applyNumberFormat="1" applyFill="1" applyBorder="1"/>
    <xf numFmtId="177" fontId="0" fillId="8" borderId="3" xfId="0" applyNumberFormat="1" applyFill="1" applyBorder="1"/>
    <xf numFmtId="0" fontId="0" fillId="8" borderId="3" xfId="0" applyFill="1" applyBorder="1"/>
    <xf numFmtId="20" fontId="1" fillId="8" borderId="3" xfId="1" applyNumberFormat="1" applyFill="1" applyBorder="1" applyAlignment="1"/>
    <xf numFmtId="177" fontId="0" fillId="7" borderId="8" xfId="0" applyNumberFormat="1" applyFill="1" applyBorder="1"/>
    <xf numFmtId="177" fontId="0" fillId="7" borderId="1" xfId="0" applyNumberFormat="1" applyFill="1" applyBorder="1"/>
    <xf numFmtId="177" fontId="0" fillId="0" borderId="3" xfId="0" applyNumberFormat="1" applyFill="1" applyBorder="1"/>
    <xf numFmtId="0" fontId="7" fillId="0" borderId="3" xfId="3" applyFont="1" applyFill="1" applyBorder="1" applyAlignment="1"/>
    <xf numFmtId="0" fontId="0" fillId="7" borderId="1" xfId="0" applyFill="1" applyBorder="1"/>
    <xf numFmtId="177" fontId="0" fillId="0" borderId="9" xfId="0" applyNumberFormat="1" applyBorder="1"/>
    <xf numFmtId="177" fontId="0" fillId="0" borderId="1" xfId="0" applyNumberFormat="1" applyBorder="1"/>
    <xf numFmtId="20" fontId="0" fillId="0" borderId="2" xfId="0" applyNumberFormat="1" applyBorder="1"/>
    <xf numFmtId="177" fontId="0" fillId="7" borderId="5" xfId="0" applyNumberFormat="1" applyFill="1" applyBorder="1"/>
    <xf numFmtId="20" fontId="0" fillId="0" borderId="3" xfId="0" applyNumberFormat="1" applyBorder="1"/>
    <xf numFmtId="0" fontId="0" fillId="0" borderId="3" xfId="0" applyFill="1" applyBorder="1"/>
    <xf numFmtId="20" fontId="0" fillId="0" borderId="3" xfId="0" applyNumberFormat="1" applyFill="1" applyBorder="1"/>
    <xf numFmtId="0" fontId="0" fillId="0" borderId="0" xfId="0" applyFill="1" applyBorder="1"/>
    <xf numFmtId="20" fontId="0" fillId="8" borderId="3" xfId="0" applyNumberFormat="1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20% - 輔色1 2" xfId="3"/>
    <cellStyle name="40% - 輔色1" xfId="1" builtinId="31"/>
    <cellStyle name="60% - 輔色1" xfId="2" builtinId="3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pane ySplit="1" topLeftCell="A2" activePane="bottomLeft" state="frozen"/>
      <selection activeCell="A25" sqref="A25"/>
      <selection pane="bottomLeft" activeCell="F22" sqref="F22"/>
    </sheetView>
  </sheetViews>
  <sheetFormatPr defaultRowHeight="15.75"/>
  <cols>
    <col min="1" max="1" width="16.4257812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11" bestFit="1" customWidth="1"/>
    <col min="6" max="6" width="13.28515625" bestFit="1" customWidth="1"/>
    <col min="7" max="7" width="15.85546875" bestFit="1" customWidth="1"/>
    <col min="8" max="8" width="13.5703125" bestFit="1" customWidth="1"/>
    <col min="9" max="9" width="17.140625" bestFit="1" customWidth="1"/>
    <col min="10" max="10" width="15.85546875" bestFit="1" customWidth="1"/>
    <col min="11" max="11" width="22.42578125" bestFit="1" customWidth="1"/>
    <col min="12" max="12" width="23.7109375" bestFit="1" customWidth="1"/>
    <col min="13" max="13" width="20.28515625" bestFit="1" customWidth="1"/>
    <col min="14" max="14" width="14.28515625" customWidth="1"/>
    <col min="15" max="15" width="15" bestFit="1" customWidth="1"/>
    <col min="16" max="16" width="13.85546875" bestFit="1" customWidth="1"/>
    <col min="17" max="17" width="13.42578125" customWidth="1"/>
    <col min="18" max="18" width="11.85546875" customWidth="1"/>
    <col min="19" max="19" width="12.7109375" customWidth="1"/>
    <col min="20" max="20" width="26.7109375" customWidth="1"/>
  </cols>
  <sheetData>
    <row r="1" spans="1:20" s="6" customFormat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2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7" t="s">
        <v>20</v>
      </c>
      <c r="B2" s="8" t="s">
        <v>21</v>
      </c>
      <c r="C2" s="9">
        <v>43673</v>
      </c>
      <c r="D2" s="10">
        <f>121+42.513/60</f>
        <v>121.70855</v>
      </c>
      <c r="E2" s="11">
        <f>24+2.863/60</f>
        <v>24.047716666666666</v>
      </c>
      <c r="F2" s="12">
        <v>0.50277777777777777</v>
      </c>
      <c r="G2" s="13">
        <f>121+42.031/60</f>
        <v>121.70051666666667</v>
      </c>
      <c r="H2" s="14">
        <f>24+2.288/60</f>
        <v>24.038133333333334</v>
      </c>
      <c r="I2" s="8">
        <v>230.8</v>
      </c>
      <c r="J2" s="15">
        <v>0.51874999999999993</v>
      </c>
      <c r="K2" s="16">
        <v>1.8</v>
      </c>
      <c r="L2" s="17">
        <v>600</v>
      </c>
      <c r="M2" s="11">
        <f>121+41.771/60</f>
        <v>121.69618333333334</v>
      </c>
      <c r="N2" s="11">
        <f>24+1.946/60</f>
        <v>24.032433333333334</v>
      </c>
      <c r="O2" s="17">
        <v>236.4</v>
      </c>
      <c r="P2" s="12">
        <v>0.52847222222222223</v>
      </c>
      <c r="Q2" s="13">
        <f>121+41.484/60</f>
        <v>121.6914</v>
      </c>
      <c r="R2" s="14">
        <f>24+1.586/60</f>
        <v>24.026433333333333</v>
      </c>
      <c r="S2" s="18">
        <v>0.54375000000000007</v>
      </c>
      <c r="T2" s="17"/>
    </row>
    <row r="3" spans="1:20">
      <c r="A3" s="7" t="s">
        <v>22</v>
      </c>
      <c r="B3" s="8" t="s">
        <v>23</v>
      </c>
      <c r="C3" s="9">
        <v>43673</v>
      </c>
      <c r="D3" s="10">
        <f>121+41.439/60</f>
        <v>121.69065000000001</v>
      </c>
      <c r="E3" s="11">
        <f>24+1.598/60</f>
        <v>24.026633333333333</v>
      </c>
      <c r="F3" s="12">
        <v>0.56874999999999998</v>
      </c>
      <c r="G3" s="13">
        <f>121+41.821/60</f>
        <v>121.69701666666667</v>
      </c>
      <c r="H3" s="14">
        <f>24+2.005/60</f>
        <v>24.033416666666668</v>
      </c>
      <c r="I3" s="8">
        <v>239.5</v>
      </c>
      <c r="J3" s="15">
        <v>0.57916666666666672</v>
      </c>
      <c r="K3" s="16">
        <v>2</v>
      </c>
      <c r="L3" s="17">
        <v>600</v>
      </c>
      <c r="M3" s="11">
        <f>121+42.433/60</f>
        <v>121.70721666666667</v>
      </c>
      <c r="N3" s="11">
        <f>24+2.784/60</f>
        <v>24.046399999999998</v>
      </c>
      <c r="O3" s="17">
        <v>242</v>
      </c>
      <c r="P3" s="12">
        <v>0.6</v>
      </c>
      <c r="Q3" s="13">
        <f>121+42.822/60</f>
        <v>121.7137</v>
      </c>
      <c r="R3" s="14">
        <f>24+3.33/60</f>
        <v>24.055499999999999</v>
      </c>
      <c r="S3" s="18">
        <v>0.6166666666666667</v>
      </c>
      <c r="T3" s="17"/>
    </row>
    <row r="4" spans="1:20" ht="16.5">
      <c r="A4" s="7" t="s">
        <v>24</v>
      </c>
      <c r="B4" s="8" t="s">
        <v>25</v>
      </c>
      <c r="C4" s="9">
        <v>43673</v>
      </c>
      <c r="D4" s="10">
        <f>121+42.822/60</f>
        <v>121.7137</v>
      </c>
      <c r="E4" s="11">
        <f>24+3.25/60</f>
        <v>24.054166666666667</v>
      </c>
      <c r="F4" s="12">
        <v>0.63055555555555554</v>
      </c>
      <c r="G4" s="13">
        <f>121+42.148/60</f>
        <v>121.70246666666667</v>
      </c>
      <c r="H4" s="14">
        <f>24+2.436/60</f>
        <v>24.040600000000001</v>
      </c>
      <c r="I4" s="8">
        <v>233.6</v>
      </c>
      <c r="J4" s="19">
        <v>0.65208333333333335</v>
      </c>
      <c r="K4" s="16">
        <v>2</v>
      </c>
      <c r="L4" s="17">
        <v>600</v>
      </c>
      <c r="M4" s="11">
        <f>121+41.425/60</f>
        <v>121.69041666666666</v>
      </c>
      <c r="N4" s="11">
        <f>24+1.543/60</f>
        <v>24.025716666666668</v>
      </c>
      <c r="O4" s="17">
        <v>193.9</v>
      </c>
      <c r="P4" s="12">
        <v>0.67361111111111116</v>
      </c>
      <c r="Q4" s="13">
        <f>121+40.929/60</f>
        <v>121.68215000000001</v>
      </c>
      <c r="R4" s="14">
        <f>24+0.926/60</f>
        <v>24.015433333333334</v>
      </c>
      <c r="S4" s="18">
        <v>0.68888888888888899</v>
      </c>
      <c r="T4" s="17" t="s">
        <v>26</v>
      </c>
    </row>
    <row r="5" spans="1:20" ht="16.5">
      <c r="A5" s="7" t="s">
        <v>24</v>
      </c>
      <c r="B5" s="8" t="s">
        <v>27</v>
      </c>
      <c r="C5" s="9">
        <v>43674</v>
      </c>
      <c r="D5" s="10">
        <f>121+22.22/60</f>
        <v>121.37033333333333</v>
      </c>
      <c r="E5" s="11">
        <f>22+45.42/60</f>
        <v>22.757000000000001</v>
      </c>
      <c r="F5" s="12">
        <v>0.64583333333333337</v>
      </c>
      <c r="G5" s="13">
        <f>121+22.357/60</f>
        <v>121.37261666666667</v>
      </c>
      <c r="H5" s="14">
        <f>22+43.133/60</f>
        <v>22.718883333333334</v>
      </c>
      <c r="I5" s="8">
        <v>1265.7</v>
      </c>
      <c r="J5" s="15">
        <v>0.69444444444444453</v>
      </c>
      <c r="K5" s="16">
        <v>2</v>
      </c>
      <c r="L5" s="17">
        <v>2154</v>
      </c>
      <c r="M5" s="11">
        <f>121+22.389/60</f>
        <v>121.37315</v>
      </c>
      <c r="N5" s="11">
        <f>22+42.639/60</f>
        <v>22.710650000000001</v>
      </c>
      <c r="O5" s="17">
        <v>1279.3</v>
      </c>
      <c r="P5" s="12">
        <v>0.70486111111111116</v>
      </c>
      <c r="Q5" s="13">
        <f>121+22.537/60</f>
        <v>121.37561666666667</v>
      </c>
      <c r="R5" s="14">
        <f>24+40.386/60</f>
        <v>24.673100000000002</v>
      </c>
      <c r="S5" s="18">
        <v>0.75416666666666676</v>
      </c>
      <c r="T5" s="20" t="s">
        <v>28</v>
      </c>
    </row>
    <row r="6" spans="1:20">
      <c r="A6" s="7" t="s">
        <v>24</v>
      </c>
      <c r="B6" s="8" t="s">
        <v>29</v>
      </c>
      <c r="C6" s="9">
        <v>43674</v>
      </c>
      <c r="D6" s="10">
        <f>121+22.162/60</f>
        <v>121.36936666666666</v>
      </c>
      <c r="E6" s="11">
        <f>22+45.878/60</f>
        <v>22.764633333333332</v>
      </c>
      <c r="F6" s="12">
        <v>0.79027777777777775</v>
      </c>
      <c r="G6" s="13">
        <f>121+22.323/60</f>
        <v>121.37205</v>
      </c>
      <c r="H6" s="14">
        <f>22+43.52/60</f>
        <v>22.725333333333332</v>
      </c>
      <c r="I6" s="8">
        <v>1258</v>
      </c>
      <c r="J6" s="15">
        <v>0.83958333333333324</v>
      </c>
      <c r="K6" s="16">
        <v>1.8</v>
      </c>
      <c r="L6" s="17">
        <v>2500</v>
      </c>
      <c r="M6" s="11">
        <f>121+22.457/60</f>
        <v>121.37428333333334</v>
      </c>
      <c r="N6" s="11">
        <f>22+41.67/60</f>
        <v>22.694500000000001</v>
      </c>
      <c r="O6" s="17">
        <v>1322.8</v>
      </c>
      <c r="P6" s="12">
        <v>0.88055555555555554</v>
      </c>
      <c r="Q6" s="13">
        <f>121+22.414/60</f>
        <v>121.37356666666666</v>
      </c>
      <c r="R6" s="14">
        <f>22+39.646/60</f>
        <v>22.660766666666667</v>
      </c>
      <c r="S6" s="18">
        <v>0.9291666666666667</v>
      </c>
      <c r="T6" s="17" t="s">
        <v>30</v>
      </c>
    </row>
    <row r="7" spans="1:20">
      <c r="A7" s="7" t="s">
        <v>24</v>
      </c>
      <c r="B7" s="8" t="s">
        <v>31</v>
      </c>
      <c r="C7" s="9">
        <v>43675</v>
      </c>
      <c r="D7" s="10">
        <f>121+22.075/60</f>
        <v>121.36791666666667</v>
      </c>
      <c r="E7" s="11">
        <f>22+45.817/60</f>
        <v>22.763616666666667</v>
      </c>
      <c r="F7" s="12">
        <v>5.486111111111111E-2</v>
      </c>
      <c r="G7" s="13">
        <f>121+22.373/60</f>
        <v>121.37288333333333</v>
      </c>
      <c r="H7" s="14">
        <f>22+43.136/60</f>
        <v>22.718933333333332</v>
      </c>
      <c r="I7" s="8">
        <v>1266</v>
      </c>
      <c r="J7" s="15">
        <v>0.11527777777777777</v>
      </c>
      <c r="K7" s="16">
        <v>1.6</v>
      </c>
      <c r="L7" s="17">
        <v>2900.5</v>
      </c>
      <c r="M7" s="11">
        <f>121+22.485/60</f>
        <v>121.37475000000001</v>
      </c>
      <c r="N7" s="11">
        <f>22+41.521/60</f>
        <v>22.692016666666667</v>
      </c>
      <c r="O7" s="17">
        <v>1331.9</v>
      </c>
      <c r="P7" s="12">
        <v>0.15625</v>
      </c>
      <c r="Q7" s="13">
        <f>121+22.674/60</f>
        <v>121.3779</v>
      </c>
      <c r="R7" s="14">
        <f>22+38.623/60</f>
        <v>22.643716666666666</v>
      </c>
      <c r="S7" s="18">
        <v>0.21527777777777779</v>
      </c>
      <c r="T7" s="17"/>
    </row>
    <row r="8" spans="1:20">
      <c r="A8" s="7" t="s">
        <v>24</v>
      </c>
      <c r="B8" s="8" t="s">
        <v>32</v>
      </c>
      <c r="C8" s="9">
        <v>43675</v>
      </c>
      <c r="D8" s="10">
        <f>121+6.697/60</f>
        <v>121.11161666666666</v>
      </c>
      <c r="E8" s="11">
        <f>22+20.67/60</f>
        <v>22.3445</v>
      </c>
      <c r="F8" s="12">
        <v>0.78055555555555556</v>
      </c>
      <c r="G8" s="13">
        <f>121+4.795/60</f>
        <v>121.07991666666666</v>
      </c>
      <c r="H8" s="14">
        <f>22+18.553/60</f>
        <v>22.309216666666668</v>
      </c>
      <c r="I8" s="8">
        <v>1175.4000000000001</v>
      </c>
      <c r="J8" s="15">
        <v>0.84236111111111101</v>
      </c>
      <c r="K8" s="16">
        <v>1.8</v>
      </c>
      <c r="L8" s="17">
        <v>2999.6</v>
      </c>
      <c r="M8" s="11">
        <f>121+4.584/60</f>
        <v>121.07640000000001</v>
      </c>
      <c r="N8" s="11">
        <f>22+18.352/60</f>
        <v>22.305866666666667</v>
      </c>
      <c r="O8" s="17">
        <v>1178.8</v>
      </c>
      <c r="P8" s="12">
        <v>0.84861111111111109</v>
      </c>
      <c r="Q8" s="13">
        <f>121+4.295/60</f>
        <v>121.07158333333334</v>
      </c>
      <c r="R8" s="14">
        <f>22+16.215/60</f>
        <v>22.270250000000001</v>
      </c>
      <c r="S8" s="18">
        <v>0.9145833333333333</v>
      </c>
      <c r="T8" s="17" t="s">
        <v>33</v>
      </c>
    </row>
    <row r="9" spans="1:20" ht="16.5">
      <c r="A9" s="7" t="s">
        <v>24</v>
      </c>
      <c r="B9" s="8" t="s">
        <v>34</v>
      </c>
      <c r="C9" s="9">
        <v>43675</v>
      </c>
      <c r="D9" s="10">
        <f>121+3.1/60</f>
        <v>121.05166666666666</v>
      </c>
      <c r="E9" s="11">
        <f>22+17.803/60</f>
        <v>22.296716666666665</v>
      </c>
      <c r="F9" s="12">
        <v>0.9458333333333333</v>
      </c>
      <c r="G9" s="13">
        <f>121+3.011/60</f>
        <v>121.05018333333334</v>
      </c>
      <c r="H9" s="14">
        <f>22+16.101/60</f>
        <v>22.268350000000002</v>
      </c>
      <c r="I9" s="8">
        <v>1197.2</v>
      </c>
      <c r="J9" s="19">
        <v>0.98472222222222217</v>
      </c>
      <c r="K9" s="16">
        <v>2</v>
      </c>
      <c r="L9" s="17">
        <v>2000.7</v>
      </c>
      <c r="M9" s="11">
        <f>121+2.994/60</f>
        <v>121.04989999999999</v>
      </c>
      <c r="N9" s="11">
        <f>22+15.426/60</f>
        <v>22.257100000000001</v>
      </c>
      <c r="O9" s="17">
        <v>1200.2</v>
      </c>
      <c r="P9" s="12">
        <v>6.2499999999999995E-3</v>
      </c>
      <c r="Q9" s="13">
        <f>121+3.003/60</f>
        <v>121.05005</v>
      </c>
      <c r="R9" s="14">
        <f>22+14.129/60</f>
        <v>22.235483333333335</v>
      </c>
      <c r="S9" s="18">
        <v>6.1805555555555558E-2</v>
      </c>
      <c r="T9" s="17" t="s">
        <v>35</v>
      </c>
    </row>
    <row r="10" spans="1:20" ht="16.5">
      <c r="A10" s="7" t="s">
        <v>24</v>
      </c>
      <c r="B10" s="8" t="s">
        <v>36</v>
      </c>
      <c r="C10" s="9">
        <v>43679</v>
      </c>
      <c r="D10" s="10">
        <f>121+34.2977/60</f>
        <v>121.57162833333334</v>
      </c>
      <c r="E10" s="11">
        <f>21+45.3758/60</f>
        <v>21.756263333333333</v>
      </c>
      <c r="F10" s="12">
        <v>0.46527777777777773</v>
      </c>
      <c r="G10" s="13">
        <f>121+34.5518/60</f>
        <v>121.57586333333333</v>
      </c>
      <c r="H10" s="14">
        <f>21+44.9186/60</f>
        <v>21.748643333333334</v>
      </c>
      <c r="I10" s="8">
        <v>157.80000000000001</v>
      </c>
      <c r="J10" s="15">
        <v>0.47569444444444442</v>
      </c>
      <c r="K10" s="16">
        <v>2</v>
      </c>
      <c r="L10" s="17">
        <v>400.55</v>
      </c>
      <c r="M10" s="11">
        <f>121+34.7321/60</f>
        <v>121.57886833333333</v>
      </c>
      <c r="N10" s="11">
        <f>21+44.5468/60</f>
        <v>21.742446666666666</v>
      </c>
      <c r="O10" s="17">
        <v>159.80000000000001</v>
      </c>
      <c r="P10" s="12">
        <v>0.4861111111111111</v>
      </c>
      <c r="Q10" s="13">
        <f>121+34.9342/60</f>
        <v>121.58223666666666</v>
      </c>
      <c r="R10" s="14">
        <f>22+44.1294/60</f>
        <v>22.735489999999999</v>
      </c>
      <c r="S10" s="18">
        <v>0.49722222222222223</v>
      </c>
      <c r="T10" s="17"/>
    </row>
    <row r="11" spans="1:20" ht="16.5">
      <c r="A11" s="7" t="s">
        <v>24</v>
      </c>
      <c r="B11" s="21" t="s">
        <v>37</v>
      </c>
      <c r="C11" s="9">
        <v>43679</v>
      </c>
      <c r="D11" s="10">
        <f>121+34.178/60</f>
        <v>121.56963333333333</v>
      </c>
      <c r="E11" s="11">
        <f>21+45.674/60</f>
        <v>21.761233333333333</v>
      </c>
      <c r="F11" s="12">
        <v>0.52986111111111112</v>
      </c>
      <c r="G11" s="22"/>
      <c r="H11" s="23"/>
      <c r="I11" s="8">
        <v>163</v>
      </c>
      <c r="J11" s="15">
        <v>0.54027777777777775</v>
      </c>
      <c r="K11" s="16">
        <v>2</v>
      </c>
      <c r="L11" s="17">
        <v>405</v>
      </c>
      <c r="M11" s="11">
        <f>121+34.648/60</f>
        <v>121.57746666666667</v>
      </c>
      <c r="N11" s="11">
        <f>21+45.322/60</f>
        <v>21.755366666666667</v>
      </c>
      <c r="O11" s="17">
        <v>93</v>
      </c>
      <c r="P11" s="12">
        <v>0.55486111111111114</v>
      </c>
      <c r="Q11" s="22"/>
      <c r="R11" s="23"/>
      <c r="S11" s="18">
        <v>0.57291666666666663</v>
      </c>
      <c r="T11" s="17"/>
    </row>
    <row r="12" spans="1:20" ht="16.5">
      <c r="A12" s="7" t="s">
        <v>24</v>
      </c>
      <c r="B12" s="21" t="s">
        <v>38</v>
      </c>
      <c r="C12" s="9">
        <v>43679</v>
      </c>
      <c r="D12" s="10">
        <f>121+35.6342/60</f>
        <v>121.59390333333333</v>
      </c>
      <c r="E12" s="11">
        <f>21+40.1728/60</f>
        <v>21.669546666666665</v>
      </c>
      <c r="F12" s="12">
        <v>0.65</v>
      </c>
      <c r="G12" s="13">
        <f>121+34.917/60</f>
        <v>121.58195000000001</v>
      </c>
      <c r="H12" s="14">
        <f>21+41.0905/60</f>
        <v>21.684841666666667</v>
      </c>
      <c r="I12" s="8">
        <v>485</v>
      </c>
      <c r="J12" s="19">
        <v>0.68472222222222223</v>
      </c>
      <c r="K12" s="16">
        <v>3</v>
      </c>
      <c r="L12" s="17">
        <v>1100</v>
      </c>
      <c r="M12" s="11">
        <f>121+34.7349/60</f>
        <v>121.57891499999999</v>
      </c>
      <c r="N12" s="11">
        <f>21+41.3398/60</f>
        <v>21.688996666666668</v>
      </c>
      <c r="O12" s="17">
        <v>531.29999999999995</v>
      </c>
      <c r="P12" s="12">
        <v>0.69097222222222221</v>
      </c>
      <c r="Q12" s="13">
        <f>121+34.2184/60</f>
        <v>121.57030666666667</v>
      </c>
      <c r="R12" s="14">
        <f>21+42.1249/60</f>
        <v>21.702081666666668</v>
      </c>
      <c r="S12" s="18">
        <v>0.71597222222222223</v>
      </c>
      <c r="T12" s="17" t="s">
        <v>39</v>
      </c>
    </row>
    <row r="13" spans="1:20" ht="16.5">
      <c r="A13" s="7" t="s">
        <v>24</v>
      </c>
      <c r="B13" s="21" t="s">
        <v>40</v>
      </c>
      <c r="C13" s="9">
        <v>43680</v>
      </c>
      <c r="D13" s="10">
        <f>121+32.0693/60</f>
        <v>121.53448833333333</v>
      </c>
      <c r="E13" s="11">
        <f>21+13.352/60</f>
        <v>21.222533333333335</v>
      </c>
      <c r="F13" s="12">
        <v>0.37638888888888888</v>
      </c>
      <c r="G13" s="13">
        <f>121+32.2104/60</f>
        <v>121.53684</v>
      </c>
      <c r="H13" s="14">
        <f>21+12.145/60</f>
        <v>21.202416666666668</v>
      </c>
      <c r="I13" s="8">
        <v>600</v>
      </c>
      <c r="J13" s="15">
        <v>0.4055555555555555</v>
      </c>
      <c r="K13" s="16">
        <v>2</v>
      </c>
      <c r="L13" s="17">
        <v>1119</v>
      </c>
      <c r="M13" s="11">
        <f>121+32.3268/60</f>
        <v>121.53878</v>
      </c>
      <c r="N13" s="11">
        <f>21+11.8904/60</f>
        <v>21.198173333333333</v>
      </c>
      <c r="O13" s="17">
        <v>603.1</v>
      </c>
      <c r="P13" s="12">
        <v>0.41180555555555554</v>
      </c>
      <c r="Q13" s="13">
        <f>121+32.3107/60</f>
        <v>121.53851166666666</v>
      </c>
      <c r="R13" s="14">
        <f>21+10.8306/60</f>
        <v>21.180510000000002</v>
      </c>
      <c r="S13" s="18">
        <v>0.4368055555555555</v>
      </c>
      <c r="T13" s="17" t="s">
        <v>41</v>
      </c>
    </row>
    <row r="14" spans="1:20" ht="16.5">
      <c r="A14" s="7" t="s">
        <v>24</v>
      </c>
      <c r="B14" s="21" t="s">
        <v>42</v>
      </c>
      <c r="C14" s="9">
        <v>43680</v>
      </c>
      <c r="D14" s="10">
        <f>121+32.1052/60</f>
        <v>121.53508666666667</v>
      </c>
      <c r="E14" s="11">
        <f>21+13.1222/60</f>
        <v>21.218703333333334</v>
      </c>
      <c r="F14" s="12">
        <v>0.47013888888888888</v>
      </c>
      <c r="G14" s="13">
        <f>121+32.1905/60</f>
        <v>121.53650833333333</v>
      </c>
      <c r="H14" s="14">
        <f>21+12.1936/60</f>
        <v>21.203226666666666</v>
      </c>
      <c r="I14" s="8">
        <v>597</v>
      </c>
      <c r="J14" s="15">
        <v>0.49444444444444446</v>
      </c>
      <c r="K14" s="16">
        <v>2</v>
      </c>
      <c r="L14" s="17">
        <v>1050</v>
      </c>
      <c r="M14" s="11">
        <f>121+32.2251/60</f>
        <v>121.537085</v>
      </c>
      <c r="N14" s="11">
        <f>21+11.8887/60</f>
        <v>21.198145</v>
      </c>
      <c r="O14" s="17">
        <v>603.4</v>
      </c>
      <c r="P14" s="12">
        <v>0.50208333333333333</v>
      </c>
      <c r="Q14" s="13">
        <f>121+32.3554/60</f>
        <v>121.53925666666666</v>
      </c>
      <c r="R14" s="14">
        <f>21+10.745/60</f>
        <v>21.179083333333335</v>
      </c>
      <c r="S14" s="18">
        <v>0.52708333333333335</v>
      </c>
      <c r="T14" s="17"/>
    </row>
    <row r="15" spans="1:20" ht="16.5">
      <c r="A15" s="7" t="s">
        <v>24</v>
      </c>
      <c r="B15" s="21" t="s">
        <v>43</v>
      </c>
      <c r="C15" s="9">
        <v>43681</v>
      </c>
      <c r="D15" s="10">
        <f>120+42.3462/60</f>
        <v>120.70577</v>
      </c>
      <c r="E15" s="11">
        <f>21+37.5298/60</f>
        <v>21.625496666666667</v>
      </c>
      <c r="F15" s="12">
        <v>0.29722222222222222</v>
      </c>
      <c r="G15" s="22"/>
      <c r="H15" s="23"/>
      <c r="I15" s="24"/>
      <c r="J15" s="15">
        <v>0.32361111111111113</v>
      </c>
      <c r="K15" s="16">
        <v>2</v>
      </c>
      <c r="L15" s="17">
        <v>1500</v>
      </c>
      <c r="M15" s="11">
        <f>120+43.3585/60</f>
        <v>120.72264166666666</v>
      </c>
      <c r="N15" s="11">
        <f>21+36.1366/60</f>
        <v>21.602276666666668</v>
      </c>
      <c r="O15" s="17">
        <v>858.9</v>
      </c>
      <c r="P15" s="12">
        <v>0.33333333333333331</v>
      </c>
      <c r="Q15" s="13">
        <f>120+44.2267/60</f>
        <v>120.73711166666666</v>
      </c>
      <c r="R15" s="14">
        <f>21+34.9248/60</f>
        <v>21.582080000000001</v>
      </c>
      <c r="S15" s="18">
        <v>0.36458333333333331</v>
      </c>
      <c r="T15" s="17" t="s">
        <v>44</v>
      </c>
    </row>
    <row r="16" spans="1:20" ht="16.5">
      <c r="A16" s="7" t="s">
        <v>24</v>
      </c>
      <c r="B16" s="21" t="s">
        <v>45</v>
      </c>
      <c r="C16" s="9">
        <v>43681</v>
      </c>
      <c r="D16" s="10">
        <f>120+42.803/60</f>
        <v>120.71338333333334</v>
      </c>
      <c r="E16" s="11">
        <f>21+36.9086/60</f>
        <v>21.615143333333332</v>
      </c>
      <c r="F16" s="12">
        <v>0.38750000000000001</v>
      </c>
      <c r="G16" s="13">
        <f>120+43.8078/60</f>
        <v>120.73013</v>
      </c>
      <c r="H16" s="14">
        <f>21+35.5115/60</f>
        <v>21.591858333333334</v>
      </c>
      <c r="I16" s="8">
        <v>852</v>
      </c>
      <c r="J16" s="15">
        <v>0.42569444444444443</v>
      </c>
      <c r="K16" s="16">
        <v>2</v>
      </c>
      <c r="L16" s="17">
        <v>1750</v>
      </c>
      <c r="M16" s="11">
        <f>120+44.1922/60</f>
        <v>120.73653666666667</v>
      </c>
      <c r="N16" s="11">
        <f>21+34.9226/60</f>
        <v>21.582043333333335</v>
      </c>
      <c r="O16" s="17">
        <v>852.77</v>
      </c>
      <c r="P16" s="12">
        <v>0.44097222222222227</v>
      </c>
      <c r="Q16" s="13">
        <f>120+45.251/60</f>
        <v>120.75418333333333</v>
      </c>
      <c r="R16" s="14">
        <f>21+33.4158/60</f>
        <v>21.556930000000001</v>
      </c>
      <c r="S16" s="18">
        <v>0.48333333333333334</v>
      </c>
      <c r="T16" s="17"/>
    </row>
    <row r="17" spans="1:20" ht="16.5">
      <c r="A17" s="7" t="s">
        <v>24</v>
      </c>
      <c r="B17" s="21" t="s">
        <v>46</v>
      </c>
      <c r="C17" s="9">
        <v>43681</v>
      </c>
      <c r="D17" s="10">
        <f>120+42.7216/60</f>
        <v>120.71202666666667</v>
      </c>
      <c r="E17" s="11">
        <f>21+37.0072/60</f>
        <v>21.616786666666666</v>
      </c>
      <c r="F17" s="12">
        <v>0.52708333333333335</v>
      </c>
      <c r="G17" s="13">
        <f>120+43.6571/60</f>
        <v>120.72761833333334</v>
      </c>
      <c r="H17" s="14">
        <f>21+35.7896/60</f>
        <v>21.596493333333335</v>
      </c>
      <c r="I17" s="8">
        <v>851.5</v>
      </c>
      <c r="J17" s="15">
        <v>0.56319444444444444</v>
      </c>
      <c r="K17" s="16">
        <v>2</v>
      </c>
      <c r="L17" s="17">
        <v>2005.5</v>
      </c>
      <c r="M17" s="11">
        <f>120+43.7613/60</f>
        <v>120.729355</v>
      </c>
      <c r="N17" s="11">
        <f>21+35.6464/60</f>
        <v>21.594106666666665</v>
      </c>
      <c r="O17" s="17">
        <v>850</v>
      </c>
      <c r="P17" s="12">
        <v>0.56944444444444442</v>
      </c>
      <c r="Q17" s="13">
        <f>120+45.2429/60</f>
        <v>120.75404833333333</v>
      </c>
      <c r="R17" s="14">
        <f>21+35.4404/60</f>
        <v>21.590673333333335</v>
      </c>
      <c r="S17" s="18">
        <v>0.61388888888888882</v>
      </c>
      <c r="T17" s="17"/>
    </row>
    <row r="18" spans="1:20" ht="16.5">
      <c r="A18" s="7" t="s">
        <v>24</v>
      </c>
      <c r="B18" s="21" t="s">
        <v>47</v>
      </c>
      <c r="C18" s="9">
        <v>43681</v>
      </c>
      <c r="D18" s="10">
        <f>120+43.545/60</f>
        <v>120.72575000000001</v>
      </c>
      <c r="E18" s="11">
        <f>21+35.875/60</f>
        <v>21.597916666666666</v>
      </c>
      <c r="F18" s="12">
        <v>0.6381944444444444</v>
      </c>
      <c r="G18" s="13">
        <f>120+44.5971/60</f>
        <v>120.743285</v>
      </c>
      <c r="H18" s="14">
        <f>21+34.4251/60</f>
        <v>21.573751666666666</v>
      </c>
      <c r="I18" s="8">
        <v>844.3</v>
      </c>
      <c r="J18" s="25">
        <v>0.6743055555555556</v>
      </c>
      <c r="K18" s="16">
        <v>2</v>
      </c>
      <c r="L18" s="17">
        <v>1799.3</v>
      </c>
      <c r="M18" s="11">
        <f>120+44.892/60</f>
        <v>120.7482</v>
      </c>
      <c r="N18" s="11">
        <f>21+34.0345/60</f>
        <v>21.567241666666668</v>
      </c>
      <c r="O18" s="17">
        <v>846.5</v>
      </c>
      <c r="P18" s="12">
        <v>0.68402777777777779</v>
      </c>
      <c r="Q18" s="13">
        <f>120+45.9371/60</f>
        <v>120.76561833333334</v>
      </c>
      <c r="R18" s="14">
        <f>21+32.7889/60</f>
        <v>21.546481666666665</v>
      </c>
      <c r="S18" s="18">
        <v>0.71944444444444444</v>
      </c>
      <c r="T18" s="17" t="s">
        <v>48</v>
      </c>
    </row>
    <row r="19" spans="1:20">
      <c r="A19" s="7" t="s">
        <v>24</v>
      </c>
      <c r="B19" s="21" t="s">
        <v>49</v>
      </c>
      <c r="C19" s="9">
        <v>43681</v>
      </c>
      <c r="D19" s="26">
        <f>120+39.6157/60</f>
        <v>120.66026166666667</v>
      </c>
      <c r="E19" s="27">
        <f>21+43.9333/60</f>
        <v>21.732221666666668</v>
      </c>
      <c r="F19" s="12">
        <v>0.87430555555555556</v>
      </c>
      <c r="G19" s="28">
        <f>120+39.1706/60</f>
        <v>120.65284333333334</v>
      </c>
      <c r="H19" s="28">
        <f>21+45.9783/60</f>
        <v>21.766304999999999</v>
      </c>
      <c r="I19" s="29">
        <v>931.5</v>
      </c>
      <c r="J19" s="15">
        <v>0.9194444444444444</v>
      </c>
      <c r="K19" s="16">
        <v>2</v>
      </c>
      <c r="L19" s="17">
        <v>1900</v>
      </c>
      <c r="M19" s="27">
        <f>120+39.0587/60</f>
        <v>120.65097833333333</v>
      </c>
      <c r="N19" s="27">
        <f>21+40.5695/60</f>
        <v>21.676158333333333</v>
      </c>
      <c r="O19" s="30">
        <v>930.2</v>
      </c>
      <c r="P19" s="12">
        <v>0.93125000000000002</v>
      </c>
      <c r="Q19" s="31">
        <f>120+38.7088/60</f>
        <v>120.64514666666666</v>
      </c>
      <c r="R19" s="32">
        <f>21+48.2575/60</f>
        <v>21.804291666666668</v>
      </c>
      <c r="S19" s="33">
        <v>0.96805555555555556</v>
      </c>
      <c r="T19" s="17"/>
    </row>
    <row r="20" spans="1:20" s="8" customFormat="1">
      <c r="A20" s="7" t="s">
        <v>24</v>
      </c>
      <c r="B20" s="21" t="s">
        <v>50</v>
      </c>
      <c r="C20" s="9">
        <v>43682</v>
      </c>
      <c r="D20" s="34">
        <f>120+0.1739/60</f>
        <v>120.00289833333333</v>
      </c>
      <c r="E20" s="11">
        <f>22+13.14/60</f>
        <v>22.219000000000001</v>
      </c>
      <c r="F20" s="12">
        <v>0.29166666666666669</v>
      </c>
      <c r="G20" s="14">
        <f>120+0.2256/60</f>
        <v>120.00376</v>
      </c>
      <c r="H20" s="14">
        <f>22+14.5945/60</f>
        <v>22.243241666666666</v>
      </c>
      <c r="I20" s="8">
        <v>999</v>
      </c>
      <c r="J20" s="15">
        <v>0.32708333333333334</v>
      </c>
      <c r="K20" s="17">
        <v>2</v>
      </c>
      <c r="L20" s="17">
        <v>1999.9</v>
      </c>
      <c r="M20" s="11">
        <f>120+0.2747/60</f>
        <v>120.00457833333333</v>
      </c>
      <c r="N20" s="11">
        <f>22+15.8848/60</f>
        <v>22.264746666666667</v>
      </c>
      <c r="O20" s="17">
        <v>1011.23</v>
      </c>
      <c r="P20" s="12">
        <v>0.35416666666666669</v>
      </c>
      <c r="Q20" s="14">
        <f>120+0.3188/60</f>
        <v>120.00531333333333</v>
      </c>
      <c r="R20" s="14">
        <f>22+17.6884/60</f>
        <v>22.294806666666666</v>
      </c>
      <c r="S20" s="35">
        <v>0.3923611111111111</v>
      </c>
      <c r="T20" s="17"/>
    </row>
    <row r="21" spans="1:20" s="8" customFormat="1" ht="16.5">
      <c r="A21" s="7" t="s">
        <v>24</v>
      </c>
      <c r="B21" s="21" t="s">
        <v>51</v>
      </c>
      <c r="C21" s="9">
        <v>43682</v>
      </c>
      <c r="D21" s="34">
        <f>120+7.319/60</f>
        <v>120.12198333333333</v>
      </c>
      <c r="E21" s="11">
        <f>22+17.753/60</f>
        <v>22.295883333333332</v>
      </c>
      <c r="F21" s="12">
        <v>0.47152777777777777</v>
      </c>
      <c r="G21" s="14">
        <f>120+7.1106/60</f>
        <v>120.11851</v>
      </c>
      <c r="H21" s="14">
        <f>22+18.8726/60</f>
        <v>22.314543333333333</v>
      </c>
      <c r="I21" s="8">
        <v>722</v>
      </c>
      <c r="J21" s="15">
        <v>0.49722222222222223</v>
      </c>
      <c r="K21" s="17">
        <v>2</v>
      </c>
      <c r="L21" s="17">
        <v>1400</v>
      </c>
      <c r="M21" s="11">
        <f>120+6.9565/60</f>
        <v>120.11594166666667</v>
      </c>
      <c r="N21" s="11">
        <f>22+19.7399/60</f>
        <v>22.328998333333335</v>
      </c>
      <c r="O21" s="17">
        <v>707.2</v>
      </c>
      <c r="P21" s="12">
        <v>0.51736111111111105</v>
      </c>
      <c r="Q21" s="14">
        <f>120+6.7401/60</f>
        <v>120.112335</v>
      </c>
      <c r="R21" s="14">
        <f>22+20.9422/60</f>
        <v>22.349036666666667</v>
      </c>
      <c r="S21" s="35">
        <v>0.54513888888888895</v>
      </c>
      <c r="T21" s="17"/>
    </row>
    <row r="22" spans="1:20" s="8" customFormat="1">
      <c r="A22" s="7" t="s">
        <v>52</v>
      </c>
      <c r="B22" s="8" t="s">
        <v>53</v>
      </c>
      <c r="C22" s="9">
        <v>43770</v>
      </c>
      <c r="D22" s="34">
        <f>122+7.0213/60</f>
        <v>122.11702166666667</v>
      </c>
      <c r="E22" s="11">
        <f>24+37.9234/60</f>
        <v>24.632056666666667</v>
      </c>
      <c r="F22" s="12">
        <v>0.81041666666666667</v>
      </c>
      <c r="G22" s="14">
        <f>122+7.1948/60</f>
        <v>122.11991333333333</v>
      </c>
      <c r="H22" s="14">
        <f>24+37.6599/60</f>
        <v>24.627665</v>
      </c>
      <c r="I22" s="8">
        <v>197.96</v>
      </c>
      <c r="J22" s="15">
        <v>0.82430555555555562</v>
      </c>
      <c r="K22" s="17">
        <v>1</v>
      </c>
      <c r="L22" s="17">
        <v>600.29999999999995</v>
      </c>
      <c r="M22" s="11">
        <f>122+6.5872/60</f>
        <v>122.10978666666666</v>
      </c>
      <c r="N22" s="11">
        <f>24+37.2892/60</f>
        <v>24.621486666666666</v>
      </c>
      <c r="O22" s="17">
        <v>198.9</v>
      </c>
      <c r="P22" s="12">
        <v>0.83958333333333324</v>
      </c>
      <c r="Q22" s="14">
        <f>122+6.1544/60</f>
        <v>122.10257333333334</v>
      </c>
      <c r="R22" s="14">
        <f>24+37.0241/60</f>
        <v>24.617068333333332</v>
      </c>
      <c r="S22" s="35">
        <v>0.8520833333333333</v>
      </c>
      <c r="T22" s="17" t="s">
        <v>54</v>
      </c>
    </row>
    <row r="23" spans="1:20" s="36" customFormat="1">
      <c r="A23" s="7" t="s">
        <v>52</v>
      </c>
      <c r="B23" s="8" t="s">
        <v>55</v>
      </c>
      <c r="C23" s="9">
        <v>43771</v>
      </c>
      <c r="D23" s="34">
        <f>121+5.937/60</f>
        <v>121.09895</v>
      </c>
      <c r="E23" s="11">
        <f>25+7.452/60</f>
        <v>25.124199999999998</v>
      </c>
      <c r="F23" s="12">
        <v>0.38750000000000001</v>
      </c>
      <c r="G23" s="14">
        <f>121+6.048/60</f>
        <v>121.10080000000001</v>
      </c>
      <c r="H23" s="14">
        <f>25+7.5371/60</f>
        <v>25.125618333333332</v>
      </c>
      <c r="I23" s="8">
        <v>50</v>
      </c>
      <c r="J23" s="15">
        <v>0.39166666666666666</v>
      </c>
      <c r="K23" s="17">
        <v>1</v>
      </c>
      <c r="L23" s="24"/>
      <c r="M23" s="11">
        <f>121+6.4364/60</f>
        <v>121.10727333333334</v>
      </c>
      <c r="N23" s="11">
        <f>25+7.7983/60</f>
        <v>25.129971666666666</v>
      </c>
      <c r="O23" s="17">
        <v>51.1</v>
      </c>
      <c r="P23" s="12">
        <v>0.40138888888888885</v>
      </c>
      <c r="Q23" s="14">
        <f>121+6.6735/60</f>
        <v>121.111225</v>
      </c>
      <c r="R23" s="14">
        <f>25+7.9173/60</f>
        <v>25.131955000000001</v>
      </c>
      <c r="S23" s="35">
        <v>0.40625</v>
      </c>
      <c r="T23" s="17"/>
    </row>
    <row r="24" spans="1:20" s="36" customFormat="1">
      <c r="A24" s="7" t="s">
        <v>52</v>
      </c>
      <c r="B24" s="8" t="s">
        <v>56</v>
      </c>
      <c r="C24" s="9">
        <v>43772</v>
      </c>
      <c r="D24" s="34">
        <f>119+59.4784/60</f>
        <v>119.99130666666667</v>
      </c>
      <c r="E24" s="11">
        <f>22+17.7128/60</f>
        <v>22.295213333333333</v>
      </c>
      <c r="F24" s="12">
        <v>0.41111111111111115</v>
      </c>
      <c r="G24" s="14">
        <f>119+59.6581/60</f>
        <v>119.99430166666667</v>
      </c>
      <c r="H24" s="14">
        <f>22+15.8075/60</f>
        <v>22.263458333333332</v>
      </c>
      <c r="I24" s="8">
        <v>986.6</v>
      </c>
      <c r="J24" s="15">
        <v>0.44861111111111113</v>
      </c>
      <c r="K24" s="17">
        <v>1</v>
      </c>
      <c r="L24" s="17">
        <v>1800.5</v>
      </c>
      <c r="M24" s="11">
        <f>119+59.7353/60</f>
        <v>119.99558833333333</v>
      </c>
      <c r="N24" s="11">
        <f>22+15.1756/60</f>
        <v>22.252926666666667</v>
      </c>
      <c r="O24" s="17">
        <v>984</v>
      </c>
      <c r="P24" s="12">
        <v>0.46319444444444446</v>
      </c>
      <c r="Q24" s="14">
        <f>119+59.8779/60</f>
        <v>119.99796499999999</v>
      </c>
      <c r="R24" s="14">
        <f>22+10.6065/60</f>
        <v>22.176774999999999</v>
      </c>
      <c r="S24" s="35">
        <v>0.55833333333333335</v>
      </c>
      <c r="T24" s="17" t="s">
        <v>57</v>
      </c>
    </row>
    <row r="25" spans="1:20" s="38" customFormat="1" ht="16.5">
      <c r="A25" s="7" t="s">
        <v>58</v>
      </c>
      <c r="B25" s="8" t="s">
        <v>59</v>
      </c>
      <c r="C25" s="9">
        <v>44077</v>
      </c>
      <c r="D25" s="34">
        <f>120+49.996/60</f>
        <v>120.83326666666666</v>
      </c>
      <c r="E25" s="11">
        <f>24+51.91/60</f>
        <v>24.865166666666667</v>
      </c>
      <c r="F25" s="12">
        <v>0.72361111111111109</v>
      </c>
      <c r="G25" s="14">
        <f>120+49.859/60</f>
        <v>120.83098333333334</v>
      </c>
      <c r="H25" s="14">
        <f>24+51.62/60</f>
        <v>24.860333333333333</v>
      </c>
      <c r="I25" s="8">
        <v>60.8</v>
      </c>
      <c r="J25" s="37">
        <v>0.73125000000000007</v>
      </c>
      <c r="K25" s="17">
        <v>1.6</v>
      </c>
      <c r="L25" s="17">
        <v>180.1</v>
      </c>
      <c r="M25" s="11">
        <f>120+49.067/60</f>
        <v>120.81778333333334</v>
      </c>
      <c r="N25" s="11">
        <f>24+50.036/60</f>
        <v>24.833933333333334</v>
      </c>
      <c r="O25" s="17">
        <v>60.1</v>
      </c>
      <c r="P25" s="12">
        <v>0.7715277777777777</v>
      </c>
      <c r="Q25" s="14">
        <f>120+49.193/60</f>
        <v>120.81988333333334</v>
      </c>
      <c r="R25" s="14">
        <f>24+49.616/60</f>
        <v>24.826933333333333</v>
      </c>
      <c r="S25" s="35">
        <v>0.78402777777777777</v>
      </c>
      <c r="T25" s="17"/>
    </row>
    <row r="26" spans="1:20" s="38" customFormat="1" ht="16.5">
      <c r="A26" s="7" t="s">
        <v>58</v>
      </c>
      <c r="B26" s="8" t="s">
        <v>60</v>
      </c>
      <c r="C26" s="9">
        <v>44077</v>
      </c>
      <c r="D26" s="34">
        <f>120+5.409/60</f>
        <v>120.09014999999999</v>
      </c>
      <c r="E26" s="11">
        <f>23+53.342/60</f>
        <v>23.889033333333334</v>
      </c>
      <c r="F26" s="12">
        <v>0.47500000000000003</v>
      </c>
      <c r="G26" s="14">
        <f>120+5.349/60</f>
        <v>120.08915</v>
      </c>
      <c r="H26" s="14">
        <f>23+53.247/60</f>
        <v>23.887450000000001</v>
      </c>
      <c r="I26" s="8">
        <v>40.200000000000003</v>
      </c>
      <c r="J26" s="37">
        <v>0.4777777777777778</v>
      </c>
      <c r="K26" s="17">
        <v>1.4</v>
      </c>
      <c r="L26" s="17">
        <v>119.8</v>
      </c>
      <c r="M26" s="11">
        <f>120+4.602/60</f>
        <v>120.0767</v>
      </c>
      <c r="N26" s="11">
        <f>23+51.431/60</f>
        <v>23.857183333333332</v>
      </c>
      <c r="O26" s="17">
        <v>40.1</v>
      </c>
      <c r="P26" s="12">
        <v>0.51944444444444449</v>
      </c>
      <c r="Q26" s="14">
        <f>120+4.569/60</f>
        <v>120.07615</v>
      </c>
      <c r="R26" s="14">
        <f>23+51.246/60</f>
        <v>23.854099999999999</v>
      </c>
      <c r="S26" s="35">
        <v>0.52777777777777779</v>
      </c>
      <c r="T26" s="17"/>
    </row>
    <row r="27" spans="1:20" s="38" customFormat="1" ht="16.5">
      <c r="A27" s="7" t="s">
        <v>61</v>
      </c>
      <c r="B27" s="8" t="s">
        <v>62</v>
      </c>
      <c r="C27" s="9">
        <v>44077</v>
      </c>
      <c r="D27" s="34">
        <f>119+46.475/60</f>
        <v>119.77458333333334</v>
      </c>
      <c r="E27" s="11">
        <f>24+0.88/60</f>
        <v>24.014666666666667</v>
      </c>
      <c r="F27" s="12">
        <v>0.39513888888888887</v>
      </c>
      <c r="G27" s="14">
        <f>119+46.46/60</f>
        <v>119.77433333333333</v>
      </c>
      <c r="H27" s="14">
        <f>24+0.726/60</f>
        <v>24.0121</v>
      </c>
      <c r="I27" s="8">
        <v>47.38</v>
      </c>
      <c r="J27" s="37">
        <v>0.39930555555555558</v>
      </c>
      <c r="K27" s="17">
        <v>1.1000000000000001</v>
      </c>
      <c r="L27" s="17">
        <v>160.30000000000001</v>
      </c>
      <c r="M27" s="11">
        <f>119+46.265/60</f>
        <v>119.77108333333334</v>
      </c>
      <c r="N27" s="11">
        <f>23+59.632/60</f>
        <v>23.993866666666666</v>
      </c>
      <c r="O27" s="17">
        <v>48.8</v>
      </c>
      <c r="P27" s="12">
        <v>0.44236111111111115</v>
      </c>
      <c r="Q27" s="14">
        <f>119+46.208/60</f>
        <v>119.77013333333333</v>
      </c>
      <c r="R27" s="14">
        <f>23+59.76/60</f>
        <v>23.995999999999999</v>
      </c>
      <c r="S27" s="35">
        <v>0.45</v>
      </c>
      <c r="T27" s="17"/>
    </row>
    <row r="28" spans="1:20" s="38" customFormat="1" ht="16.5">
      <c r="A28" s="7" t="s">
        <v>63</v>
      </c>
      <c r="B28" s="8" t="s">
        <v>64</v>
      </c>
      <c r="C28" s="9">
        <v>44077</v>
      </c>
      <c r="D28" s="34">
        <f>119+39.319/60</f>
        <v>119.65531666666666</v>
      </c>
      <c r="E28" s="11">
        <f>24+8.402/60</f>
        <v>24.140033333333335</v>
      </c>
      <c r="F28" s="12">
        <v>0.28680555555555554</v>
      </c>
      <c r="G28" s="14">
        <f>119+39.21/60</f>
        <v>119.65349999999999</v>
      </c>
      <c r="H28" s="14">
        <f>24+8.164/60</f>
        <v>24.136066666666668</v>
      </c>
      <c r="I28" s="8">
        <v>33.1</v>
      </c>
      <c r="J28" s="37">
        <v>0.29166666666666669</v>
      </c>
      <c r="K28" s="17">
        <v>1.7</v>
      </c>
      <c r="L28" s="17">
        <v>110.1</v>
      </c>
      <c r="M28" s="11">
        <f>119+38.336/60</f>
        <v>119.63893333333333</v>
      </c>
      <c r="N28" s="11">
        <f>24+6.61/60</f>
        <v>24.110166666666668</v>
      </c>
      <c r="O28" s="17">
        <v>48.5</v>
      </c>
      <c r="P28" s="12">
        <v>0.33333333333333331</v>
      </c>
      <c r="Q28" s="14">
        <f>119+38.392/60</f>
        <v>119.63986666666666</v>
      </c>
      <c r="R28" s="14">
        <f>24+6.583/60</f>
        <v>24.109716666666667</v>
      </c>
      <c r="S28" s="35">
        <v>0.34027777777777773</v>
      </c>
      <c r="T28" s="17"/>
    </row>
    <row r="29" spans="1:20" s="38" customFormat="1" ht="16.5">
      <c r="A29" s="7" t="s">
        <v>65</v>
      </c>
      <c r="B29" s="8" t="s">
        <v>66</v>
      </c>
      <c r="C29" s="9">
        <v>44077</v>
      </c>
      <c r="D29" s="34">
        <f>120+9.755/60</f>
        <v>120.16258333333333</v>
      </c>
      <c r="E29" s="11">
        <f>24+4.614/60</f>
        <v>24.076899999999998</v>
      </c>
      <c r="F29" s="12">
        <v>0.35902777777777778</v>
      </c>
      <c r="G29" s="14">
        <f>120+9.657/60</f>
        <v>120.16095</v>
      </c>
      <c r="H29" s="14">
        <f>24+4.394/60</f>
        <v>24.073233333333334</v>
      </c>
      <c r="I29" s="8">
        <v>38.4</v>
      </c>
      <c r="J29" s="37">
        <v>0.36180555555555555</v>
      </c>
      <c r="K29" s="17">
        <v>2.5</v>
      </c>
      <c r="L29" s="17">
        <v>120.2</v>
      </c>
      <c r="M29" s="11">
        <f>120+8.826/60</f>
        <v>120.14709999999999</v>
      </c>
      <c r="N29" s="11">
        <f>24+2.721/60</f>
        <v>24.045349999999999</v>
      </c>
      <c r="O29" s="17">
        <v>38.200000000000003</v>
      </c>
      <c r="P29" s="12">
        <v>0.40347222222222223</v>
      </c>
      <c r="Q29" s="14">
        <f>120+8.626/60</f>
        <v>120.14376666666666</v>
      </c>
      <c r="R29" s="14">
        <f>24+2.649/60</f>
        <v>24.044149999999998</v>
      </c>
      <c r="S29" s="35">
        <v>0.41388888888888892</v>
      </c>
      <c r="T29" s="17"/>
    </row>
    <row r="30" spans="1:20" s="38" customFormat="1" ht="16.5">
      <c r="A30" s="7" t="s">
        <v>58</v>
      </c>
      <c r="B30" s="8" t="s">
        <v>67</v>
      </c>
      <c r="C30" s="9">
        <v>44077</v>
      </c>
      <c r="D30" s="34">
        <f>120+16.594/60</f>
        <v>120.27656666666667</v>
      </c>
      <c r="E30" s="11">
        <f>24+17.948/60</f>
        <v>24.299133333333334</v>
      </c>
      <c r="F30" s="12">
        <v>0.23402777777777781</v>
      </c>
      <c r="G30" s="14">
        <f>120+15.985/60</f>
        <v>120.26641666666667</v>
      </c>
      <c r="H30" s="14">
        <f>24+17.331/60</f>
        <v>24.28885</v>
      </c>
      <c r="I30" s="8">
        <v>49.8</v>
      </c>
      <c r="J30" s="37">
        <v>0.24583333333333335</v>
      </c>
      <c r="K30" s="17">
        <v>2.2000000000000002</v>
      </c>
      <c r="L30" s="17">
        <v>150</v>
      </c>
      <c r="M30" s="11">
        <f>120+14.549/60</f>
        <v>120.24248333333334</v>
      </c>
      <c r="N30" s="11">
        <f>24+14.913/60</f>
        <v>24.248550000000002</v>
      </c>
      <c r="O30" s="17">
        <v>44.8</v>
      </c>
      <c r="P30" s="12">
        <v>0.28611111111111115</v>
      </c>
      <c r="Q30" s="14">
        <f>120+14.359/60</f>
        <v>120.23931666666667</v>
      </c>
      <c r="R30" s="14">
        <f>24+14.707/60</f>
        <v>24.245116666666668</v>
      </c>
      <c r="S30" s="35">
        <v>0.29444444444444445</v>
      </c>
      <c r="T30" s="17"/>
    </row>
    <row r="31" spans="1:20" s="38" customFormat="1" ht="16.5">
      <c r="A31" s="7" t="s">
        <v>68</v>
      </c>
      <c r="B31" s="8" t="s">
        <v>69</v>
      </c>
      <c r="C31" s="9">
        <v>44077</v>
      </c>
      <c r="D31" s="34">
        <f>120+1.996/60</f>
        <v>120.03326666666666</v>
      </c>
      <c r="E31" s="11">
        <f>24+17.314/60</f>
        <v>24.288566666666668</v>
      </c>
      <c r="F31" s="12">
        <v>0.60138888888888886</v>
      </c>
      <c r="G31" s="14">
        <f>120+1.908/60</f>
        <v>120.0318</v>
      </c>
      <c r="H31" s="14">
        <f>24+17.018/60</f>
        <v>24.283633333333334</v>
      </c>
      <c r="I31" s="8">
        <v>41.2</v>
      </c>
      <c r="J31" s="37">
        <v>0.60555555555555551</v>
      </c>
      <c r="K31" s="17">
        <v>2.6</v>
      </c>
      <c r="L31" s="17">
        <v>120.5</v>
      </c>
      <c r="M31" s="11">
        <f>120+1.12/60</f>
        <v>120.01866666666666</v>
      </c>
      <c r="N31" s="11">
        <f>24+14.476/60</f>
        <v>24.241266666666668</v>
      </c>
      <c r="O31" s="17">
        <v>40.5</v>
      </c>
      <c r="P31" s="12">
        <v>0.64722222222222225</v>
      </c>
      <c r="Q31" s="14">
        <f>120+1.173/60</f>
        <v>120.01955</v>
      </c>
      <c r="R31" s="14">
        <f>24+14.269/60</f>
        <v>24.237816666666667</v>
      </c>
      <c r="S31" s="35">
        <v>0.65347222222222223</v>
      </c>
      <c r="T31" s="17"/>
    </row>
    <row r="32" spans="1:20" s="38" customFormat="1" ht="16.5">
      <c r="A32" s="7" t="s">
        <v>70</v>
      </c>
      <c r="B32" s="8" t="s">
        <v>71</v>
      </c>
      <c r="C32" s="9">
        <v>44077</v>
      </c>
      <c r="D32" s="34">
        <f>119+46.889/60</f>
        <v>119.78148333333333</v>
      </c>
      <c r="E32" s="11">
        <f>24+12.874/60</f>
        <v>24.214566666666666</v>
      </c>
      <c r="F32" s="12">
        <v>0.7104166666666667</v>
      </c>
      <c r="G32" s="14">
        <f>119+46.968/60</f>
        <v>119.78279999999999</v>
      </c>
      <c r="H32" s="14">
        <f>24+13.188/60</f>
        <v>24.219799999999999</v>
      </c>
      <c r="I32" s="8">
        <v>34.200000000000003</v>
      </c>
      <c r="J32" s="37">
        <v>0.71527777777777779</v>
      </c>
      <c r="K32" s="17">
        <v>2</v>
      </c>
      <c r="L32" s="17">
        <v>110.4</v>
      </c>
      <c r="M32" s="11">
        <f>119+47.344/60</f>
        <v>119.78906666666667</v>
      </c>
      <c r="N32" s="11">
        <f>24+15.391/60</f>
        <v>24.256516666666666</v>
      </c>
      <c r="O32" s="17">
        <v>33.200000000000003</v>
      </c>
      <c r="P32" s="12">
        <v>0.75694444444444453</v>
      </c>
      <c r="Q32" s="14">
        <f>119+47.396/60</f>
        <v>119.78993333333334</v>
      </c>
      <c r="R32" s="14">
        <f>24+15.547/60</f>
        <v>24.259116666666667</v>
      </c>
      <c r="S32" s="35">
        <v>0.76180555555555562</v>
      </c>
      <c r="T32" s="17"/>
    </row>
    <row r="33" spans="1:20" s="38" customFormat="1" ht="16.5">
      <c r="A33" s="7" t="s">
        <v>72</v>
      </c>
      <c r="B33" s="8" t="s">
        <v>73</v>
      </c>
      <c r="C33" s="9">
        <v>44077</v>
      </c>
      <c r="D33" s="34">
        <f>120+40.617/60</f>
        <v>120.67695000000001</v>
      </c>
      <c r="E33" s="11">
        <f>24+41.597/60</f>
        <v>24.693283333333333</v>
      </c>
      <c r="F33" s="12">
        <v>0.25138888888888888</v>
      </c>
      <c r="G33" s="14">
        <f>120+40.499/60</f>
        <v>120.67498333333333</v>
      </c>
      <c r="H33" s="14">
        <f>24+41.37/60</f>
        <v>24.689499999999999</v>
      </c>
      <c r="I33" s="8">
        <v>60.8</v>
      </c>
      <c r="J33" s="37">
        <v>0.26041666666666669</v>
      </c>
      <c r="K33" s="17">
        <v>1.6</v>
      </c>
      <c r="L33" s="17">
        <v>180.3</v>
      </c>
      <c r="M33" s="11">
        <f>120+39.665/60</f>
        <v>120.66108333333334</v>
      </c>
      <c r="N33" s="11">
        <f>24+39.745/60</f>
        <v>24.662416666666665</v>
      </c>
      <c r="O33" s="17">
        <v>62.5</v>
      </c>
      <c r="P33" s="12">
        <v>0.30208333333333331</v>
      </c>
      <c r="Q33" s="14">
        <f>120+39.593/60</f>
        <v>120.65988333333334</v>
      </c>
      <c r="R33" s="14">
        <f>24+39.744/60</f>
        <v>24.662400000000002</v>
      </c>
      <c r="S33" s="35">
        <v>0.30972222222222223</v>
      </c>
      <c r="T33" s="17"/>
    </row>
    <row r="34" spans="1:20" s="38" customFormat="1" ht="16.5">
      <c r="A34" s="7" t="s">
        <v>74</v>
      </c>
      <c r="B34" s="8" t="s">
        <v>75</v>
      </c>
      <c r="C34" s="9">
        <v>44077</v>
      </c>
      <c r="D34" s="34">
        <f>120+1.186/60</f>
        <v>120.01976666666667</v>
      </c>
      <c r="E34" s="11">
        <f>24+32.345/60</f>
        <v>24.539083333333334</v>
      </c>
      <c r="F34" s="12">
        <v>0.46875</v>
      </c>
      <c r="G34" s="14">
        <f>120+0.885/60</f>
        <v>120.01475000000001</v>
      </c>
      <c r="H34" s="14">
        <f>24+31.985/60</f>
        <v>24.533083333333334</v>
      </c>
      <c r="I34" s="8">
        <v>66.400000000000006</v>
      </c>
      <c r="J34" s="37">
        <v>0.47500000000000003</v>
      </c>
      <c r="K34" s="17">
        <v>2.4</v>
      </c>
      <c r="L34" s="17">
        <v>209.9</v>
      </c>
      <c r="M34" s="11">
        <f>119+59.025/60</f>
        <v>119.98375</v>
      </c>
      <c r="N34" s="11">
        <f>24+29.897/60</f>
        <v>24.498283333333333</v>
      </c>
      <c r="O34" s="17">
        <v>67</v>
      </c>
      <c r="P34" s="12">
        <v>0.51666666666666672</v>
      </c>
      <c r="Q34" s="14">
        <f>119+58.822/60</f>
        <v>119.98036666666667</v>
      </c>
      <c r="R34" s="14">
        <f>24+29.701/60</f>
        <v>24.495016666666668</v>
      </c>
      <c r="S34" s="35">
        <v>0.52430555555555558</v>
      </c>
      <c r="T34" s="17"/>
    </row>
    <row r="35" spans="1:20" s="38" customFormat="1" ht="16.5">
      <c r="A35" s="7" t="s">
        <v>76</v>
      </c>
      <c r="B35" s="8" t="s">
        <v>77</v>
      </c>
      <c r="C35" s="9">
        <v>44077</v>
      </c>
      <c r="D35" s="34">
        <f>121+0.518/60</f>
        <v>121.00863333333334</v>
      </c>
      <c r="E35" s="11">
        <f>25+7.16/60</f>
        <v>25.119333333333334</v>
      </c>
      <c r="F35" s="12">
        <v>0.55486111111111114</v>
      </c>
      <c r="G35" s="14">
        <f>121+1.6/60</f>
        <v>121.02666666666667</v>
      </c>
      <c r="H35" s="14">
        <f>25+7.38/60</f>
        <v>25.123000000000001</v>
      </c>
      <c r="I35" s="8">
        <v>72.099999999999994</v>
      </c>
      <c r="J35" s="37">
        <v>0.56458333333333333</v>
      </c>
      <c r="K35" s="17">
        <v>2.9</v>
      </c>
      <c r="L35" s="17">
        <v>230</v>
      </c>
      <c r="M35" s="11">
        <f>121+5.134/60</f>
        <v>121.08556666666667</v>
      </c>
      <c r="N35" s="11">
        <f>25+8.146/60</f>
        <v>25.135766666666665</v>
      </c>
      <c r="O35" s="17">
        <v>65.3</v>
      </c>
      <c r="P35" s="12">
        <v>0.60069444444444442</v>
      </c>
      <c r="Q35" s="14">
        <f>121+6.079/60</f>
        <v>121.10131666666666</v>
      </c>
      <c r="R35" s="14">
        <f>25+8.412/60</f>
        <v>25.1402</v>
      </c>
      <c r="S35" s="35">
        <v>0.61111111111111105</v>
      </c>
      <c r="T35" s="17"/>
    </row>
    <row r="36" spans="1:20" s="38" customFormat="1" ht="16.5">
      <c r="A36" s="7" t="s">
        <v>78</v>
      </c>
      <c r="B36" s="8" t="s">
        <v>79</v>
      </c>
      <c r="C36" s="9">
        <v>44077</v>
      </c>
      <c r="D36" s="34">
        <f>120+1.098/60</f>
        <v>120.0183</v>
      </c>
      <c r="E36" s="11">
        <f>23+42.274/60</f>
        <v>23.704566666666668</v>
      </c>
      <c r="F36" s="12">
        <v>0.64652777777777781</v>
      </c>
      <c r="G36" s="14">
        <f>120+1.045/60</f>
        <v>120.01741666666666</v>
      </c>
      <c r="H36" s="14">
        <f>23+41.705/60</f>
        <v>23.695083333333333</v>
      </c>
      <c r="I36" s="8">
        <v>33.299999999999997</v>
      </c>
      <c r="J36" s="37">
        <v>0.65138888888888891</v>
      </c>
      <c r="K36" s="17">
        <v>3.6</v>
      </c>
      <c r="L36" s="17">
        <v>110.3</v>
      </c>
      <c r="M36" s="11">
        <f>120+0.423/60</f>
        <v>120.00705000000001</v>
      </c>
      <c r="N36" s="11">
        <f>23+39.074/60</f>
        <v>23.651233333333334</v>
      </c>
      <c r="O36" s="17">
        <v>29.7</v>
      </c>
      <c r="P36" s="12">
        <v>111.4</v>
      </c>
      <c r="Q36" s="14">
        <f>120+0.238/60</f>
        <v>120.00396666666667</v>
      </c>
      <c r="R36" s="14">
        <f>23+38.551/60</f>
        <v>23.642516666666666</v>
      </c>
      <c r="S36" s="35">
        <v>0.68888888888888899</v>
      </c>
      <c r="T36" s="17"/>
    </row>
    <row r="37" spans="1:20" s="8" customFormat="1">
      <c r="A37" s="7" t="s">
        <v>80</v>
      </c>
      <c r="B37" s="8" t="s">
        <v>81</v>
      </c>
      <c r="C37" s="9">
        <v>44149</v>
      </c>
      <c r="D37" s="34">
        <f>120+20.5416/60</f>
        <v>120.34236</v>
      </c>
      <c r="E37" s="11">
        <f>22+18.8845/60</f>
        <v>22.314741666666666</v>
      </c>
      <c r="F37" s="12">
        <v>0.57013888888888886</v>
      </c>
      <c r="G37" s="14">
        <f>120+20.57/60</f>
        <v>120.34283333333333</v>
      </c>
      <c r="H37" s="14">
        <f>22+18.941/60</f>
        <v>22.315683333333332</v>
      </c>
      <c r="I37" s="8">
        <v>116</v>
      </c>
      <c r="J37" s="35">
        <v>0.58263888888888882</v>
      </c>
      <c r="K37" s="17">
        <v>1.6</v>
      </c>
      <c r="L37" s="17">
        <v>600</v>
      </c>
      <c r="M37" s="11">
        <f>120+19.7762/60</f>
        <v>120.32960333333334</v>
      </c>
      <c r="N37" s="11">
        <f>22+17.9166/60</f>
        <v>22.29861</v>
      </c>
      <c r="O37" s="17">
        <v>159</v>
      </c>
      <c r="P37" s="12">
        <v>0.59722222222222221</v>
      </c>
      <c r="Q37" s="22"/>
      <c r="R37" s="23"/>
      <c r="S37" s="22"/>
      <c r="T37" s="17"/>
    </row>
    <row r="38" spans="1:20" s="8" customFormat="1">
      <c r="A38" s="7" t="s">
        <v>82</v>
      </c>
      <c r="B38" s="8" t="s">
        <v>83</v>
      </c>
      <c r="C38" s="9">
        <v>44149</v>
      </c>
      <c r="D38" s="34">
        <f>120+14.6612/60</f>
        <v>120.24435333333334</v>
      </c>
      <c r="E38" s="11">
        <f>22+15.0432/60</f>
        <v>22.250720000000001</v>
      </c>
      <c r="F38" s="12">
        <v>0.7402777777777777</v>
      </c>
      <c r="G38" s="14">
        <f>120+14.798/60</f>
        <v>120.24663333333334</v>
      </c>
      <c r="H38" s="14">
        <f>22+13.6045/60</f>
        <v>22.226741666666666</v>
      </c>
      <c r="I38" s="8">
        <v>763</v>
      </c>
      <c r="J38" s="35">
        <v>0.76041666666666663</v>
      </c>
      <c r="K38" s="17">
        <v>1.5</v>
      </c>
      <c r="L38" s="17">
        <v>1300</v>
      </c>
      <c r="M38" s="11">
        <f>120+14.902/60</f>
        <v>120.24836666666667</v>
      </c>
      <c r="N38" s="11">
        <f>22+13.028/60</f>
        <v>22.217133333333333</v>
      </c>
      <c r="O38" s="17">
        <v>786</v>
      </c>
      <c r="P38" s="12">
        <v>0.78125</v>
      </c>
      <c r="Q38" s="14">
        <f>120+14.7602/60</f>
        <v>120.24600333333333</v>
      </c>
      <c r="R38" s="14">
        <f>22+12.2325/60</f>
        <v>22.203875</v>
      </c>
      <c r="S38" s="35">
        <v>0.80694444444444446</v>
      </c>
      <c r="T38" s="17" t="s">
        <v>84</v>
      </c>
    </row>
    <row r="39" spans="1:20" s="8" customFormat="1">
      <c r="A39" s="7" t="s">
        <v>85</v>
      </c>
      <c r="B39" s="8" t="s">
        <v>86</v>
      </c>
      <c r="C39" s="9">
        <v>44150</v>
      </c>
      <c r="D39" s="34">
        <f>120+59.509/60</f>
        <v>120.99181666666667</v>
      </c>
      <c r="E39" s="11">
        <f>22+18.342/60</f>
        <v>22.305700000000002</v>
      </c>
      <c r="F39" s="12">
        <v>0.58680555555555558</v>
      </c>
      <c r="G39" s="14">
        <f>119+59.823/60</f>
        <v>119.99705</v>
      </c>
      <c r="H39" s="14">
        <f>22+16.108/60</f>
        <v>22.268466666666665</v>
      </c>
      <c r="I39" s="8">
        <v>961</v>
      </c>
      <c r="J39" s="35">
        <v>0.61319444444444449</v>
      </c>
      <c r="K39" s="17">
        <v>1.5</v>
      </c>
      <c r="L39" s="17">
        <v>1708</v>
      </c>
      <c r="M39" s="11">
        <f>119+59.9202/60</f>
        <v>119.99867</v>
      </c>
      <c r="N39" s="11">
        <f>22+15.08/60</f>
        <v>22.251333333333335</v>
      </c>
      <c r="O39" s="17">
        <v>1008</v>
      </c>
      <c r="P39" s="12">
        <v>0.64236111111111105</v>
      </c>
      <c r="Q39" s="14">
        <f>119+59.93/60</f>
        <v>119.99883333333334</v>
      </c>
      <c r="R39" s="14">
        <f>22+13.941/60</f>
        <v>22.23235</v>
      </c>
      <c r="S39" s="35">
        <v>0.67708333333333337</v>
      </c>
      <c r="T39" s="17" t="s">
        <v>87</v>
      </c>
    </row>
    <row r="40" spans="1:20" s="8" customFormat="1">
      <c r="A40" s="7" t="s">
        <v>85</v>
      </c>
      <c r="B40" s="8" t="s">
        <v>88</v>
      </c>
      <c r="C40" s="9">
        <v>44150</v>
      </c>
      <c r="D40" s="34">
        <f>120+2.0853/60</f>
        <v>120.034755</v>
      </c>
      <c r="E40" s="11">
        <f>22+4.2524/60</f>
        <v>22.070873333333335</v>
      </c>
      <c r="F40" s="12">
        <v>0.81458333333333333</v>
      </c>
      <c r="G40" s="14">
        <f>120+2.7084/60</f>
        <v>120.04514</v>
      </c>
      <c r="H40" s="14">
        <f>22+2.0033/60</f>
        <v>22.033388333333335</v>
      </c>
      <c r="I40" s="8">
        <v>1370</v>
      </c>
      <c r="J40" s="35">
        <v>0.87569444444444444</v>
      </c>
      <c r="K40" s="17">
        <v>2</v>
      </c>
      <c r="L40" s="17">
        <v>1850</v>
      </c>
      <c r="M40" s="11">
        <f>120+2.7032/60</f>
        <v>120.04505333333333</v>
      </c>
      <c r="N40" s="11">
        <f>22+2.0252/60</f>
        <v>22.033753333333333</v>
      </c>
      <c r="O40" s="17">
        <v>1406</v>
      </c>
      <c r="P40" s="12">
        <v>0.88888888888888884</v>
      </c>
      <c r="Q40" s="14">
        <f>120+3.15/60</f>
        <v>120.05249999999999</v>
      </c>
      <c r="R40" s="14">
        <f>22+0.2315/60</f>
        <v>22.003858333333334</v>
      </c>
      <c r="S40" s="35">
        <v>0.92013888888888884</v>
      </c>
      <c r="T40" s="17"/>
    </row>
    <row r="41" spans="1:20" s="8" customFormat="1">
      <c r="A41" s="7" t="s">
        <v>89</v>
      </c>
      <c r="B41" s="8" t="s">
        <v>90</v>
      </c>
      <c r="C41" s="9">
        <v>44211</v>
      </c>
      <c r="D41" s="34">
        <v>122.06898333333334</v>
      </c>
      <c r="E41" s="11">
        <v>24.890623333333334</v>
      </c>
      <c r="F41" s="12">
        <v>0.65138888888888891</v>
      </c>
      <c r="G41" s="14">
        <v>122.07566333333334</v>
      </c>
      <c r="H41" s="14">
        <v>24.934645</v>
      </c>
      <c r="I41" s="8">
        <v>227</v>
      </c>
      <c r="J41" s="35">
        <v>0.6645833333333333</v>
      </c>
      <c r="K41" s="17">
        <v>1.7</v>
      </c>
      <c r="L41" s="17">
        <v>703.7</v>
      </c>
      <c r="M41" s="11">
        <v>120.08035666666666</v>
      </c>
      <c r="N41" s="11">
        <v>24.948471666666666</v>
      </c>
      <c r="O41" s="17">
        <v>221</v>
      </c>
      <c r="P41" s="12">
        <v>0.68472222222222223</v>
      </c>
      <c r="Q41" s="14">
        <v>122.08163999999999</v>
      </c>
      <c r="R41" s="14">
        <v>24.961321666666667</v>
      </c>
      <c r="S41" s="35">
        <v>0.7006944444444444</v>
      </c>
      <c r="T41" s="17"/>
    </row>
    <row r="42" spans="1:20" s="8" customFormat="1">
      <c r="A42" s="7" t="s">
        <v>91</v>
      </c>
      <c r="B42" s="8" t="s">
        <v>92</v>
      </c>
      <c r="C42" s="9">
        <v>44211</v>
      </c>
      <c r="D42" s="34">
        <v>122.0123</v>
      </c>
      <c r="E42" s="11">
        <v>24.908166666666666</v>
      </c>
      <c r="F42" s="12">
        <v>0.74097222222222225</v>
      </c>
      <c r="G42" s="14">
        <v>122.02137333333333</v>
      </c>
      <c r="H42" s="14">
        <v>24.914913333333335</v>
      </c>
      <c r="I42" s="8">
        <v>163</v>
      </c>
      <c r="J42" s="35">
        <v>0.75277777777777777</v>
      </c>
      <c r="K42" s="17">
        <v>1.5</v>
      </c>
      <c r="L42" s="17">
        <v>599.1</v>
      </c>
      <c r="M42" s="11">
        <v>122.033</v>
      </c>
      <c r="N42" s="11">
        <v>24.925816666666666</v>
      </c>
      <c r="O42" s="17">
        <v>154</v>
      </c>
      <c r="P42" s="12">
        <v>0.77361111111111114</v>
      </c>
      <c r="Q42" s="14">
        <v>122.04209</v>
      </c>
      <c r="R42" s="14">
        <v>24.93102</v>
      </c>
      <c r="S42" s="35">
        <v>0.78888888888888886</v>
      </c>
      <c r="T42" s="17"/>
    </row>
    <row r="43" spans="1:20" s="8" customFormat="1">
      <c r="A43" s="7" t="s">
        <v>93</v>
      </c>
      <c r="B43" s="8" t="s">
        <v>94</v>
      </c>
      <c r="C43" s="9">
        <v>44212</v>
      </c>
      <c r="D43" s="34">
        <f>122+11.555/60</f>
        <v>122.19258333333333</v>
      </c>
      <c r="E43" s="11">
        <f>24+15.0262/60</f>
        <v>24.250436666666666</v>
      </c>
      <c r="F43" s="12">
        <v>0.4236111111111111</v>
      </c>
      <c r="G43" s="14">
        <f>122+10.5239/60</f>
        <v>122.17539833333333</v>
      </c>
      <c r="H43" s="14">
        <f>24+10.8604/60</f>
        <v>24.181006666666665</v>
      </c>
      <c r="I43" s="8">
        <v>2838</v>
      </c>
      <c r="J43" s="35">
        <v>0.48402777777777778</v>
      </c>
      <c r="K43" s="17">
        <v>1.5</v>
      </c>
      <c r="L43" s="17">
        <v>4202.3999999999996</v>
      </c>
      <c r="M43" s="11">
        <f>122+10.373/60</f>
        <v>122.17288333333333</v>
      </c>
      <c r="N43" s="11">
        <f>24+9.461/60</f>
        <v>24.157683333333335</v>
      </c>
      <c r="O43" s="17">
        <v>2928</v>
      </c>
      <c r="P43" s="12">
        <v>0.52500000000000002</v>
      </c>
      <c r="Q43" s="14">
        <f>122+12.3179/60</f>
        <v>122.20529833333333</v>
      </c>
      <c r="R43" s="14">
        <f>24+7.6648/60</f>
        <v>24.127746666666667</v>
      </c>
      <c r="S43" s="35">
        <v>0.59166666666666667</v>
      </c>
      <c r="T43" s="17"/>
    </row>
    <row r="44" spans="1:20" s="8" customFormat="1">
      <c r="A44" s="7" t="s">
        <v>95</v>
      </c>
      <c r="B44" s="8" t="s">
        <v>96</v>
      </c>
      <c r="C44" s="9">
        <v>44214</v>
      </c>
      <c r="D44" s="34">
        <f>122+0.198/60</f>
        <v>122.0033</v>
      </c>
      <c r="E44" s="11">
        <f>23+57.144/60</f>
        <v>23.952400000000001</v>
      </c>
      <c r="F44" s="12">
        <v>0.60277777777777775</v>
      </c>
      <c r="G44" s="14">
        <f>122+1.8825/60</f>
        <v>122.031375</v>
      </c>
      <c r="H44" s="14">
        <f>24+1.2287/60</f>
        <v>24.020478333333333</v>
      </c>
      <c r="I44" s="8">
        <v>3015</v>
      </c>
      <c r="J44" s="35">
        <v>0.66805555555555562</v>
      </c>
      <c r="K44" s="17">
        <v>1.7</v>
      </c>
      <c r="L44" s="17">
        <v>4002.1</v>
      </c>
      <c r="M44" s="11">
        <f>122+2.503/60</f>
        <v>122.04171666666667</v>
      </c>
      <c r="N44" s="11">
        <f>24+2.903/60</f>
        <v>24.048383333333334</v>
      </c>
      <c r="O44" s="17">
        <v>3169</v>
      </c>
      <c r="P44" s="12">
        <v>0.71111111111111114</v>
      </c>
      <c r="Q44" s="14">
        <f>122+4.3985/60</f>
        <v>122.07330833333333</v>
      </c>
      <c r="R44" s="14">
        <f>24+6.6335/60</f>
        <v>24.110558333333334</v>
      </c>
      <c r="S44" s="35">
        <v>0.79999999999999993</v>
      </c>
      <c r="T44" s="17" t="s">
        <v>97</v>
      </c>
    </row>
    <row r="45" spans="1:20" s="8" customFormat="1">
      <c r="A45" s="7" t="s">
        <v>98</v>
      </c>
      <c r="B45" s="8" t="s">
        <v>99</v>
      </c>
      <c r="C45" s="9">
        <v>44215</v>
      </c>
      <c r="D45" s="34">
        <f>122+9.007/60</f>
        <v>122.15011666666666</v>
      </c>
      <c r="E45" s="11">
        <f>24+1.147/60</f>
        <v>24.019116666666665</v>
      </c>
      <c r="F45" s="12">
        <v>0.16527777777777777</v>
      </c>
      <c r="G45" s="14">
        <f>122+7.27/60</f>
        <v>122.12116666666667</v>
      </c>
      <c r="H45" s="14">
        <f>23+56.2197/60</f>
        <v>23.936995</v>
      </c>
      <c r="I45" s="8">
        <v>3037</v>
      </c>
      <c r="J45" s="39">
        <v>0.26597222222222222</v>
      </c>
      <c r="K45" s="17">
        <v>1.5</v>
      </c>
      <c r="L45" s="17">
        <v>4700</v>
      </c>
      <c r="M45" s="11">
        <f>122+8.54/60</f>
        <v>122.14233333333334</v>
      </c>
      <c r="N45" s="11">
        <f>23+55.719/60</f>
        <v>23.928650000000001</v>
      </c>
      <c r="O45" s="17">
        <v>3066</v>
      </c>
      <c r="P45" s="12">
        <v>0.28125</v>
      </c>
      <c r="Q45" s="14">
        <f>122+6.0944/60</f>
        <v>122.10157333333333</v>
      </c>
      <c r="R45" s="14">
        <f>23+51.6459/60</f>
        <v>23.860765000000001</v>
      </c>
      <c r="S45" s="35">
        <v>0.39166666666666666</v>
      </c>
      <c r="T45" s="17" t="s">
        <v>100</v>
      </c>
    </row>
    <row r="46" spans="1:20" s="8" customFormat="1">
      <c r="A46" s="7" t="s">
        <v>101</v>
      </c>
      <c r="B46" s="8" t="s">
        <v>102</v>
      </c>
      <c r="C46" s="9">
        <v>44215</v>
      </c>
      <c r="D46" s="34">
        <f>122+22.688/60</f>
        <v>122.37813333333334</v>
      </c>
      <c r="E46" s="11">
        <f>23+59.398/60</f>
        <v>23.989966666666668</v>
      </c>
      <c r="F46" s="12">
        <v>0.54999999999999993</v>
      </c>
      <c r="G46" s="14">
        <f>122+21.4259/60</f>
        <v>122.35709833333334</v>
      </c>
      <c r="H46" s="14">
        <f>23+34.2947/60</f>
        <v>23.571578333333335</v>
      </c>
      <c r="I46" s="8">
        <v>3599</v>
      </c>
      <c r="J46" s="37">
        <v>0.63541666666666663</v>
      </c>
      <c r="K46" s="17">
        <v>1.5</v>
      </c>
      <c r="L46" s="17">
        <v>5000</v>
      </c>
      <c r="M46" s="11">
        <f>122+20.7463/60</f>
        <v>122.34577166666666</v>
      </c>
      <c r="N46" s="11">
        <f>23+51.4064/60</f>
        <v>23.856773333333333</v>
      </c>
      <c r="O46" s="17">
        <v>3594</v>
      </c>
      <c r="P46" s="39">
        <v>0.71805555555555556</v>
      </c>
      <c r="Q46" s="14">
        <f>122+19.9613/60</f>
        <v>122.33268833333334</v>
      </c>
      <c r="R46" s="14">
        <f>23+48.9003/60</f>
        <v>23.815004999999999</v>
      </c>
      <c r="S46" s="35">
        <v>0.78333333333333333</v>
      </c>
      <c r="T46" s="17" t="s">
        <v>103</v>
      </c>
    </row>
    <row r="47" spans="1:20" s="38" customFormat="1">
      <c r="A47" s="7" t="s">
        <v>104</v>
      </c>
      <c r="B47" s="8" t="s">
        <v>105</v>
      </c>
      <c r="C47" s="9">
        <v>44221</v>
      </c>
      <c r="D47" s="34">
        <f>119+52.311/60</f>
        <v>119.87184999999999</v>
      </c>
      <c r="E47" s="11">
        <f>21+57.407/60</f>
        <v>21.956783333333334</v>
      </c>
      <c r="F47" s="12">
        <v>0.12361111111111112</v>
      </c>
      <c r="G47" s="14">
        <f>119+51.1261/60</f>
        <v>119.85210166666667</v>
      </c>
      <c r="H47" s="14">
        <f>22+0.1311/60</f>
        <v>22.002185000000001</v>
      </c>
      <c r="I47" s="8">
        <v>1635</v>
      </c>
      <c r="J47" s="37">
        <v>0.16944444444444443</v>
      </c>
      <c r="K47" s="17">
        <v>1.5</v>
      </c>
      <c r="L47" s="17">
        <v>2800.5</v>
      </c>
      <c r="M47" s="11">
        <f>119+50.4907/60</f>
        <v>119.84151166666666</v>
      </c>
      <c r="N47" s="11">
        <f>22+1.656/60</f>
        <v>22.0276</v>
      </c>
      <c r="O47" s="17">
        <v>1642</v>
      </c>
      <c r="P47" s="12">
        <v>0.21111111111111111</v>
      </c>
      <c r="Q47" s="14">
        <f>119+49.593/60</f>
        <v>119.82655</v>
      </c>
      <c r="R47" s="14">
        <f>22+3.896/60</f>
        <v>22.064933333333332</v>
      </c>
      <c r="S47" s="35">
        <v>0.26527777777777778</v>
      </c>
      <c r="T47" s="17"/>
    </row>
    <row r="48" spans="1:20" s="38" customFormat="1">
      <c r="A48" s="7" t="s">
        <v>106</v>
      </c>
      <c r="B48" s="8" t="s">
        <v>107</v>
      </c>
      <c r="C48" s="9">
        <v>44221</v>
      </c>
      <c r="D48" s="34">
        <f>120+0.65/60</f>
        <v>120.01083333333334</v>
      </c>
      <c r="E48" s="11">
        <f>22+15.0113/60</f>
        <v>22.250188333333334</v>
      </c>
      <c r="F48" s="12">
        <v>0.4548611111111111</v>
      </c>
      <c r="G48" s="14">
        <f>119+59.7909/60</f>
        <v>119.996515</v>
      </c>
      <c r="H48" s="14">
        <f>22+16.3089/60</f>
        <v>22.271815</v>
      </c>
      <c r="I48" s="8">
        <v>985</v>
      </c>
      <c r="J48" s="37">
        <v>0.48472222222222222</v>
      </c>
      <c r="K48" s="17">
        <v>1.5</v>
      </c>
      <c r="L48" s="17">
        <v>1802.1</v>
      </c>
      <c r="M48" s="11">
        <f>119+59.723/60</f>
        <v>119.99538333333334</v>
      </c>
      <c r="N48" s="11">
        <f>22+17.492/60</f>
        <v>22.291533333333334</v>
      </c>
      <c r="O48" s="17">
        <v>972</v>
      </c>
      <c r="P48" s="12">
        <v>0.51388888888888895</v>
      </c>
      <c r="Q48" s="14">
        <f>119+59.477/60</f>
        <v>119.99128333333333</v>
      </c>
      <c r="R48" s="14">
        <f>22+19.039/60</f>
        <v>22.317316666666667</v>
      </c>
      <c r="S48" s="35">
        <v>0.55486111111111114</v>
      </c>
      <c r="T48" s="17" t="s">
        <v>108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opLeftCell="A91" workbookViewId="0">
      <selection activeCell="A25" sqref="A25"/>
    </sheetView>
  </sheetViews>
  <sheetFormatPr defaultRowHeight="15.75"/>
  <cols>
    <col min="1" max="1" width="15.85546875" bestFit="1" customWidth="1"/>
    <col min="2" max="2" width="9.5703125" bestFit="1" customWidth="1"/>
    <col min="3" max="3" width="20.42578125" customWidth="1"/>
    <col min="4" max="4" width="25" customWidth="1"/>
    <col min="5" max="5" width="17.7109375" customWidth="1"/>
    <col min="6" max="6" width="14" customWidth="1"/>
    <col min="7" max="7" width="28.85546875" customWidth="1"/>
  </cols>
  <sheetData>
    <row r="1" spans="1:12" s="6" customFormat="1" ht="18.75" customHeight="1">
      <c r="A1" s="1" t="s">
        <v>109</v>
      </c>
      <c r="B1" s="1" t="s">
        <v>110</v>
      </c>
      <c r="C1" s="1" t="s">
        <v>111</v>
      </c>
      <c r="D1" s="2" t="s">
        <v>112</v>
      </c>
      <c r="E1" s="3" t="s">
        <v>113</v>
      </c>
      <c r="F1" s="2" t="s">
        <v>114</v>
      </c>
      <c r="G1" s="2" t="s">
        <v>115</v>
      </c>
      <c r="H1" s="2"/>
      <c r="I1" s="1"/>
      <c r="J1" s="1"/>
      <c r="K1" s="2"/>
      <c r="L1" s="1"/>
    </row>
    <row r="2" spans="1:12" s="8" customFormat="1">
      <c r="A2" s="8" t="s">
        <v>116</v>
      </c>
      <c r="B2" s="40" t="s">
        <v>117</v>
      </c>
      <c r="C2" s="8" t="s">
        <v>118</v>
      </c>
      <c r="D2" s="41" t="s">
        <v>119</v>
      </c>
      <c r="E2" s="42"/>
      <c r="F2" s="42"/>
      <c r="G2" s="42"/>
    </row>
    <row r="3" spans="1:12" s="8" customFormat="1">
      <c r="A3" s="8" t="s">
        <v>120</v>
      </c>
      <c r="B3" s="40" t="s">
        <v>117</v>
      </c>
      <c r="C3" s="40" t="s">
        <v>121</v>
      </c>
      <c r="D3" s="43" t="s">
        <v>122</v>
      </c>
      <c r="E3" s="42"/>
      <c r="F3" s="42">
        <v>1</v>
      </c>
      <c r="G3" s="42"/>
    </row>
    <row r="4" spans="1:12" s="8" customFormat="1">
      <c r="A4" s="8" t="s">
        <v>24</v>
      </c>
      <c r="B4" s="40" t="s">
        <v>117</v>
      </c>
      <c r="C4" s="40" t="s">
        <v>121</v>
      </c>
      <c r="D4" s="43" t="s">
        <v>123</v>
      </c>
      <c r="E4" s="42">
        <v>1778</v>
      </c>
      <c r="F4" s="42">
        <v>1</v>
      </c>
      <c r="G4" s="42"/>
    </row>
    <row r="5" spans="1:12" s="8" customFormat="1">
      <c r="A5" s="8" t="s">
        <v>24</v>
      </c>
      <c r="B5" s="40" t="s">
        <v>117</v>
      </c>
      <c r="C5" s="43" t="s">
        <v>124</v>
      </c>
      <c r="D5" s="43" t="s">
        <v>125</v>
      </c>
      <c r="E5" s="42"/>
      <c r="F5" s="42">
        <v>1</v>
      </c>
      <c r="G5" s="42" t="s">
        <v>126</v>
      </c>
    </row>
    <row r="6" spans="1:12" s="8" customFormat="1">
      <c r="A6" s="8" t="s">
        <v>24</v>
      </c>
      <c r="B6" s="40" t="s">
        <v>127</v>
      </c>
      <c r="C6" s="43" t="s">
        <v>118</v>
      </c>
      <c r="D6" s="43" t="s">
        <v>128</v>
      </c>
      <c r="E6" s="42"/>
      <c r="F6" s="42">
        <v>2</v>
      </c>
      <c r="G6" s="42" t="s">
        <v>129</v>
      </c>
    </row>
    <row r="7" spans="1:12" s="8" customFormat="1">
      <c r="A7" s="8" t="s">
        <v>24</v>
      </c>
      <c r="B7" s="40" t="s">
        <v>127</v>
      </c>
      <c r="C7" s="43" t="s">
        <v>130</v>
      </c>
      <c r="D7" s="43" t="s">
        <v>131</v>
      </c>
      <c r="E7" s="42"/>
      <c r="F7" s="42">
        <v>1</v>
      </c>
      <c r="G7" s="42"/>
    </row>
    <row r="8" spans="1:12" s="8" customFormat="1">
      <c r="A8" s="8" t="s">
        <v>24</v>
      </c>
      <c r="B8" s="40" t="s">
        <v>127</v>
      </c>
      <c r="C8" s="40" t="s">
        <v>121</v>
      </c>
      <c r="D8" s="44" t="s">
        <v>132</v>
      </c>
      <c r="E8" s="42"/>
      <c r="F8" s="42">
        <v>1</v>
      </c>
      <c r="G8" s="42"/>
    </row>
    <row r="9" spans="1:12" s="8" customFormat="1">
      <c r="A9" s="8" t="s">
        <v>24</v>
      </c>
      <c r="B9" s="40" t="s">
        <v>127</v>
      </c>
      <c r="C9" s="40" t="s">
        <v>133</v>
      </c>
      <c r="D9" s="40" t="s">
        <v>134</v>
      </c>
      <c r="E9" s="42"/>
      <c r="F9" s="42">
        <v>2</v>
      </c>
      <c r="G9" s="42" t="s">
        <v>135</v>
      </c>
    </row>
    <row r="10" spans="1:12" s="8" customFormat="1">
      <c r="A10" s="8" t="s">
        <v>24</v>
      </c>
      <c r="B10" s="40" t="s">
        <v>127</v>
      </c>
      <c r="C10" s="40" t="s">
        <v>136</v>
      </c>
      <c r="D10" s="40" t="s">
        <v>137</v>
      </c>
      <c r="E10" s="42">
        <v>191</v>
      </c>
      <c r="F10" s="42"/>
      <c r="G10" s="42"/>
    </row>
    <row r="11" spans="1:12" s="8" customFormat="1">
      <c r="A11" s="8" t="s">
        <v>24</v>
      </c>
      <c r="B11" s="40" t="s">
        <v>138</v>
      </c>
      <c r="C11" s="40" t="s">
        <v>130</v>
      </c>
      <c r="D11" s="40" t="s">
        <v>139</v>
      </c>
      <c r="E11" s="42"/>
      <c r="F11" s="42">
        <v>12</v>
      </c>
      <c r="G11" s="42"/>
    </row>
    <row r="12" spans="1:12" s="8" customFormat="1">
      <c r="A12" s="8" t="s">
        <v>24</v>
      </c>
      <c r="B12" s="40" t="s">
        <v>138</v>
      </c>
      <c r="C12" s="40" t="s">
        <v>130</v>
      </c>
      <c r="D12" s="40" t="s">
        <v>128</v>
      </c>
      <c r="E12" s="42"/>
      <c r="F12" s="42">
        <v>9</v>
      </c>
      <c r="G12" s="42"/>
    </row>
    <row r="13" spans="1:12" s="8" customFormat="1">
      <c r="A13" s="8" t="s">
        <v>24</v>
      </c>
      <c r="B13" s="40" t="s">
        <v>138</v>
      </c>
      <c r="C13" s="40" t="s">
        <v>130</v>
      </c>
      <c r="D13" s="40" t="s">
        <v>140</v>
      </c>
      <c r="E13" s="42"/>
      <c r="F13" s="42">
        <v>1</v>
      </c>
      <c r="G13" s="42" t="s">
        <v>141</v>
      </c>
    </row>
    <row r="14" spans="1:12" s="8" customFormat="1">
      <c r="A14" s="8" t="s">
        <v>24</v>
      </c>
      <c r="B14" s="40" t="s">
        <v>138</v>
      </c>
      <c r="C14" s="40" t="s">
        <v>121</v>
      </c>
      <c r="D14" s="40" t="s">
        <v>132</v>
      </c>
      <c r="E14" s="42"/>
      <c r="F14" s="42">
        <v>1</v>
      </c>
      <c r="G14" s="42"/>
    </row>
    <row r="15" spans="1:12" s="8" customFormat="1">
      <c r="A15" s="8" t="s">
        <v>24</v>
      </c>
      <c r="B15" s="40" t="s">
        <v>138</v>
      </c>
      <c r="C15" s="45" t="s">
        <v>133</v>
      </c>
      <c r="D15" s="45" t="s">
        <v>142</v>
      </c>
      <c r="E15" s="46">
        <v>529</v>
      </c>
      <c r="F15" s="46">
        <v>1</v>
      </c>
      <c r="G15" s="8" t="s">
        <v>143</v>
      </c>
    </row>
    <row r="16" spans="1:12" s="8" customFormat="1">
      <c r="A16" s="8" t="s">
        <v>24</v>
      </c>
      <c r="B16" s="40" t="s">
        <v>138</v>
      </c>
      <c r="C16" s="45" t="s">
        <v>144</v>
      </c>
      <c r="D16" s="45" t="s">
        <v>145</v>
      </c>
      <c r="E16" s="46">
        <v>1945</v>
      </c>
      <c r="F16" s="46">
        <v>1</v>
      </c>
    </row>
    <row r="17" spans="1:7" s="8" customFormat="1">
      <c r="A17" s="8" t="s">
        <v>24</v>
      </c>
      <c r="B17" s="40" t="s">
        <v>138</v>
      </c>
      <c r="C17" s="45" t="s">
        <v>146</v>
      </c>
      <c r="D17" s="45" t="s">
        <v>147</v>
      </c>
      <c r="E17" s="46"/>
      <c r="F17" s="46">
        <v>1</v>
      </c>
    </row>
    <row r="18" spans="1:7" s="8" customFormat="1">
      <c r="A18" s="8" t="s">
        <v>24</v>
      </c>
      <c r="B18" s="40" t="s">
        <v>138</v>
      </c>
      <c r="C18" s="45" t="s">
        <v>146</v>
      </c>
      <c r="D18" s="45" t="s">
        <v>140</v>
      </c>
      <c r="E18" s="46"/>
      <c r="F18" s="46">
        <v>1</v>
      </c>
    </row>
    <row r="19" spans="1:7" s="8" customFormat="1">
      <c r="A19" s="8" t="s">
        <v>24</v>
      </c>
      <c r="B19" s="40" t="s">
        <v>138</v>
      </c>
      <c r="C19" s="45" t="s">
        <v>148</v>
      </c>
      <c r="D19" s="45" t="s">
        <v>125</v>
      </c>
      <c r="E19" s="46"/>
      <c r="F19" s="46">
        <v>1</v>
      </c>
    </row>
    <row r="20" spans="1:7" s="8" customFormat="1">
      <c r="A20" s="8" t="s">
        <v>24</v>
      </c>
      <c r="B20" s="40" t="s">
        <v>138</v>
      </c>
      <c r="C20" s="45" t="s">
        <v>124</v>
      </c>
      <c r="D20" s="45" t="s">
        <v>149</v>
      </c>
      <c r="E20" s="46"/>
      <c r="F20" s="46">
        <v>1</v>
      </c>
    </row>
    <row r="21" spans="1:7" s="8" customFormat="1">
      <c r="A21" s="8" t="s">
        <v>24</v>
      </c>
      <c r="B21" s="40" t="s">
        <v>138</v>
      </c>
      <c r="C21" s="45" t="s">
        <v>150</v>
      </c>
      <c r="D21" s="45" t="s">
        <v>137</v>
      </c>
      <c r="E21" s="46">
        <v>606</v>
      </c>
      <c r="F21" s="46"/>
    </row>
    <row r="22" spans="1:7" s="8" customFormat="1">
      <c r="A22" s="8" t="s">
        <v>24</v>
      </c>
      <c r="B22" s="8" t="s">
        <v>151</v>
      </c>
      <c r="C22" s="8" t="s">
        <v>136</v>
      </c>
      <c r="D22" s="8" t="s">
        <v>152</v>
      </c>
      <c r="E22" s="46">
        <v>17</v>
      </c>
    </row>
    <row r="23" spans="1:7" s="8" customFormat="1">
      <c r="A23" s="8" t="s">
        <v>24</v>
      </c>
      <c r="B23" s="8" t="s">
        <v>153</v>
      </c>
      <c r="C23" s="8" t="s">
        <v>118</v>
      </c>
      <c r="D23" s="8" t="s">
        <v>154</v>
      </c>
      <c r="E23" s="46"/>
      <c r="F23" s="46">
        <v>1</v>
      </c>
    </row>
    <row r="24" spans="1:7" s="8" customFormat="1">
      <c r="A24" s="8" t="s">
        <v>24</v>
      </c>
      <c r="B24" s="8" t="s">
        <v>153</v>
      </c>
      <c r="C24" s="8" t="s">
        <v>124</v>
      </c>
      <c r="D24" s="8" t="s">
        <v>155</v>
      </c>
      <c r="E24" s="46"/>
      <c r="F24" s="46">
        <v>1</v>
      </c>
    </row>
    <row r="25" spans="1:7" s="8" customFormat="1">
      <c r="A25" s="8" t="s">
        <v>24</v>
      </c>
      <c r="B25" s="8" t="s">
        <v>153</v>
      </c>
      <c r="C25" s="8" t="s">
        <v>136</v>
      </c>
      <c r="D25" s="8" t="s">
        <v>156</v>
      </c>
      <c r="E25" s="46">
        <v>31</v>
      </c>
      <c r="F25" s="46"/>
    </row>
    <row r="26" spans="1:7" s="8" customFormat="1">
      <c r="A26" s="8" t="s">
        <v>24</v>
      </c>
      <c r="B26" s="8" t="s">
        <v>157</v>
      </c>
      <c r="C26" s="8" t="s">
        <v>130</v>
      </c>
      <c r="D26" s="8" t="s">
        <v>139</v>
      </c>
      <c r="F26" s="8">
        <v>18</v>
      </c>
    </row>
    <row r="27" spans="1:7" s="8" customFormat="1">
      <c r="A27" s="8" t="s">
        <v>24</v>
      </c>
      <c r="B27" s="8" t="s">
        <v>157</v>
      </c>
      <c r="C27" s="8" t="s">
        <v>130</v>
      </c>
      <c r="D27" s="8" t="s">
        <v>125</v>
      </c>
      <c r="F27" s="8">
        <v>5</v>
      </c>
    </row>
    <row r="28" spans="1:7" s="8" customFormat="1">
      <c r="A28" s="8" t="s">
        <v>24</v>
      </c>
      <c r="B28" s="8" t="s">
        <v>157</v>
      </c>
      <c r="C28" s="8" t="s">
        <v>130</v>
      </c>
      <c r="D28" s="8" t="s">
        <v>140</v>
      </c>
      <c r="F28" s="8">
        <v>1</v>
      </c>
      <c r="G28" s="8" t="s">
        <v>158</v>
      </c>
    </row>
    <row r="29" spans="1:7" s="8" customFormat="1">
      <c r="A29" s="8" t="s">
        <v>24</v>
      </c>
      <c r="B29" s="8" t="s">
        <v>157</v>
      </c>
      <c r="C29" s="8" t="s">
        <v>121</v>
      </c>
      <c r="D29" s="8" t="s">
        <v>132</v>
      </c>
      <c r="F29" s="8">
        <v>1</v>
      </c>
    </row>
    <row r="30" spans="1:7" s="8" customFormat="1">
      <c r="A30" s="8" t="s">
        <v>24</v>
      </c>
      <c r="B30" s="8" t="s">
        <v>157</v>
      </c>
      <c r="C30" s="8" t="s">
        <v>136</v>
      </c>
      <c r="F30" s="8">
        <v>1</v>
      </c>
      <c r="G30" s="8" t="s">
        <v>159</v>
      </c>
    </row>
    <row r="31" spans="1:7" s="8" customFormat="1">
      <c r="A31" s="8" t="s">
        <v>24</v>
      </c>
      <c r="B31" s="8" t="s">
        <v>157</v>
      </c>
      <c r="C31" s="8" t="s">
        <v>136</v>
      </c>
      <c r="D31" s="8" t="s">
        <v>137</v>
      </c>
      <c r="E31" s="8">
        <v>2300</v>
      </c>
    </row>
    <row r="32" spans="1:7" s="8" customFormat="1">
      <c r="A32" s="8" t="s">
        <v>24</v>
      </c>
      <c r="B32" s="8" t="s">
        <v>160</v>
      </c>
      <c r="C32" s="8" t="s">
        <v>130</v>
      </c>
      <c r="D32" s="8" t="s">
        <v>125</v>
      </c>
      <c r="F32" s="8">
        <v>2</v>
      </c>
    </row>
    <row r="33" spans="1:7" s="8" customFormat="1">
      <c r="A33" s="8" t="s">
        <v>24</v>
      </c>
      <c r="B33" s="8" t="s">
        <v>160</v>
      </c>
      <c r="C33" s="8" t="s">
        <v>130</v>
      </c>
      <c r="D33" s="8" t="s">
        <v>140</v>
      </c>
      <c r="F33" s="8">
        <v>1</v>
      </c>
      <c r="G33" s="8" t="s">
        <v>161</v>
      </c>
    </row>
    <row r="34" spans="1:7" s="8" customFormat="1">
      <c r="A34" s="8" t="s">
        <v>24</v>
      </c>
      <c r="B34" s="8" t="s">
        <v>160</v>
      </c>
      <c r="C34" s="8" t="s">
        <v>136</v>
      </c>
      <c r="D34" s="8" t="s">
        <v>162</v>
      </c>
      <c r="E34" s="8">
        <v>1400</v>
      </c>
    </row>
    <row r="35" spans="1:7" s="8" customFormat="1">
      <c r="A35" s="8" t="s">
        <v>24</v>
      </c>
      <c r="B35" s="8" t="s">
        <v>163</v>
      </c>
      <c r="C35" s="8" t="s">
        <v>130</v>
      </c>
      <c r="D35" s="8" t="s">
        <v>131</v>
      </c>
      <c r="E35" s="8">
        <v>850</v>
      </c>
      <c r="F35" s="8">
        <v>1</v>
      </c>
      <c r="G35" s="8" t="s">
        <v>164</v>
      </c>
    </row>
    <row r="36" spans="1:7" s="8" customFormat="1">
      <c r="A36" s="8" t="s">
        <v>24</v>
      </c>
      <c r="B36" s="8" t="s">
        <v>163</v>
      </c>
      <c r="C36" s="8" t="s">
        <v>130</v>
      </c>
      <c r="D36" s="8" t="s">
        <v>140</v>
      </c>
      <c r="F36" s="8">
        <v>1</v>
      </c>
      <c r="G36" s="8" t="s">
        <v>141</v>
      </c>
    </row>
    <row r="37" spans="1:7" s="8" customFormat="1">
      <c r="A37" s="8" t="s">
        <v>24</v>
      </c>
      <c r="B37" s="46" t="s">
        <v>165</v>
      </c>
      <c r="C37" s="8" t="s">
        <v>166</v>
      </c>
      <c r="D37" s="8" t="s">
        <v>167</v>
      </c>
      <c r="E37" s="46"/>
      <c r="F37" s="46">
        <v>1</v>
      </c>
    </row>
    <row r="38" spans="1:7" s="8" customFormat="1">
      <c r="A38" s="8" t="s">
        <v>24</v>
      </c>
      <c r="B38" s="8" t="s">
        <v>168</v>
      </c>
      <c r="C38" s="8" t="s">
        <v>130</v>
      </c>
      <c r="D38" s="8" t="s">
        <v>139</v>
      </c>
      <c r="F38" s="8">
        <v>1</v>
      </c>
    </row>
    <row r="39" spans="1:7" s="8" customFormat="1">
      <c r="A39" s="8" t="s">
        <v>24</v>
      </c>
      <c r="B39" s="8" t="s">
        <v>168</v>
      </c>
      <c r="C39" s="8" t="s">
        <v>130</v>
      </c>
      <c r="D39" s="8" t="s">
        <v>169</v>
      </c>
      <c r="F39" s="8">
        <v>1</v>
      </c>
    </row>
    <row r="40" spans="1:7" s="8" customFormat="1">
      <c r="A40" s="8" t="s">
        <v>24</v>
      </c>
      <c r="B40" s="8" t="s">
        <v>168</v>
      </c>
      <c r="C40" s="8" t="s">
        <v>130</v>
      </c>
      <c r="D40" s="8" t="s">
        <v>125</v>
      </c>
      <c r="F40" s="8">
        <v>1</v>
      </c>
    </row>
    <row r="41" spans="1:7" s="8" customFormat="1">
      <c r="A41" s="8" t="s">
        <v>24</v>
      </c>
      <c r="B41" s="8" t="s">
        <v>168</v>
      </c>
      <c r="C41" s="8" t="s">
        <v>121</v>
      </c>
      <c r="D41" s="8" t="s">
        <v>170</v>
      </c>
      <c r="E41" s="8">
        <v>6</v>
      </c>
      <c r="F41" s="8">
        <v>1</v>
      </c>
    </row>
    <row r="42" spans="1:7" s="8" customFormat="1">
      <c r="A42" s="8" t="s">
        <v>24</v>
      </c>
      <c r="B42" s="8" t="s">
        <v>168</v>
      </c>
      <c r="C42" s="8" t="s">
        <v>133</v>
      </c>
      <c r="D42" s="8" t="s">
        <v>171</v>
      </c>
      <c r="E42" s="8">
        <v>35</v>
      </c>
      <c r="F42" s="8">
        <v>1</v>
      </c>
    </row>
    <row r="43" spans="1:7" s="8" customFormat="1">
      <c r="A43" s="8" t="s">
        <v>24</v>
      </c>
      <c r="B43" s="8" t="s">
        <v>172</v>
      </c>
      <c r="C43" s="8" t="s">
        <v>130</v>
      </c>
      <c r="D43" s="8" t="s">
        <v>125</v>
      </c>
      <c r="F43" s="8">
        <v>1</v>
      </c>
    </row>
    <row r="44" spans="1:7" s="8" customFormat="1">
      <c r="A44" s="8" t="s">
        <v>24</v>
      </c>
      <c r="B44" s="8" t="s">
        <v>172</v>
      </c>
      <c r="C44" s="8" t="s">
        <v>130</v>
      </c>
      <c r="D44" s="8" t="s">
        <v>173</v>
      </c>
      <c r="F44" s="8">
        <v>1</v>
      </c>
    </row>
    <row r="45" spans="1:7" s="8" customFormat="1">
      <c r="A45" s="8" t="s">
        <v>24</v>
      </c>
      <c r="B45" s="8" t="s">
        <v>172</v>
      </c>
      <c r="C45" s="8" t="s">
        <v>130</v>
      </c>
      <c r="D45" s="8" t="s">
        <v>140</v>
      </c>
      <c r="F45" s="8">
        <v>1</v>
      </c>
      <c r="G45" s="8" t="s">
        <v>174</v>
      </c>
    </row>
    <row r="46" spans="1:7" s="8" customFormat="1">
      <c r="A46" s="8" t="s">
        <v>24</v>
      </c>
      <c r="B46" s="8" t="s">
        <v>172</v>
      </c>
      <c r="C46" s="8" t="s">
        <v>124</v>
      </c>
      <c r="D46" s="8" t="s">
        <v>125</v>
      </c>
      <c r="F46" s="8">
        <v>5</v>
      </c>
    </row>
    <row r="47" spans="1:7" s="8" customFormat="1">
      <c r="A47" s="8" t="s">
        <v>24</v>
      </c>
      <c r="B47" s="8" t="s">
        <v>172</v>
      </c>
      <c r="C47" s="8" t="s">
        <v>124</v>
      </c>
      <c r="D47" s="8" t="s">
        <v>140</v>
      </c>
      <c r="F47" s="8">
        <v>1</v>
      </c>
      <c r="G47" s="8" t="s">
        <v>175</v>
      </c>
    </row>
    <row r="48" spans="1:7" s="8" customFormat="1">
      <c r="A48" s="8" t="s">
        <v>24</v>
      </c>
      <c r="B48" s="8" t="s">
        <v>176</v>
      </c>
      <c r="C48" s="8" t="s">
        <v>130</v>
      </c>
      <c r="D48" s="8" t="s">
        <v>139</v>
      </c>
      <c r="F48" s="8">
        <v>1</v>
      </c>
    </row>
    <row r="49" spans="1:7" s="8" customFormat="1">
      <c r="A49" s="8" t="s">
        <v>24</v>
      </c>
      <c r="B49" s="8" t="s">
        <v>176</v>
      </c>
      <c r="C49" s="8" t="s">
        <v>130</v>
      </c>
      <c r="D49" s="8" t="s">
        <v>125</v>
      </c>
      <c r="F49" s="8">
        <v>2</v>
      </c>
    </row>
    <row r="50" spans="1:7" s="8" customFormat="1">
      <c r="A50" s="8" t="s">
        <v>24</v>
      </c>
      <c r="B50" s="8" t="s">
        <v>176</v>
      </c>
      <c r="C50" s="8" t="s">
        <v>133</v>
      </c>
      <c r="D50" s="8" t="s">
        <v>171</v>
      </c>
      <c r="F50" s="8">
        <v>1</v>
      </c>
    </row>
    <row r="51" spans="1:7" s="8" customFormat="1">
      <c r="A51" s="8" t="s">
        <v>24</v>
      </c>
      <c r="B51" s="8" t="s">
        <v>176</v>
      </c>
      <c r="C51" s="8" t="s">
        <v>136</v>
      </c>
      <c r="D51" s="8" t="s">
        <v>177</v>
      </c>
      <c r="E51" s="8">
        <v>2400</v>
      </c>
    </row>
    <row r="52" spans="1:7" s="8" customFormat="1">
      <c r="A52" s="8" t="s">
        <v>24</v>
      </c>
      <c r="B52" s="8" t="s">
        <v>178</v>
      </c>
      <c r="C52" s="8" t="s">
        <v>130</v>
      </c>
      <c r="D52" s="8" t="s">
        <v>139</v>
      </c>
      <c r="F52" s="8">
        <v>26</v>
      </c>
    </row>
    <row r="53" spans="1:7" s="8" customFormat="1">
      <c r="A53" s="8" t="s">
        <v>24</v>
      </c>
      <c r="B53" s="8" t="s">
        <v>178</v>
      </c>
      <c r="C53" s="8" t="s">
        <v>130</v>
      </c>
      <c r="D53" s="8" t="s">
        <v>169</v>
      </c>
      <c r="F53" s="8">
        <v>4</v>
      </c>
      <c r="G53" s="8" t="s">
        <v>179</v>
      </c>
    </row>
    <row r="54" spans="1:7" s="8" customFormat="1">
      <c r="A54" s="8" t="s">
        <v>24</v>
      </c>
      <c r="B54" s="8" t="s">
        <v>178</v>
      </c>
      <c r="C54" s="8" t="s">
        <v>130</v>
      </c>
      <c r="D54" s="8" t="s">
        <v>180</v>
      </c>
      <c r="F54" s="8">
        <v>1</v>
      </c>
    </row>
    <row r="55" spans="1:7" s="8" customFormat="1">
      <c r="A55" s="8" t="s">
        <v>24</v>
      </c>
      <c r="B55" s="8" t="s">
        <v>178</v>
      </c>
      <c r="C55" s="8" t="s">
        <v>130</v>
      </c>
      <c r="D55" s="8" t="s">
        <v>181</v>
      </c>
      <c r="F55" s="8">
        <v>3</v>
      </c>
      <c r="G55" s="8" t="s">
        <v>182</v>
      </c>
    </row>
    <row r="56" spans="1:7" s="8" customFormat="1">
      <c r="A56" s="8" t="s">
        <v>24</v>
      </c>
      <c r="B56" s="8" t="s">
        <v>178</v>
      </c>
      <c r="C56" s="8" t="s">
        <v>130</v>
      </c>
      <c r="D56" s="8" t="s">
        <v>125</v>
      </c>
      <c r="F56" s="8">
        <v>1</v>
      </c>
    </row>
    <row r="57" spans="1:7" s="8" customFormat="1">
      <c r="A57" s="8" t="s">
        <v>24</v>
      </c>
      <c r="B57" s="8" t="s">
        <v>178</v>
      </c>
      <c r="C57" s="8" t="s">
        <v>133</v>
      </c>
      <c r="D57" s="8" t="s">
        <v>180</v>
      </c>
      <c r="F57" s="8">
        <v>1</v>
      </c>
    </row>
    <row r="58" spans="1:7" s="8" customFormat="1">
      <c r="A58" s="8" t="s">
        <v>24</v>
      </c>
      <c r="B58" s="8" t="s">
        <v>178</v>
      </c>
      <c r="C58" s="8" t="s">
        <v>183</v>
      </c>
      <c r="D58" s="8" t="s">
        <v>125</v>
      </c>
      <c r="F58" s="8">
        <v>2</v>
      </c>
    </row>
    <row r="59" spans="1:7" s="8" customFormat="1">
      <c r="A59" s="8" t="s">
        <v>24</v>
      </c>
      <c r="B59" s="8" t="s">
        <v>184</v>
      </c>
      <c r="C59" s="8" t="s">
        <v>130</v>
      </c>
      <c r="D59" s="8" t="s">
        <v>139</v>
      </c>
      <c r="F59" s="8">
        <v>9</v>
      </c>
    </row>
    <row r="60" spans="1:7" s="8" customFormat="1">
      <c r="A60" s="8" t="s">
        <v>24</v>
      </c>
      <c r="B60" s="8" t="s">
        <v>184</v>
      </c>
      <c r="C60" s="8" t="s">
        <v>130</v>
      </c>
      <c r="D60" s="8" t="s">
        <v>169</v>
      </c>
      <c r="F60" s="8">
        <v>1</v>
      </c>
    </row>
    <row r="61" spans="1:7" s="8" customFormat="1">
      <c r="A61" s="8" t="s">
        <v>24</v>
      </c>
      <c r="B61" s="8" t="s">
        <v>184</v>
      </c>
      <c r="C61" s="8" t="s">
        <v>130</v>
      </c>
      <c r="D61" s="8" t="s">
        <v>125</v>
      </c>
      <c r="F61" s="8">
        <v>5</v>
      </c>
    </row>
    <row r="62" spans="1:7" s="8" customFormat="1">
      <c r="A62" s="8" t="s">
        <v>24</v>
      </c>
      <c r="B62" s="8" t="s">
        <v>184</v>
      </c>
      <c r="C62" s="8" t="s">
        <v>130</v>
      </c>
      <c r="D62" s="8" t="s">
        <v>140</v>
      </c>
      <c r="F62" s="8">
        <v>1</v>
      </c>
      <c r="G62" s="8" t="s">
        <v>141</v>
      </c>
    </row>
    <row r="63" spans="1:7" s="8" customFormat="1">
      <c r="A63" s="8" t="s">
        <v>24</v>
      </c>
      <c r="B63" s="8" t="s">
        <v>184</v>
      </c>
      <c r="C63" s="8" t="s">
        <v>133</v>
      </c>
      <c r="D63" s="8" t="s">
        <v>180</v>
      </c>
      <c r="E63" s="8">
        <v>400</v>
      </c>
      <c r="F63" s="8">
        <v>1</v>
      </c>
    </row>
    <row r="64" spans="1:7" s="8" customFormat="1">
      <c r="A64" s="8" t="s">
        <v>24</v>
      </c>
      <c r="B64" s="8" t="s">
        <v>184</v>
      </c>
      <c r="C64" s="8" t="s">
        <v>133</v>
      </c>
      <c r="D64" s="8" t="s">
        <v>140</v>
      </c>
      <c r="E64" s="8">
        <v>150</v>
      </c>
      <c r="F64" s="8">
        <v>1</v>
      </c>
      <c r="G64" s="8" t="s">
        <v>185</v>
      </c>
    </row>
    <row r="65" spans="1:6" s="8" customFormat="1">
      <c r="A65" s="8" t="s">
        <v>24</v>
      </c>
      <c r="B65" s="8" t="s">
        <v>184</v>
      </c>
      <c r="C65" s="8" t="s">
        <v>186</v>
      </c>
      <c r="D65" s="8" t="s">
        <v>187</v>
      </c>
      <c r="E65" s="8">
        <v>150</v>
      </c>
      <c r="F65" s="8">
        <v>1</v>
      </c>
    </row>
    <row r="66" spans="1:6" s="8" customFormat="1">
      <c r="A66" s="8" t="s">
        <v>24</v>
      </c>
      <c r="B66" s="8" t="s">
        <v>184</v>
      </c>
      <c r="C66" s="8" t="s">
        <v>136</v>
      </c>
      <c r="D66" s="8" t="s">
        <v>188</v>
      </c>
      <c r="E66" s="8">
        <v>1500</v>
      </c>
      <c r="F66" s="8">
        <v>1</v>
      </c>
    </row>
    <row r="67" spans="1:6" s="8" customFormat="1">
      <c r="A67" s="8" t="s">
        <v>24</v>
      </c>
      <c r="B67" s="8" t="s">
        <v>184</v>
      </c>
      <c r="C67" s="8" t="s">
        <v>136</v>
      </c>
      <c r="D67" s="8" t="s">
        <v>137</v>
      </c>
      <c r="E67" s="8">
        <v>200</v>
      </c>
    </row>
    <row r="68" spans="1:6" s="8" customFormat="1">
      <c r="A68" s="8" t="s">
        <v>24</v>
      </c>
      <c r="B68" s="8" t="s">
        <v>184</v>
      </c>
      <c r="C68" s="8" t="s">
        <v>136</v>
      </c>
      <c r="D68" s="24" t="s">
        <v>189</v>
      </c>
      <c r="E68" s="8">
        <v>50000</v>
      </c>
    </row>
    <row r="69" spans="1:6" s="8" customFormat="1">
      <c r="A69" s="8" t="s">
        <v>24</v>
      </c>
      <c r="B69" s="8" t="s">
        <v>184</v>
      </c>
      <c r="C69" s="8" t="s">
        <v>136</v>
      </c>
      <c r="D69" s="24" t="s">
        <v>177</v>
      </c>
      <c r="E69" s="8">
        <v>6500</v>
      </c>
    </row>
    <row r="70" spans="1:6" s="8" customFormat="1">
      <c r="A70" s="8" t="s">
        <v>24</v>
      </c>
      <c r="B70" s="8" t="s">
        <v>190</v>
      </c>
      <c r="C70" s="8" t="s">
        <v>121</v>
      </c>
      <c r="D70" s="8" t="s">
        <v>191</v>
      </c>
      <c r="F70" s="8">
        <v>1</v>
      </c>
    </row>
    <row r="71" spans="1:6" s="8" customFormat="1">
      <c r="A71" s="8" t="s">
        <v>24</v>
      </c>
      <c r="B71" s="8" t="s">
        <v>190</v>
      </c>
      <c r="C71" s="8" t="s">
        <v>121</v>
      </c>
      <c r="D71" s="8" t="s">
        <v>192</v>
      </c>
      <c r="F71" s="8">
        <v>1</v>
      </c>
    </row>
    <row r="72" spans="1:6" s="8" customFormat="1">
      <c r="A72" s="8" t="s">
        <v>24</v>
      </c>
      <c r="B72" s="8" t="s">
        <v>190</v>
      </c>
      <c r="C72" s="8" t="s">
        <v>121</v>
      </c>
      <c r="D72" s="8" t="s">
        <v>132</v>
      </c>
      <c r="F72" s="8">
        <v>1</v>
      </c>
    </row>
    <row r="73" spans="1:6" s="8" customFormat="1">
      <c r="A73" s="8" t="s">
        <v>24</v>
      </c>
      <c r="B73" s="8" t="s">
        <v>190</v>
      </c>
      <c r="C73" s="8" t="s">
        <v>136</v>
      </c>
      <c r="D73" s="8" t="s">
        <v>137</v>
      </c>
      <c r="E73" s="8">
        <v>130</v>
      </c>
    </row>
    <row r="74" spans="1:6" s="8" customFormat="1">
      <c r="A74" s="8" t="s">
        <v>193</v>
      </c>
      <c r="B74" s="8" t="s">
        <v>194</v>
      </c>
      <c r="C74" s="43" t="s">
        <v>118</v>
      </c>
      <c r="D74" s="43" t="s">
        <v>119</v>
      </c>
      <c r="E74" s="42"/>
      <c r="F74" s="42">
        <v>3</v>
      </c>
    </row>
    <row r="75" spans="1:6" s="8" customFormat="1">
      <c r="A75" s="8" t="s">
        <v>193</v>
      </c>
      <c r="B75" s="8" t="s">
        <v>195</v>
      </c>
      <c r="C75" s="43" t="s">
        <v>118</v>
      </c>
      <c r="D75" s="43" t="s">
        <v>196</v>
      </c>
      <c r="E75" s="42"/>
      <c r="F75" s="42">
        <v>7</v>
      </c>
    </row>
    <row r="76" spans="1:6" s="8" customFormat="1">
      <c r="A76" s="8" t="s">
        <v>197</v>
      </c>
      <c r="B76" s="8" t="s">
        <v>195</v>
      </c>
      <c r="C76" s="43" t="s">
        <v>198</v>
      </c>
      <c r="D76" s="43" t="s">
        <v>199</v>
      </c>
      <c r="E76" s="42"/>
      <c r="F76" s="42">
        <v>1</v>
      </c>
    </row>
    <row r="77" spans="1:6" s="8" customFormat="1">
      <c r="A77" s="8" t="s">
        <v>197</v>
      </c>
      <c r="B77" s="8" t="s">
        <v>195</v>
      </c>
      <c r="C77" s="43" t="s">
        <v>200</v>
      </c>
      <c r="D77" s="43" t="s">
        <v>201</v>
      </c>
      <c r="E77" s="42"/>
      <c r="F77" s="42">
        <v>13</v>
      </c>
    </row>
    <row r="78" spans="1:6" s="8" customFormat="1">
      <c r="A78" s="8" t="s">
        <v>197</v>
      </c>
      <c r="B78" s="8" t="s">
        <v>195</v>
      </c>
      <c r="C78" s="43" t="s">
        <v>136</v>
      </c>
      <c r="D78" s="43" t="s">
        <v>202</v>
      </c>
      <c r="E78" s="42"/>
      <c r="F78" s="42">
        <v>1</v>
      </c>
    </row>
    <row r="79" spans="1:6" s="8" customFormat="1">
      <c r="A79" s="8" t="s">
        <v>197</v>
      </c>
      <c r="B79" s="8" t="s">
        <v>203</v>
      </c>
      <c r="C79" s="43" t="s">
        <v>204</v>
      </c>
      <c r="D79" s="43" t="s">
        <v>205</v>
      </c>
      <c r="E79" s="42"/>
      <c r="F79" s="42">
        <v>1</v>
      </c>
    </row>
    <row r="80" spans="1:6" s="8" customFormat="1">
      <c r="A80" s="8" t="s">
        <v>197</v>
      </c>
      <c r="B80" s="8" t="s">
        <v>203</v>
      </c>
      <c r="C80" s="43" t="s">
        <v>136</v>
      </c>
      <c r="D80" s="47" t="s">
        <v>201</v>
      </c>
      <c r="E80" s="48"/>
      <c r="F80" s="48">
        <v>1</v>
      </c>
    </row>
    <row r="81" spans="1:7" s="8" customFormat="1">
      <c r="A81" s="8" t="s">
        <v>197</v>
      </c>
      <c r="B81" s="8" t="s">
        <v>206</v>
      </c>
      <c r="C81" s="43" t="s">
        <v>118</v>
      </c>
      <c r="D81" s="43" t="s">
        <v>205</v>
      </c>
      <c r="E81" s="42"/>
      <c r="F81" s="42">
        <v>3</v>
      </c>
    </row>
    <row r="82" spans="1:7" s="8" customFormat="1">
      <c r="A82" s="8" t="s">
        <v>197</v>
      </c>
      <c r="B82" s="8" t="s">
        <v>206</v>
      </c>
      <c r="C82" s="43" t="s">
        <v>118</v>
      </c>
      <c r="D82" s="43" t="s">
        <v>199</v>
      </c>
      <c r="E82" s="42"/>
      <c r="F82" s="42">
        <v>1</v>
      </c>
    </row>
    <row r="83" spans="1:7" s="8" customFormat="1">
      <c r="A83" s="8" t="s">
        <v>197</v>
      </c>
      <c r="B83" s="8" t="s">
        <v>207</v>
      </c>
      <c r="C83" s="43" t="s">
        <v>118</v>
      </c>
      <c r="D83" s="43" t="s">
        <v>119</v>
      </c>
      <c r="E83" s="42"/>
      <c r="F83" s="42">
        <v>2</v>
      </c>
    </row>
    <row r="84" spans="1:7" s="8" customFormat="1">
      <c r="A84" s="8" t="s">
        <v>197</v>
      </c>
      <c r="B84" s="8" t="s">
        <v>206</v>
      </c>
      <c r="C84" s="43" t="s">
        <v>208</v>
      </c>
      <c r="D84" s="43" t="s">
        <v>209</v>
      </c>
      <c r="E84" s="42"/>
      <c r="F84" s="42">
        <v>1</v>
      </c>
    </row>
    <row r="85" spans="1:7" s="8" customFormat="1">
      <c r="A85" s="8" t="s">
        <v>197</v>
      </c>
      <c r="B85" s="8" t="s">
        <v>206</v>
      </c>
      <c r="C85" s="43" t="s">
        <v>198</v>
      </c>
      <c r="D85" s="43" t="s">
        <v>199</v>
      </c>
      <c r="E85" s="42"/>
      <c r="F85" s="42">
        <v>1</v>
      </c>
    </row>
    <row r="86" spans="1:7" s="8" customFormat="1">
      <c r="A86" s="8" t="s">
        <v>197</v>
      </c>
      <c r="B86" s="8" t="s">
        <v>206</v>
      </c>
      <c r="C86" s="43" t="s">
        <v>136</v>
      </c>
      <c r="D86" s="43" t="s">
        <v>201</v>
      </c>
      <c r="E86" s="42"/>
      <c r="F86" s="42">
        <v>3</v>
      </c>
    </row>
    <row r="87" spans="1:7" s="8" customFormat="1" ht="16.5">
      <c r="A87" s="8" t="s">
        <v>210</v>
      </c>
      <c r="B87" s="36" t="s">
        <v>211</v>
      </c>
      <c r="C87" s="47" t="s">
        <v>118</v>
      </c>
      <c r="D87" s="47" t="s">
        <v>154</v>
      </c>
      <c r="F87" s="49">
        <v>41</v>
      </c>
    </row>
    <row r="88" spans="1:7" s="8" customFormat="1" ht="16.5">
      <c r="A88" s="8" t="s">
        <v>210</v>
      </c>
      <c r="B88" s="36" t="s">
        <v>211</v>
      </c>
      <c r="C88" s="47" t="s">
        <v>118</v>
      </c>
      <c r="D88" s="47" t="s">
        <v>212</v>
      </c>
      <c r="F88" s="49">
        <v>6</v>
      </c>
    </row>
    <row r="89" spans="1:7" s="8" customFormat="1" ht="16.5">
      <c r="A89" s="8" t="s">
        <v>210</v>
      </c>
      <c r="B89" s="36" t="s">
        <v>211</v>
      </c>
      <c r="C89" s="47" t="s">
        <v>213</v>
      </c>
      <c r="D89" s="47" t="s">
        <v>214</v>
      </c>
      <c r="F89" s="49">
        <v>1</v>
      </c>
    </row>
    <row r="90" spans="1:7" s="8" customFormat="1" ht="16.5">
      <c r="A90" s="8" t="s">
        <v>210</v>
      </c>
      <c r="B90" s="36" t="s">
        <v>211</v>
      </c>
      <c r="C90" s="47" t="s">
        <v>118</v>
      </c>
      <c r="D90" s="47" t="s">
        <v>215</v>
      </c>
      <c r="F90" s="49">
        <v>2</v>
      </c>
    </row>
    <row r="91" spans="1:7" s="8" customFormat="1" ht="16.5">
      <c r="A91" s="8" t="s">
        <v>210</v>
      </c>
      <c r="B91" s="36" t="s">
        <v>211</v>
      </c>
      <c r="C91" s="47" t="s">
        <v>118</v>
      </c>
      <c r="D91" s="47" t="s">
        <v>216</v>
      </c>
      <c r="F91" s="49">
        <v>1</v>
      </c>
    </row>
    <row r="92" spans="1:7" s="8" customFormat="1" ht="16.5">
      <c r="A92" s="8" t="s">
        <v>210</v>
      </c>
      <c r="B92" s="36" t="s">
        <v>217</v>
      </c>
      <c r="C92" s="47" t="s">
        <v>118</v>
      </c>
      <c r="D92" s="47" t="s">
        <v>218</v>
      </c>
      <c r="F92" s="49">
        <v>6</v>
      </c>
    </row>
    <row r="93" spans="1:7" s="8" customFormat="1" ht="16.5">
      <c r="A93" s="8" t="s">
        <v>219</v>
      </c>
      <c r="B93" s="36" t="s">
        <v>220</v>
      </c>
      <c r="C93" s="47" t="s">
        <v>118</v>
      </c>
      <c r="D93" s="47" t="s">
        <v>221</v>
      </c>
      <c r="F93" s="49">
        <v>2</v>
      </c>
      <c r="G93" s="8" t="s">
        <v>222</v>
      </c>
    </row>
    <row r="94" spans="1:7" s="8" customFormat="1" ht="16.5">
      <c r="A94" s="8" t="s">
        <v>223</v>
      </c>
      <c r="B94" s="36" t="s">
        <v>211</v>
      </c>
      <c r="C94" s="47" t="s">
        <v>224</v>
      </c>
      <c r="D94" s="47" t="s">
        <v>225</v>
      </c>
      <c r="F94" s="49">
        <v>1</v>
      </c>
    </row>
    <row r="95" spans="1:7" s="8" customFormat="1" ht="16.5">
      <c r="A95" s="8" t="s">
        <v>210</v>
      </c>
      <c r="B95" s="36" t="s">
        <v>226</v>
      </c>
      <c r="C95" s="47" t="s">
        <v>118</v>
      </c>
      <c r="D95" s="47" t="s">
        <v>154</v>
      </c>
      <c r="F95" s="49">
        <v>2</v>
      </c>
    </row>
    <row r="96" spans="1:7" s="8" customFormat="1" ht="16.5">
      <c r="A96" s="8" t="s">
        <v>210</v>
      </c>
      <c r="B96" s="36" t="s">
        <v>226</v>
      </c>
      <c r="C96" s="47" t="s">
        <v>118</v>
      </c>
      <c r="D96" s="47" t="s">
        <v>227</v>
      </c>
      <c r="F96" s="49">
        <v>1</v>
      </c>
    </row>
    <row r="97" spans="1:7" s="8" customFormat="1" ht="16.5">
      <c r="A97" s="8" t="s">
        <v>210</v>
      </c>
      <c r="B97" s="36" t="s">
        <v>226</v>
      </c>
      <c r="C97" s="47" t="s">
        <v>118</v>
      </c>
      <c r="D97" s="47" t="s">
        <v>215</v>
      </c>
      <c r="F97" s="49">
        <v>1</v>
      </c>
      <c r="G97" s="8" t="s">
        <v>228</v>
      </c>
    </row>
    <row r="98" spans="1:7" s="8" customFormat="1" ht="16.5">
      <c r="A98" s="8" t="s">
        <v>210</v>
      </c>
      <c r="B98" s="36" t="s">
        <v>229</v>
      </c>
      <c r="C98" s="47" t="s">
        <v>213</v>
      </c>
      <c r="D98" s="47" t="s">
        <v>154</v>
      </c>
      <c r="F98" s="49">
        <v>9</v>
      </c>
      <c r="G98" s="8" t="s">
        <v>230</v>
      </c>
    </row>
    <row r="99" spans="1:7" s="8" customFormat="1" ht="16.5">
      <c r="A99" s="8" t="s">
        <v>210</v>
      </c>
      <c r="B99" s="36" t="s">
        <v>229</v>
      </c>
      <c r="C99" s="47" t="s">
        <v>118</v>
      </c>
      <c r="D99" s="47" t="s">
        <v>231</v>
      </c>
      <c r="F99" s="49">
        <v>2</v>
      </c>
      <c r="G99" s="8" t="s">
        <v>232</v>
      </c>
    </row>
    <row r="100" spans="1:7" s="8" customFormat="1" ht="16.5">
      <c r="A100" s="8" t="s">
        <v>233</v>
      </c>
      <c r="B100" s="36" t="s">
        <v>234</v>
      </c>
      <c r="C100" s="47" t="s">
        <v>235</v>
      </c>
      <c r="D100" s="47" t="s">
        <v>215</v>
      </c>
      <c r="F100" s="49">
        <v>1</v>
      </c>
    </row>
    <row r="101" spans="1:7" s="8" customFormat="1" ht="16.5">
      <c r="A101" s="8" t="s">
        <v>210</v>
      </c>
      <c r="B101" s="36" t="s">
        <v>229</v>
      </c>
      <c r="C101" s="47" t="s">
        <v>136</v>
      </c>
      <c r="D101" s="47" t="s">
        <v>236</v>
      </c>
      <c r="F101" s="49">
        <v>1</v>
      </c>
    </row>
    <row r="102" spans="1:7" s="8" customFormat="1" ht="16.5">
      <c r="A102" s="8" t="s">
        <v>210</v>
      </c>
      <c r="B102" s="36" t="s">
        <v>237</v>
      </c>
      <c r="C102" s="47" t="s">
        <v>118</v>
      </c>
      <c r="D102" s="47" t="s">
        <v>154</v>
      </c>
      <c r="F102" s="49">
        <v>24</v>
      </c>
    </row>
    <row r="103" spans="1:7" s="8" customFormat="1" ht="16.5">
      <c r="A103" s="8" t="s">
        <v>210</v>
      </c>
      <c r="B103" s="36" t="s">
        <v>237</v>
      </c>
      <c r="C103" s="47" t="s">
        <v>118</v>
      </c>
      <c r="D103" s="47" t="s">
        <v>231</v>
      </c>
      <c r="F103" s="49">
        <v>1</v>
      </c>
      <c r="G103" s="8" t="s">
        <v>238</v>
      </c>
    </row>
    <row r="104" spans="1:7" s="8" customFormat="1" ht="16.5">
      <c r="A104" s="8" t="s">
        <v>210</v>
      </c>
      <c r="B104" s="36" t="s">
        <v>237</v>
      </c>
      <c r="C104" s="47" t="s">
        <v>118</v>
      </c>
      <c r="D104" s="47" t="s">
        <v>215</v>
      </c>
      <c r="F104" s="49">
        <v>1</v>
      </c>
    </row>
    <row r="105" spans="1:7" s="8" customFormat="1" ht="16.5">
      <c r="A105" s="8" t="s">
        <v>210</v>
      </c>
      <c r="B105" s="36" t="s">
        <v>237</v>
      </c>
      <c r="C105" s="47" t="s">
        <v>118</v>
      </c>
      <c r="D105" s="47" t="s">
        <v>119</v>
      </c>
      <c r="F105" s="49">
        <v>1</v>
      </c>
    </row>
    <row r="106" spans="1:7" s="8" customFormat="1" ht="16.5">
      <c r="A106" s="8" t="s">
        <v>210</v>
      </c>
      <c r="B106" s="36" t="s">
        <v>237</v>
      </c>
      <c r="C106" s="47" t="s">
        <v>118</v>
      </c>
      <c r="D106" s="47" t="s">
        <v>239</v>
      </c>
      <c r="F106" s="49">
        <v>2</v>
      </c>
    </row>
    <row r="107" spans="1:7" s="8" customFormat="1" ht="16.5">
      <c r="A107" s="8" t="s">
        <v>210</v>
      </c>
      <c r="B107" s="36" t="s">
        <v>240</v>
      </c>
      <c r="C107" s="47" t="s">
        <v>241</v>
      </c>
      <c r="D107" s="47" t="s">
        <v>154</v>
      </c>
      <c r="F107" s="49">
        <v>2</v>
      </c>
    </row>
    <row r="108" spans="1:7" s="8" customFormat="1" ht="16.5">
      <c r="A108" s="8" t="s">
        <v>210</v>
      </c>
      <c r="B108" s="36" t="s">
        <v>242</v>
      </c>
      <c r="C108" s="47" t="s">
        <v>118</v>
      </c>
      <c r="D108" s="47" t="s">
        <v>231</v>
      </c>
      <c r="F108" s="49">
        <v>1</v>
      </c>
      <c r="G108" s="8" t="s">
        <v>243</v>
      </c>
    </row>
    <row r="109" spans="1:7" s="8" customFormat="1" ht="16.5">
      <c r="A109" s="8" t="s">
        <v>210</v>
      </c>
      <c r="B109" s="36" t="s">
        <v>244</v>
      </c>
      <c r="C109" s="47" t="s">
        <v>208</v>
      </c>
      <c r="D109" s="47" t="s">
        <v>245</v>
      </c>
      <c r="F109" s="50">
        <v>3</v>
      </c>
      <c r="G109" s="8" t="s">
        <v>246</v>
      </c>
    </row>
    <row r="110" spans="1:7" s="8" customFormat="1" ht="16.5">
      <c r="A110" s="8" t="s">
        <v>210</v>
      </c>
      <c r="B110" s="36" t="s">
        <v>247</v>
      </c>
      <c r="C110" s="47" t="s">
        <v>118</v>
      </c>
      <c r="D110" s="47" t="s">
        <v>248</v>
      </c>
      <c r="F110" s="49">
        <v>5</v>
      </c>
    </row>
    <row r="111" spans="1:7" s="8" customFormat="1" ht="16.5">
      <c r="A111" s="8" t="s">
        <v>210</v>
      </c>
      <c r="B111" s="36" t="s">
        <v>247</v>
      </c>
      <c r="C111" s="47" t="s">
        <v>118</v>
      </c>
      <c r="D111" s="47" t="s">
        <v>212</v>
      </c>
      <c r="F111" s="49">
        <v>1</v>
      </c>
    </row>
    <row r="112" spans="1:7" s="8" customFormat="1" ht="16.5">
      <c r="A112" s="8" t="s">
        <v>210</v>
      </c>
      <c r="B112" s="36" t="s">
        <v>247</v>
      </c>
      <c r="C112" s="47" t="s">
        <v>118</v>
      </c>
      <c r="D112" s="47" t="s">
        <v>249</v>
      </c>
      <c r="F112" s="49">
        <v>2</v>
      </c>
    </row>
    <row r="113" spans="1:7" s="8" customFormat="1" ht="16.5">
      <c r="A113" s="8" t="s">
        <v>210</v>
      </c>
      <c r="B113" s="36" t="s">
        <v>250</v>
      </c>
      <c r="C113" s="47" t="s">
        <v>251</v>
      </c>
      <c r="D113" s="47" t="s">
        <v>119</v>
      </c>
      <c r="F113" s="49">
        <v>1</v>
      </c>
      <c r="G113" s="8" t="s">
        <v>252</v>
      </c>
    </row>
    <row r="114" spans="1:7" s="8" customFormat="1" ht="16.5">
      <c r="A114" s="8" t="s">
        <v>210</v>
      </c>
      <c r="B114" s="36" t="s">
        <v>253</v>
      </c>
      <c r="C114" s="47" t="s">
        <v>118</v>
      </c>
      <c r="D114" s="47" t="s">
        <v>154</v>
      </c>
      <c r="F114" s="49">
        <v>3</v>
      </c>
    </row>
    <row r="115" spans="1:7" s="8" customFormat="1" ht="16.5">
      <c r="A115" s="8" t="s">
        <v>210</v>
      </c>
      <c r="B115" s="36" t="s">
        <v>254</v>
      </c>
      <c r="C115" s="47" t="s">
        <v>118</v>
      </c>
      <c r="D115" s="47" t="s">
        <v>231</v>
      </c>
      <c r="F115" s="49">
        <v>1</v>
      </c>
      <c r="G115" s="8" t="s">
        <v>255</v>
      </c>
    </row>
    <row r="116" spans="1:7" s="8" customFormat="1" ht="16.5">
      <c r="A116" s="8" t="s">
        <v>210</v>
      </c>
      <c r="B116" s="36" t="s">
        <v>256</v>
      </c>
      <c r="C116" s="47" t="s">
        <v>118</v>
      </c>
      <c r="D116" s="47" t="s">
        <v>154</v>
      </c>
      <c r="F116" s="49">
        <v>4</v>
      </c>
    </row>
    <row r="117" spans="1:7" s="8" customFormat="1" ht="16.5">
      <c r="A117" s="8" t="s">
        <v>210</v>
      </c>
      <c r="B117" s="36" t="s">
        <v>256</v>
      </c>
      <c r="C117" s="47" t="s">
        <v>118</v>
      </c>
      <c r="D117" s="47" t="s">
        <v>215</v>
      </c>
      <c r="F117" s="49">
        <v>1</v>
      </c>
    </row>
    <row r="118" spans="1:7" s="8" customFormat="1" ht="16.5">
      <c r="A118" s="8" t="s">
        <v>210</v>
      </c>
      <c r="B118" s="36" t="s">
        <v>257</v>
      </c>
      <c r="C118" s="47" t="s">
        <v>118</v>
      </c>
      <c r="D118" s="47" t="s">
        <v>218</v>
      </c>
      <c r="F118" s="49">
        <v>1</v>
      </c>
    </row>
    <row r="119" spans="1:7" s="8" customFormat="1" ht="16.5">
      <c r="A119" s="8" t="s">
        <v>210</v>
      </c>
      <c r="B119" s="36" t="s">
        <v>258</v>
      </c>
      <c r="C119" s="47" t="s">
        <v>118</v>
      </c>
      <c r="D119" s="47" t="s">
        <v>259</v>
      </c>
      <c r="F119" s="49">
        <v>9</v>
      </c>
    </row>
    <row r="120" spans="1:7" s="8" customFormat="1">
      <c r="B120" s="36"/>
      <c r="C120" s="47"/>
      <c r="D120" s="47"/>
      <c r="F120" s="49"/>
    </row>
    <row r="121" spans="1:7" s="8" customFormat="1">
      <c r="B121" s="36"/>
      <c r="C121" s="47"/>
      <c r="D121" s="47"/>
      <c r="F121" s="49"/>
    </row>
    <row r="122" spans="1:7" s="8" customFormat="1">
      <c r="B122" s="36"/>
      <c r="C122" s="47"/>
      <c r="D122" s="47"/>
      <c r="F122" s="49"/>
    </row>
    <row r="123" spans="1:7" s="8" customFormat="1">
      <c r="B123" s="36"/>
      <c r="C123" s="47"/>
      <c r="D123" s="47"/>
      <c r="F123" s="49"/>
    </row>
    <row r="124" spans="1:7" s="8" customFormat="1">
      <c r="B124" s="36"/>
      <c r="C124" s="47"/>
      <c r="D124" s="47"/>
      <c r="F124" s="4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5" sqref="A25"/>
    </sheetView>
  </sheetViews>
  <sheetFormatPr defaultRowHeight="15.75"/>
  <cols>
    <col min="1" max="1" width="9.140625" style="52"/>
    <col min="2" max="2" width="20.28515625" style="52" bestFit="1" customWidth="1"/>
  </cols>
  <sheetData>
    <row r="1" spans="1:13" s="6" customFormat="1" ht="18.75" customHeight="1">
      <c r="A1" s="5" t="s">
        <v>260</v>
      </c>
      <c r="B1" s="5" t="s">
        <v>261</v>
      </c>
      <c r="C1" s="5"/>
      <c r="D1" s="5"/>
      <c r="E1" s="4"/>
      <c r="F1" s="51"/>
      <c r="G1" s="4"/>
      <c r="H1" s="4"/>
      <c r="I1" s="4"/>
      <c r="J1" s="5"/>
      <c r="K1" s="5"/>
      <c r="L1" s="4"/>
      <c r="M1" s="5"/>
    </row>
    <row r="2" spans="1:13">
      <c r="A2" s="52" t="s">
        <v>262</v>
      </c>
      <c r="B2" s="52" t="s">
        <v>263</v>
      </c>
    </row>
    <row r="3" spans="1:13" ht="15.75" customHeight="1">
      <c r="A3" s="52" t="s">
        <v>264</v>
      </c>
      <c r="B3" s="52" t="s">
        <v>265</v>
      </c>
    </row>
    <row r="4" spans="1:13">
      <c r="A4" s="52" t="s">
        <v>266</v>
      </c>
      <c r="B4" s="52" t="s">
        <v>267</v>
      </c>
    </row>
    <row r="5" spans="1:13">
      <c r="A5" s="52" t="s">
        <v>268</v>
      </c>
      <c r="B5" s="52" t="s">
        <v>269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Trawl_Info</vt:lpstr>
      <vt:lpstr>Trawl Debris_Count</vt:lpstr>
      <vt:lpstr>Trawl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2021-02-01T08:59:05Z</dcterms:created>
  <dcterms:modified xsi:type="dcterms:W3CDTF">2021-02-01T08:59:47Z</dcterms:modified>
</cp:coreProperties>
</file>