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eaching\BUSS254-Slides\chapter_fixed\data\"/>
    </mc:Choice>
  </mc:AlternateContent>
  <bookViews>
    <workbookView xWindow="0" yWindow="0" windowWidth="28800" windowHeight="12255" activeTab="6"/>
  </bookViews>
  <sheets>
    <sheet name="Regression" sheetId="9" r:id="rId1"/>
    <sheet name="Polynomial" sheetId="11" r:id="rId2"/>
    <sheet name="Coupon" sheetId="7" r:id="rId3"/>
    <sheet name="Duration" sheetId="2" r:id="rId4"/>
    <sheet name="Convexity" sheetId="3" r:id="rId5"/>
    <sheet name="Yield" sheetId="1" r:id="rId6"/>
    <sheet name="Yield (2)" sheetId="12" r:id="rId7"/>
    <sheet name="scratch" sheetId="5" r:id="rId8"/>
  </sheets>
  <definedNames>
    <definedName name="_AMO_UniqueIdentifier" hidden="1">"'6d822f23-0c42-409a-8c21-4b32c8f241ea'"</definedName>
    <definedName name="CF">Regression!$G$20:$S$69</definedName>
    <definedName name="NCF">Regression!$F$20:$S$69</definedName>
    <definedName name="P">Regression!$E$20:$E$69</definedName>
    <definedName name="solver_adj" localSheetId="1" hidden="1">Polynomial!#REF!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Polynomial!#REF!</definedName>
    <definedName name="solver_lhs2" localSheetId="1" hidden="1">Polynomial!#REF!</definedName>
    <definedName name="solver_lhs3" localSheetId="1" hidden="1">Polynomial!#REF!</definedName>
    <definedName name="solver_lhs4" localSheetId="1" hidden="1">Polynomial!#REF!</definedName>
    <definedName name="solver_lhs5" localSheetId="1" hidden="1">Polynomial!#REF!</definedName>
    <definedName name="solver_lhs6" localSheetId="1" hidden="1">Polynomial!#REF!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Polynomial!#REF!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hs1" localSheetId="1" hidden="1">0.01</definedName>
    <definedName name="solver_rhs2" localSheetId="1" hidden="1">2</definedName>
    <definedName name="solver_rhs3" localSheetId="1" hidden="1">10</definedName>
    <definedName name="solver_rhs4" localSheetId="1" hidden="1">10</definedName>
    <definedName name="solver_rhs5" localSheetId="1" hidden="1">2</definedName>
    <definedName name="solver_rhs6" localSheetId="1" hidden="1">0.01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O21" i="1"/>
  <c r="K9" i="12"/>
  <c r="M9" i="12" s="1"/>
  <c r="C9" i="12"/>
  <c r="E9" i="12" s="1"/>
  <c r="M23" i="1"/>
  <c r="G16" i="1"/>
  <c r="G14" i="1"/>
  <c r="G13" i="1"/>
  <c r="G12" i="1"/>
  <c r="G11" i="1"/>
  <c r="G10" i="1"/>
  <c r="G9" i="1"/>
  <c r="F14" i="1"/>
  <c r="F13" i="1"/>
  <c r="F12" i="1"/>
  <c r="F11" i="1"/>
  <c r="F10" i="1"/>
  <c r="F9" i="1"/>
  <c r="L9" i="12" l="1"/>
  <c r="K10" i="12"/>
  <c r="C10" i="12"/>
  <c r="D9" i="12"/>
  <c r="F15" i="1"/>
  <c r="E17" i="1"/>
  <c r="S20" i="2"/>
  <c r="R20" i="2"/>
  <c r="R19" i="2"/>
  <c r="L22" i="2"/>
  <c r="L21" i="2"/>
  <c r="M14" i="2"/>
  <c r="M13" i="2"/>
  <c r="M12" i="2"/>
  <c r="M11" i="2"/>
  <c r="M10" i="2"/>
  <c r="M9" i="2"/>
  <c r="M8" i="2"/>
  <c r="S16" i="2"/>
  <c r="R16" i="2"/>
  <c r="V2" i="9" a="1"/>
  <c r="V2" i="9" s="1"/>
  <c r="F23" i="9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22" i="9"/>
  <c r="E10" i="12" l="1"/>
  <c r="D10" i="12"/>
  <c r="C11" i="12"/>
  <c r="K11" i="12"/>
  <c r="M10" i="12"/>
  <c r="L10" i="12"/>
  <c r="V4" i="9"/>
  <c r="V9" i="9"/>
  <c r="V8" i="9"/>
  <c r="V7" i="9"/>
  <c r="V14" i="9"/>
  <c r="V13" i="9"/>
  <c r="V11" i="9"/>
  <c r="V3" i="9"/>
  <c r="V6" i="9"/>
  <c r="V5" i="9"/>
  <c r="V12" i="9"/>
  <c r="V10" i="9"/>
  <c r="L11" i="12" l="1"/>
  <c r="K12" i="12"/>
  <c r="M11" i="12"/>
  <c r="C12" i="12"/>
  <c r="D11" i="12"/>
  <c r="E11" i="12"/>
  <c r="G26" i="11"/>
  <c r="L19" i="2"/>
  <c r="M12" i="12" l="1"/>
  <c r="K13" i="12"/>
  <c r="L12" i="12"/>
  <c r="D12" i="12"/>
  <c r="C13" i="12"/>
  <c r="E12" i="12"/>
  <c r="W60" i="2"/>
  <c r="S34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V33" i="2"/>
  <c r="V32" i="2"/>
  <c r="V31" i="2"/>
  <c r="V30" i="2"/>
  <c r="V29" i="2"/>
  <c r="V28" i="2"/>
  <c r="V27" i="2"/>
  <c r="V26" i="2"/>
  <c r="V25" i="2"/>
  <c r="V24" i="2"/>
  <c r="X64" i="2"/>
  <c r="X66" i="2"/>
  <c r="X68" i="2"/>
  <c r="D13" i="12" l="1"/>
  <c r="E13" i="12"/>
  <c r="C14" i="12"/>
  <c r="K14" i="12"/>
  <c r="M13" i="12"/>
  <c r="L13" i="12"/>
  <c r="S70" i="2"/>
  <c r="S69" i="2"/>
  <c r="S68" i="2"/>
  <c r="S67" i="2"/>
  <c r="S66" i="2"/>
  <c r="S65" i="2"/>
  <c r="R70" i="2"/>
  <c r="R69" i="2"/>
  <c r="R68" i="2"/>
  <c r="R67" i="2"/>
  <c r="R66" i="2"/>
  <c r="R65" i="2"/>
  <c r="I27" i="2"/>
  <c r="E14" i="12" l="1"/>
  <c r="D14" i="12"/>
  <c r="L14" i="12"/>
  <c r="M14" i="12"/>
  <c r="S71" i="2"/>
  <c r="T69" i="2"/>
  <c r="U69" i="2" s="1"/>
  <c r="T68" i="2"/>
  <c r="U68" i="2" s="1"/>
  <c r="T66" i="2"/>
  <c r="U66" i="2" s="1"/>
  <c r="T65" i="2"/>
  <c r="T70" i="2"/>
  <c r="U70" i="2" s="1"/>
  <c r="T67" i="2"/>
  <c r="U67" i="2" s="1"/>
  <c r="S39" i="2"/>
  <c r="W39" i="2" s="1"/>
  <c r="S40" i="2"/>
  <c r="W40" i="2" s="1"/>
  <c r="S41" i="2"/>
  <c r="W41" i="2" s="1"/>
  <c r="S42" i="2"/>
  <c r="W42" i="2" s="1"/>
  <c r="S43" i="2"/>
  <c r="W43" i="2" s="1"/>
  <c r="S44" i="2"/>
  <c r="W44" i="2" s="1"/>
  <c r="S45" i="2"/>
  <c r="W45" i="2" s="1"/>
  <c r="S46" i="2"/>
  <c r="W46" i="2" s="1"/>
  <c r="S47" i="2"/>
  <c r="W47" i="2" s="1"/>
  <c r="S48" i="2"/>
  <c r="W48" i="2" s="1"/>
  <c r="S49" i="2"/>
  <c r="W49" i="2" s="1"/>
  <c r="S50" i="2"/>
  <c r="W50" i="2" s="1"/>
  <c r="S51" i="2"/>
  <c r="W51" i="2" s="1"/>
  <c r="S52" i="2"/>
  <c r="W52" i="2" s="1"/>
  <c r="S53" i="2"/>
  <c r="W53" i="2" s="1"/>
  <c r="S54" i="2"/>
  <c r="W54" i="2" s="1"/>
  <c r="S55" i="2"/>
  <c r="W55" i="2" s="1"/>
  <c r="S56" i="2"/>
  <c r="W56" i="2" s="1"/>
  <c r="S57" i="2"/>
  <c r="W57" i="2" s="1"/>
  <c r="S38" i="2"/>
  <c r="R57" i="2"/>
  <c r="R40" i="2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39" i="2"/>
  <c r="R38" i="2"/>
  <c r="L15" i="12" l="1"/>
  <c r="D15" i="12"/>
  <c r="S58" i="2"/>
  <c r="W38" i="2"/>
  <c r="W58" i="2" s="1"/>
  <c r="W59" i="2" s="1"/>
  <c r="U65" i="2"/>
  <c r="U71" i="2" s="1"/>
  <c r="U72" i="2" s="1"/>
  <c r="T71" i="2"/>
  <c r="E8" i="12" l="1"/>
  <c r="E17" i="12" s="1"/>
  <c r="F9" i="12"/>
  <c r="F10" i="12"/>
  <c r="G10" i="12" s="1"/>
  <c r="F11" i="12"/>
  <c r="G11" i="12" s="1"/>
  <c r="F12" i="12"/>
  <c r="G12" i="12" s="1"/>
  <c r="F13" i="12"/>
  <c r="G13" i="12" s="1"/>
  <c r="F14" i="12"/>
  <c r="G14" i="12" s="1"/>
  <c r="M21" i="12"/>
  <c r="O21" i="12" s="1"/>
  <c r="M8" i="12"/>
  <c r="M17" i="12" s="1"/>
  <c r="N9" i="12"/>
  <c r="N10" i="12"/>
  <c r="O10" i="12" s="1"/>
  <c r="N11" i="12"/>
  <c r="O11" i="12" s="1"/>
  <c r="N12" i="12"/>
  <c r="O12" i="12" s="1"/>
  <c r="N13" i="12"/>
  <c r="O13" i="12" s="1"/>
  <c r="N14" i="12"/>
  <c r="O14" i="12" s="1"/>
  <c r="T49" i="2"/>
  <c r="U49" i="2" s="1"/>
  <c r="T48" i="2"/>
  <c r="U48" i="2" s="1"/>
  <c r="T40" i="2"/>
  <c r="U40" i="2" s="1"/>
  <c r="T41" i="2"/>
  <c r="U41" i="2" s="1"/>
  <c r="T56" i="2"/>
  <c r="U56" i="2" s="1"/>
  <c r="T57" i="2"/>
  <c r="U57" i="2" s="1"/>
  <c r="T39" i="2"/>
  <c r="U39" i="2" s="1"/>
  <c r="T51" i="2"/>
  <c r="U51" i="2" s="1"/>
  <c r="T44" i="2"/>
  <c r="U44" i="2" s="1"/>
  <c r="T47" i="2"/>
  <c r="U47" i="2" s="1"/>
  <c r="T52" i="2"/>
  <c r="U52" i="2" s="1"/>
  <c r="T43" i="2"/>
  <c r="U43" i="2" s="1"/>
  <c r="T55" i="2"/>
  <c r="U55" i="2" s="1"/>
  <c r="T45" i="2"/>
  <c r="U45" i="2" s="1"/>
  <c r="T42" i="2"/>
  <c r="U42" i="2" s="1"/>
  <c r="T53" i="2"/>
  <c r="U53" i="2" s="1"/>
  <c r="T50" i="2"/>
  <c r="U50" i="2" s="1"/>
  <c r="T54" i="2"/>
  <c r="U54" i="2" s="1"/>
  <c r="T38" i="2"/>
  <c r="T46" i="2"/>
  <c r="U46" i="2" s="1"/>
  <c r="N15" i="12" l="1"/>
  <c r="O9" i="12"/>
  <c r="O15" i="12" s="1"/>
  <c r="G9" i="12"/>
  <c r="G16" i="12" s="1"/>
  <c r="F15" i="12"/>
  <c r="M19" i="12"/>
  <c r="M23" i="12" s="1"/>
  <c r="O23" i="12" s="1"/>
  <c r="O16" i="12"/>
  <c r="U38" i="2"/>
  <c r="T58" i="2"/>
  <c r="U58" i="2"/>
  <c r="U59" i="2" s="1"/>
  <c r="S27" i="2" l="1"/>
  <c r="R33" i="2"/>
  <c r="S33" i="2" s="1"/>
  <c r="R32" i="2"/>
  <c r="S32" i="2" s="1"/>
  <c r="R31" i="2"/>
  <c r="S31" i="2" s="1"/>
  <c r="R30" i="2"/>
  <c r="S30" i="2" s="1"/>
  <c r="R29" i="2"/>
  <c r="S29" i="2" s="1"/>
  <c r="R28" i="2"/>
  <c r="S28" i="2" s="1"/>
  <c r="R27" i="2"/>
  <c r="R26" i="2"/>
  <c r="S26" i="2" s="1"/>
  <c r="R25" i="2"/>
  <c r="S25" i="2" s="1"/>
  <c r="R24" i="2"/>
  <c r="P30" i="2"/>
  <c r="P33" i="2" s="1"/>
  <c r="P34" i="2" s="1"/>
  <c r="O33" i="2"/>
  <c r="O34" i="2" s="1"/>
  <c r="O30" i="2"/>
  <c r="P27" i="2"/>
  <c r="P28" i="2" s="1"/>
  <c r="O28" i="2"/>
  <c r="O27" i="2"/>
  <c r="O24" i="2"/>
  <c r="S24" i="2" l="1"/>
  <c r="M27" i="5"/>
  <c r="O21" i="5"/>
  <c r="O19" i="5"/>
  <c r="T17" i="5"/>
  <c r="R13" i="5"/>
  <c r="S13" i="5" s="1"/>
  <c r="S14" i="5" s="1"/>
  <c r="R11" i="5"/>
  <c r="S10" i="5"/>
  <c r="U10" i="5" s="1"/>
  <c r="S9" i="5"/>
  <c r="U9" i="5" s="1"/>
  <c r="T31" i="2" l="1"/>
  <c r="U31" i="2" s="1"/>
  <c r="T26" i="2"/>
  <c r="U26" i="2" s="1"/>
  <c r="T30" i="2"/>
  <c r="U30" i="2" s="1"/>
  <c r="T24" i="2"/>
  <c r="T27" i="2"/>
  <c r="U27" i="2" s="1"/>
  <c r="T25" i="2"/>
  <c r="U25" i="2" s="1"/>
  <c r="T33" i="2"/>
  <c r="U33" i="2" s="1"/>
  <c r="T28" i="2"/>
  <c r="U28" i="2" s="1"/>
  <c r="T29" i="2"/>
  <c r="U29" i="2" s="1"/>
  <c r="T32" i="2"/>
  <c r="U32" i="2" s="1"/>
  <c r="P20" i="5"/>
  <c r="U11" i="5"/>
  <c r="T13" i="5"/>
  <c r="T14" i="5" s="1"/>
  <c r="T15" i="5" s="1"/>
  <c r="T16" i="5" s="1"/>
  <c r="T18" i="5" s="1"/>
  <c r="T19" i="5" s="1"/>
  <c r="R14" i="5"/>
  <c r="F68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U24" i="2" l="1"/>
  <c r="T34" i="2"/>
  <c r="U34" i="2"/>
  <c r="U35" i="2" s="1"/>
  <c r="L88" i="9"/>
  <c r="C9" i="11" s="1"/>
  <c r="B26" i="11" s="1"/>
  <c r="L100" i="9"/>
  <c r="C21" i="11" s="1"/>
  <c r="B38" i="11" s="1"/>
  <c r="L99" i="9"/>
  <c r="C20" i="11" s="1"/>
  <c r="B37" i="11" s="1"/>
  <c r="L98" i="9"/>
  <c r="C19" i="11" s="1"/>
  <c r="B36" i="11" s="1"/>
  <c r="L97" i="9"/>
  <c r="C18" i="11" s="1"/>
  <c r="B35" i="11" s="1"/>
  <c r="L96" i="9"/>
  <c r="C17" i="11" s="1"/>
  <c r="B34" i="11" s="1"/>
  <c r="L95" i="9"/>
  <c r="C16" i="11" s="1"/>
  <c r="B33" i="11" s="1"/>
  <c r="L94" i="9"/>
  <c r="C15" i="11" s="1"/>
  <c r="B32" i="11" s="1"/>
  <c r="L93" i="9"/>
  <c r="C14" i="11" s="1"/>
  <c r="B31" i="11" s="1"/>
  <c r="L92" i="9"/>
  <c r="C13" i="11" s="1"/>
  <c r="B30" i="11" s="1"/>
  <c r="L91" i="9"/>
  <c r="C12" i="11" s="1"/>
  <c r="B29" i="11" s="1"/>
  <c r="L90" i="9"/>
  <c r="C11" i="11" s="1"/>
  <c r="B28" i="11" s="1"/>
  <c r="L89" i="9"/>
  <c r="C10" i="11" s="1"/>
  <c r="B27" i="11" s="1"/>
  <c r="S69" i="9" l="1"/>
  <c r="R69" i="9"/>
  <c r="Q69" i="9"/>
  <c r="P69" i="9"/>
  <c r="O69" i="9"/>
  <c r="N69" i="9"/>
  <c r="M69" i="9"/>
  <c r="L69" i="9"/>
  <c r="K69" i="9"/>
  <c r="J69" i="9"/>
  <c r="I69" i="9"/>
  <c r="H69" i="9"/>
  <c r="G69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R67" i="9"/>
  <c r="Q67" i="9"/>
  <c r="P67" i="9"/>
  <c r="O67" i="9"/>
  <c r="N67" i="9"/>
  <c r="M67" i="9"/>
  <c r="L67" i="9"/>
  <c r="K67" i="9"/>
  <c r="J67" i="9"/>
  <c r="I67" i="9"/>
  <c r="H67" i="9"/>
  <c r="G67" i="9"/>
  <c r="R66" i="9"/>
  <c r="Q66" i="9"/>
  <c r="P66" i="9"/>
  <c r="O66" i="9"/>
  <c r="N66" i="9"/>
  <c r="M66" i="9"/>
  <c r="L66" i="9"/>
  <c r="K66" i="9"/>
  <c r="J66" i="9"/>
  <c r="I66" i="9"/>
  <c r="H66" i="9"/>
  <c r="G66" i="9"/>
  <c r="Q65" i="9"/>
  <c r="P65" i="9"/>
  <c r="O65" i="9"/>
  <c r="N65" i="9"/>
  <c r="M65" i="9"/>
  <c r="L65" i="9"/>
  <c r="K65" i="9"/>
  <c r="J65" i="9"/>
  <c r="I65" i="9"/>
  <c r="H65" i="9"/>
  <c r="G65" i="9"/>
  <c r="Q64" i="9"/>
  <c r="P64" i="9"/>
  <c r="O64" i="9"/>
  <c r="N64" i="9"/>
  <c r="M64" i="9"/>
  <c r="L64" i="9"/>
  <c r="K64" i="9"/>
  <c r="J64" i="9"/>
  <c r="I64" i="9"/>
  <c r="H64" i="9"/>
  <c r="G64" i="9"/>
  <c r="P63" i="9"/>
  <c r="O63" i="9"/>
  <c r="N63" i="9"/>
  <c r="M63" i="9"/>
  <c r="L63" i="9"/>
  <c r="K63" i="9"/>
  <c r="J63" i="9"/>
  <c r="I63" i="9"/>
  <c r="H63" i="9"/>
  <c r="G63" i="9"/>
  <c r="P62" i="9"/>
  <c r="O62" i="9"/>
  <c r="N62" i="9"/>
  <c r="M62" i="9"/>
  <c r="L62" i="9"/>
  <c r="K62" i="9"/>
  <c r="J62" i="9"/>
  <c r="I62" i="9"/>
  <c r="H62" i="9"/>
  <c r="G62" i="9"/>
  <c r="O61" i="9"/>
  <c r="N61" i="9"/>
  <c r="M61" i="9"/>
  <c r="L61" i="9"/>
  <c r="K61" i="9"/>
  <c r="J61" i="9"/>
  <c r="I61" i="9"/>
  <c r="H61" i="9"/>
  <c r="G61" i="9"/>
  <c r="O60" i="9"/>
  <c r="N60" i="9"/>
  <c r="M60" i="9"/>
  <c r="L60" i="9"/>
  <c r="K60" i="9"/>
  <c r="J60" i="9"/>
  <c r="I60" i="9"/>
  <c r="H60" i="9"/>
  <c r="G60" i="9"/>
  <c r="O59" i="9"/>
  <c r="N59" i="9"/>
  <c r="M59" i="9"/>
  <c r="L59" i="9"/>
  <c r="K59" i="9"/>
  <c r="J59" i="9"/>
  <c r="I59" i="9"/>
  <c r="H59" i="9"/>
  <c r="G59" i="9"/>
  <c r="N58" i="9"/>
  <c r="M58" i="9"/>
  <c r="L58" i="9"/>
  <c r="K58" i="9"/>
  <c r="J58" i="9"/>
  <c r="I58" i="9"/>
  <c r="H58" i="9"/>
  <c r="G58" i="9"/>
  <c r="N57" i="9"/>
  <c r="M57" i="9"/>
  <c r="L57" i="9"/>
  <c r="K57" i="9"/>
  <c r="J57" i="9"/>
  <c r="I57" i="9"/>
  <c r="H57" i="9"/>
  <c r="G57" i="9"/>
  <c r="N56" i="9"/>
  <c r="M56" i="9"/>
  <c r="L56" i="9"/>
  <c r="K56" i="9"/>
  <c r="J56" i="9"/>
  <c r="I56" i="9"/>
  <c r="H56" i="9"/>
  <c r="G56" i="9"/>
  <c r="N55" i="9"/>
  <c r="M55" i="9"/>
  <c r="L55" i="9"/>
  <c r="K55" i="9"/>
  <c r="J55" i="9"/>
  <c r="I55" i="9"/>
  <c r="H55" i="9"/>
  <c r="G55" i="9"/>
  <c r="M54" i="9"/>
  <c r="L54" i="9"/>
  <c r="K54" i="9"/>
  <c r="J54" i="9"/>
  <c r="I54" i="9"/>
  <c r="H54" i="9"/>
  <c r="G54" i="9"/>
  <c r="M53" i="9"/>
  <c r="L53" i="9"/>
  <c r="K53" i="9"/>
  <c r="J53" i="9"/>
  <c r="I53" i="9"/>
  <c r="H53" i="9"/>
  <c r="G53" i="9"/>
  <c r="M52" i="9"/>
  <c r="L52" i="9"/>
  <c r="K52" i="9"/>
  <c r="J52" i="9"/>
  <c r="I52" i="9"/>
  <c r="H52" i="9"/>
  <c r="G52" i="9"/>
  <c r="M51" i="9"/>
  <c r="L51" i="9"/>
  <c r="K51" i="9"/>
  <c r="J51" i="9"/>
  <c r="I51" i="9"/>
  <c r="H51" i="9"/>
  <c r="G51" i="9"/>
  <c r="L50" i="9"/>
  <c r="K50" i="9"/>
  <c r="J50" i="9"/>
  <c r="I50" i="9"/>
  <c r="H50" i="9"/>
  <c r="G50" i="9"/>
  <c r="L49" i="9"/>
  <c r="K49" i="9"/>
  <c r="J49" i="9"/>
  <c r="I49" i="9"/>
  <c r="H49" i="9"/>
  <c r="G49" i="9"/>
  <c r="L48" i="9"/>
  <c r="K48" i="9"/>
  <c r="J48" i="9"/>
  <c r="I48" i="9"/>
  <c r="H48" i="9"/>
  <c r="G48" i="9"/>
  <c r="K47" i="9"/>
  <c r="J47" i="9"/>
  <c r="I47" i="9"/>
  <c r="H47" i="9"/>
  <c r="G47" i="9"/>
  <c r="K46" i="9"/>
  <c r="J46" i="9"/>
  <c r="I46" i="9"/>
  <c r="H46" i="9"/>
  <c r="G46" i="9"/>
  <c r="J45" i="9"/>
  <c r="I45" i="9"/>
  <c r="H45" i="9"/>
  <c r="G45" i="9"/>
  <c r="J44" i="9"/>
  <c r="I44" i="9"/>
  <c r="H44" i="9"/>
  <c r="G44" i="9"/>
  <c r="J43" i="9"/>
  <c r="I43" i="9"/>
  <c r="H43" i="9"/>
  <c r="G43" i="9"/>
  <c r="I42" i="9"/>
  <c r="H42" i="9"/>
  <c r="G42" i="9"/>
  <c r="I41" i="9"/>
  <c r="H41" i="9"/>
  <c r="G41" i="9"/>
  <c r="I40" i="9"/>
  <c r="H40" i="9"/>
  <c r="G40" i="9"/>
  <c r="I39" i="9"/>
  <c r="H39" i="9"/>
  <c r="G39" i="9"/>
  <c r="I38" i="9"/>
  <c r="H38" i="9"/>
  <c r="G38" i="9"/>
  <c r="I37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G29" i="9"/>
  <c r="G28" i="9"/>
  <c r="G27" i="9"/>
  <c r="G26" i="9"/>
  <c r="G25" i="9"/>
  <c r="G24" i="9"/>
  <c r="G23" i="9"/>
  <c r="G22" i="9"/>
  <c r="G21" i="9"/>
  <c r="G20" i="9"/>
  <c r="D24" i="5" l="1"/>
  <c r="E24" i="5" s="1"/>
  <c r="D23" i="5"/>
  <c r="E23" i="5" s="1"/>
  <c r="E25" i="5" s="1"/>
  <c r="G14" i="7"/>
  <c r="G13" i="7"/>
  <c r="G12" i="7"/>
  <c r="G11" i="7"/>
  <c r="G10" i="7"/>
  <c r="A17" i="7" s="1"/>
  <c r="I9" i="7"/>
  <c r="K9" i="7" s="1"/>
  <c r="G9" i="7"/>
  <c r="C9" i="7"/>
  <c r="E9" i="7" s="1"/>
  <c r="M9" i="7" l="1"/>
  <c r="C10" i="7"/>
  <c r="O9" i="7"/>
  <c r="D10" i="7"/>
  <c r="E10" i="7"/>
  <c r="I10" i="7"/>
  <c r="O10" i="7" s="1"/>
  <c r="D9" i="7"/>
  <c r="J9" i="7"/>
  <c r="C11" i="7" l="1"/>
  <c r="M10" i="7"/>
  <c r="K10" i="7"/>
  <c r="J10" i="7"/>
  <c r="I11" i="7"/>
  <c r="O11" i="7" s="1"/>
  <c r="M11" i="7" l="1"/>
  <c r="C12" i="7"/>
  <c r="D11" i="7"/>
  <c r="E11" i="7"/>
  <c r="K11" i="7"/>
  <c r="J11" i="7"/>
  <c r="I12" i="7"/>
  <c r="O12" i="7" s="1"/>
  <c r="M12" i="7" l="1"/>
  <c r="C13" i="7"/>
  <c r="E12" i="7"/>
  <c r="D12" i="7"/>
  <c r="I13" i="7"/>
  <c r="K12" i="7"/>
  <c r="J12" i="7"/>
  <c r="I18" i="5"/>
  <c r="I17" i="5"/>
  <c r="F18" i="5"/>
  <c r="G18" i="5" s="1"/>
  <c r="F17" i="5"/>
  <c r="G17" i="5" s="1"/>
  <c r="F16" i="5"/>
  <c r="D18" i="5"/>
  <c r="E18" i="5" s="1"/>
  <c r="D17" i="5"/>
  <c r="E17" i="5" s="1"/>
  <c r="D16" i="5"/>
  <c r="E16" i="5" s="1"/>
  <c r="C18" i="5"/>
  <c r="J18" i="5" s="1"/>
  <c r="C17" i="5"/>
  <c r="J17" i="5" s="1"/>
  <c r="C16" i="5"/>
  <c r="J16" i="5" s="1"/>
  <c r="H4" i="5"/>
  <c r="H3" i="5"/>
  <c r="H2" i="5"/>
  <c r="H6" i="5" s="1"/>
  <c r="J4" i="5"/>
  <c r="J3" i="5"/>
  <c r="J2" i="5"/>
  <c r="R9" i="2"/>
  <c r="I8" i="3"/>
  <c r="I9" i="3" s="1"/>
  <c r="I10" i="3" s="1"/>
  <c r="I11" i="3" s="1"/>
  <c r="I12" i="3" s="1"/>
  <c r="I13" i="3" s="1"/>
  <c r="I14" i="3" s="1"/>
  <c r="I15" i="3" s="1"/>
  <c r="I16" i="3" s="1"/>
  <c r="I17" i="3" s="1"/>
  <c r="J17" i="3" s="1"/>
  <c r="I14" i="1"/>
  <c r="I13" i="1"/>
  <c r="I12" i="1"/>
  <c r="I11" i="1"/>
  <c r="I10" i="1"/>
  <c r="I9" i="1"/>
  <c r="K9" i="1"/>
  <c r="M9" i="1" s="1"/>
  <c r="C9" i="1"/>
  <c r="D9" i="1" s="1"/>
  <c r="I8" i="2"/>
  <c r="I19" i="2" s="1"/>
  <c r="M20" i="2"/>
  <c r="M19" i="2"/>
  <c r="M18" i="2"/>
  <c r="O13" i="7" l="1"/>
  <c r="I14" i="7"/>
  <c r="O14" i="7" s="1"/>
  <c r="M13" i="7"/>
  <c r="E13" i="7"/>
  <c r="D13" i="7"/>
  <c r="C14" i="7"/>
  <c r="G16" i="5"/>
  <c r="I16" i="5"/>
  <c r="J19" i="5" s="1"/>
  <c r="J13" i="7"/>
  <c r="K13" i="7"/>
  <c r="J15" i="3"/>
  <c r="J16" i="3"/>
  <c r="R7" i="2"/>
  <c r="E9" i="1"/>
  <c r="J14" i="3"/>
  <c r="J9" i="3"/>
  <c r="J8" i="3"/>
  <c r="I9" i="2"/>
  <c r="J9" i="2" s="1"/>
  <c r="I17" i="2"/>
  <c r="J8" i="2"/>
  <c r="K10" i="1"/>
  <c r="K11" i="1" s="1"/>
  <c r="L11" i="1" s="1"/>
  <c r="L9" i="1"/>
  <c r="C10" i="1"/>
  <c r="M14" i="7" l="1"/>
  <c r="E14" i="7"/>
  <c r="D14" i="7"/>
  <c r="D15" i="7" s="1"/>
  <c r="E8" i="7" s="1"/>
  <c r="E17" i="7" s="1"/>
  <c r="M15" i="7"/>
  <c r="O15" i="7"/>
  <c r="J14" i="7"/>
  <c r="J15" i="7" s="1"/>
  <c r="K8" i="7" s="1"/>
  <c r="K17" i="7" s="1"/>
  <c r="K14" i="7"/>
  <c r="M11" i="1"/>
  <c r="I10" i="2"/>
  <c r="I11" i="2" s="1"/>
  <c r="J10" i="3"/>
  <c r="K12" i="1"/>
  <c r="L12" i="1" s="1"/>
  <c r="L10" i="1"/>
  <c r="M10" i="1"/>
  <c r="J10" i="2"/>
  <c r="D10" i="1"/>
  <c r="E10" i="1"/>
  <c r="C11" i="1"/>
  <c r="N9" i="7" l="1"/>
  <c r="N10" i="7"/>
  <c r="N11" i="7"/>
  <c r="N12" i="7"/>
  <c r="K19" i="7"/>
  <c r="N13" i="7"/>
  <c r="N14" i="7"/>
  <c r="P10" i="7"/>
  <c r="P9" i="7"/>
  <c r="P11" i="7"/>
  <c r="P12" i="7"/>
  <c r="P13" i="7"/>
  <c r="P14" i="7"/>
  <c r="K13" i="1"/>
  <c r="L13" i="1" s="1"/>
  <c r="M12" i="1"/>
  <c r="J11" i="3"/>
  <c r="I12" i="2"/>
  <c r="J11" i="2"/>
  <c r="D11" i="1"/>
  <c r="E11" i="1"/>
  <c r="K14" i="1"/>
  <c r="M13" i="1"/>
  <c r="C12" i="1"/>
  <c r="P17" i="7" l="1"/>
  <c r="P19" i="7" s="1"/>
  <c r="N17" i="7"/>
  <c r="N19" i="7" s="1"/>
  <c r="J12" i="3"/>
  <c r="J12" i="2"/>
  <c r="J14" i="2" s="1"/>
  <c r="R10" i="2" s="1"/>
  <c r="R11" i="2" s="1"/>
  <c r="I13" i="2"/>
  <c r="J13" i="2" s="1"/>
  <c r="D12" i="1"/>
  <c r="E12" i="1"/>
  <c r="M14" i="1"/>
  <c r="L14" i="1"/>
  <c r="C13" i="1"/>
  <c r="L15" i="1" l="1"/>
  <c r="N14" i="1"/>
  <c r="O14" i="1" s="1"/>
  <c r="I18" i="2"/>
  <c r="K9" i="2"/>
  <c r="L9" i="2" s="1"/>
  <c r="K8" i="2"/>
  <c r="K10" i="2"/>
  <c r="L10" i="2" s="1"/>
  <c r="K13" i="2"/>
  <c r="L13" i="2" s="1"/>
  <c r="K12" i="2"/>
  <c r="L12" i="2" s="1"/>
  <c r="K11" i="2"/>
  <c r="L11" i="2" s="1"/>
  <c r="D13" i="1"/>
  <c r="E13" i="1"/>
  <c r="C14" i="1"/>
  <c r="M8" i="1" l="1"/>
  <c r="M17" i="1" s="1"/>
  <c r="M21" i="1"/>
  <c r="N9" i="1"/>
  <c r="N11" i="1"/>
  <c r="O11" i="1" s="1"/>
  <c r="N10" i="1"/>
  <c r="O10" i="1" s="1"/>
  <c r="N12" i="1"/>
  <c r="O12" i="1" s="1"/>
  <c r="N13" i="1"/>
  <c r="O13" i="1" s="1"/>
  <c r="L8" i="2"/>
  <c r="L14" i="2" s="1"/>
  <c r="L17" i="2" s="1"/>
  <c r="L18" i="2" s="1"/>
  <c r="K14" i="2"/>
  <c r="D14" i="1"/>
  <c r="D15" i="1" s="1"/>
  <c r="E8" i="1" s="1"/>
  <c r="E14" i="1"/>
  <c r="N15" i="1" l="1"/>
  <c r="O9" i="1"/>
  <c r="M19" i="1"/>
  <c r="L20" i="2"/>
  <c r="R15" i="2"/>
  <c r="O16" i="1" l="1"/>
  <c r="O15" i="1"/>
  <c r="J13" i="3"/>
  <c r="J18" i="3" s="1"/>
  <c r="K10" i="3" l="1"/>
  <c r="K17" i="3"/>
  <c r="K13" i="3"/>
  <c r="K9" i="3"/>
  <c r="L10" i="3"/>
  <c r="M10" i="3"/>
  <c r="K16" i="3"/>
  <c r="K12" i="3"/>
  <c r="K15" i="3"/>
  <c r="K11" i="3"/>
  <c r="K8" i="3"/>
  <c r="K14" i="3"/>
  <c r="L13" i="3" l="1"/>
  <c r="M13" i="3"/>
  <c r="L9" i="3"/>
  <c r="M9" i="3"/>
  <c r="L17" i="3"/>
  <c r="M17" i="3"/>
  <c r="L14" i="3"/>
  <c r="M14" i="3"/>
  <c r="L15" i="3"/>
  <c r="M15" i="3"/>
  <c r="K18" i="3"/>
  <c r="L8" i="3"/>
  <c r="L18" i="3" s="1"/>
  <c r="I20" i="3" s="1"/>
  <c r="I21" i="3" s="1"/>
  <c r="M8" i="3"/>
  <c r="M18" i="3" s="1"/>
  <c r="I22" i="3" s="1"/>
  <c r="I23" i="3" s="1"/>
  <c r="M11" i="3"/>
  <c r="L11" i="3"/>
  <c r="M12" i="3"/>
  <c r="L12" i="3"/>
  <c r="M16" i="3"/>
  <c r="L16" i="3"/>
</calcChain>
</file>

<file path=xl/sharedStrings.xml><?xml version="1.0" encoding="utf-8"?>
<sst xmlns="http://schemas.openxmlformats.org/spreadsheetml/2006/main" count="281" uniqueCount="138">
  <si>
    <t>Price</t>
  </si>
  <si>
    <t>Maturity</t>
  </si>
  <si>
    <t>Years</t>
  </si>
  <si>
    <t>Coupon</t>
  </si>
  <si>
    <t>Prices</t>
  </si>
  <si>
    <t>Par</t>
  </si>
  <si>
    <t>Yield</t>
  </si>
  <si>
    <t>DV01</t>
  </si>
  <si>
    <t>P</t>
  </si>
  <si>
    <t>y</t>
  </si>
  <si>
    <t>Time</t>
  </si>
  <si>
    <t>CF</t>
  </si>
  <si>
    <t>PV</t>
  </si>
  <si>
    <t>Total:</t>
  </si>
  <si>
    <t>W</t>
  </si>
  <si>
    <t>Time x W</t>
  </si>
  <si>
    <t>Mac Duration</t>
  </si>
  <si>
    <t>Effective Duration</t>
  </si>
  <si>
    <t>Yield Curve</t>
  </si>
  <si>
    <t>Yield:</t>
  </si>
  <si>
    <t>CFs</t>
  </si>
  <si>
    <t>Yield Diff:</t>
  </si>
  <si>
    <t>Curve shift:</t>
  </si>
  <si>
    <t>Why use yield-based duration?</t>
  </si>
  <si>
    <t xml:space="preserve">Total: </t>
  </si>
  <si>
    <t>Mac Convexity</t>
  </si>
  <si>
    <t>Mod Duration</t>
  </si>
  <si>
    <t>Mod Convexity</t>
  </si>
  <si>
    <t>t(t+0.5) x W</t>
  </si>
  <si>
    <t>Suppose yield changes from 5% to 6%</t>
  </si>
  <si>
    <t>Yield new</t>
  </si>
  <si>
    <t>Price new</t>
  </si>
  <si>
    <t>Duration approximation</t>
  </si>
  <si>
    <t>ΔYield</t>
  </si>
  <si>
    <t>ΔPrice</t>
  </si>
  <si>
    <t>%ΔPrice</t>
  </si>
  <si>
    <t>%ΔPrice = -D*ΔYield</t>
  </si>
  <si>
    <t>Modified Duration (D)</t>
  </si>
  <si>
    <t>zero rates</t>
  </si>
  <si>
    <t>.</t>
  </si>
  <si>
    <t>Market</t>
  </si>
  <si>
    <t>Duration</t>
  </si>
  <si>
    <t>$Duration</t>
  </si>
  <si>
    <t>Rate</t>
  </si>
  <si>
    <t>$Convexity</t>
  </si>
  <si>
    <t>Convexity</t>
  </si>
  <si>
    <t>yield</t>
  </si>
  <si>
    <t>Zero-coupon bonds</t>
  </si>
  <si>
    <t>Coupon effect</t>
  </si>
  <si>
    <t>Approx. Yield</t>
  </si>
  <si>
    <t>Spread</t>
  </si>
  <si>
    <t>05/15/2121</t>
  </si>
  <si>
    <t>05/15/2026</t>
  </si>
  <si>
    <t>−41</t>
  </si>
  <si>
    <t>11/15/2050</t>
  </si>
  <si>
    <t>−97</t>
  </si>
  <si>
    <t>−2,410.67</t>
  </si>
  <si>
    <t>−2,399.67</t>
  </si>
  <si>
    <t>Constructing the the Yield Curve - The Regression Approach</t>
  </si>
  <si>
    <t>To simplify the calculation in the exercise, we assume that the remaining maturity is rounded to the nearest integer and the bonds pay interest annually instead of semi-annually.</t>
  </si>
  <si>
    <t>To estimate the term-structure of interest rates, we need to use the regression analysis function in Excel.</t>
  </si>
  <si>
    <t>Step 1: Make sure that you have the Analysis ToolPak add-in installed and enabled in your version of Excel.</t>
  </si>
  <si>
    <t>Step 2: Go the tab "Data"</t>
  </si>
  <si>
    <t>Step 3: Click "Data Analysis"</t>
  </si>
  <si>
    <t>Step 4: In the pop-up menu, select "Regression"</t>
  </si>
  <si>
    <t>Step 7: Calculate the spot interest rates from the estimated discount factors</t>
  </si>
  <si>
    <t>The face value of the following bond is $100</t>
  </si>
  <si>
    <t>CF: Cash-flow for each bond in year x</t>
  </si>
  <si>
    <t>Bond ID</t>
  </si>
  <si>
    <t>Coupon (annual)</t>
  </si>
  <si>
    <t>Maturity (in years)</t>
  </si>
  <si>
    <t>Spot Interest Rates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</si>
  <si>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</si>
  <si>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</si>
  <si>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</si>
  <si>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</si>
  <si>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</si>
  <si>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</si>
  <si>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</si>
  <si>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</si>
  <si>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</si>
  <si>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</si>
  <si>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</si>
  <si>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</si>
  <si>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</si>
  <si>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</si>
  <si>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</si>
  <si>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</si>
  <si>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</si>
  <si>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</si>
  <si>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</si>
  <si>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</si>
  <si>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</si>
  <si>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</si>
  <si>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</si>
  <si>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</si>
  <si>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</si>
  <si>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</si>
  <si>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X 3</t>
  </si>
  <si>
    <t>Before we do the regression, we need to create the table for future cash-flows.</t>
  </si>
  <si>
    <t>Create the cash flow table (CF matrix)</t>
  </si>
  <si>
    <t>Step 6: In "Output range" select cell B71 and then click "Ok".  The estimated coefficients are the discount factors for cash-flows received in year x.</t>
  </si>
  <si>
    <t>Modeling the Yield Curve</t>
  </si>
  <si>
    <t>Please estimate a polynominal yield curve with the following data</t>
  </si>
  <si>
    <t xml:space="preserve">The equation to be estimated: </t>
  </si>
  <si>
    <t>Spot Interest rates</t>
  </si>
  <si>
    <t>Step 1: Create the "dependent variable" and "independent variables"</t>
  </si>
  <si>
    <t>t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</si>
  <si>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</si>
  <si>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</si>
  <si>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Spot rates implied by the polynomial function</t>
  </si>
  <si>
    <t>Maturity (years):</t>
  </si>
  <si>
    <t>Implied spot rate from the polynomial function:</t>
  </si>
  <si>
    <t xml:space="preserve">Step 5: Click "Input Y-value," and then select the bond prices (which are the dependent variable) include the cell with the label “Prices”. Then, click "Input X-value," and then select the matrix of cash flows for each bond in each year, also include the cells at the top with the years. </t>
  </si>
  <si>
    <t xml:space="preserve">Step 2: Use the "regression function" in the "Data analysis" tab to estimate the coefficients, following the regression equation specified above. </t>
  </si>
  <si>
    <t>D</t>
  </si>
  <si>
    <t>DPdy</t>
  </si>
  <si>
    <t>dy</t>
  </si>
  <si>
    <t>dP</t>
  </si>
  <si>
    <t>Dm</t>
  </si>
  <si>
    <t>Dmac</t>
  </si>
  <si>
    <t>t*w</t>
  </si>
  <si>
    <t>w</t>
  </si>
  <si>
    <t>K</t>
  </si>
  <si>
    <t>t*(t+1/k)</t>
  </si>
  <si>
    <t>C_mod</t>
  </si>
  <si>
    <t>C_Mac</t>
  </si>
  <si>
    <t>D^=</t>
  </si>
  <si>
    <t>Time*(Time+0.5)*W</t>
  </si>
  <si>
    <t>Mod. Convexity</t>
  </si>
  <si>
    <t>%ΔPrice = -D*ΔYield+(1/2)*C*(ΔYield)^2</t>
  </si>
  <si>
    <t>dP=-P*D*dy</t>
  </si>
  <si>
    <t>w*t</t>
  </si>
  <si>
    <t>D=</t>
  </si>
  <si>
    <t>dP=</t>
  </si>
  <si>
    <t>Actual</t>
  </si>
  <si>
    <t>Approx.</t>
  </si>
  <si>
    <t>dP/P=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</si>
</sst>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4" formatCode="_(&quot;$&quot;* #,##0.00_);_(&quot;$&quot;* \(#,##0.00\);_(&quot;$&quot;* &quot;-&quot;??_);_(@_)"/>
    <numFmt numFmtId="165" formatCode="_-* #,##0_-;\-* #,##0_-;_-* &quot;-&quot;_-;_-@_-"/>
    <numFmt numFmtId="166" formatCode="_-* #,##0.00_-;\-* #,##0.00_-;_-* &quot;-&quot;??_-;_-@_-"/>
    <numFmt numFmtId="167" formatCode="&quot;₩&quot;#,##0.000_);[Red]\(&quot;₩&quot;#,##0.000\)"/>
    <numFmt numFmtId="168" formatCode="&quot;₩&quot;#,##0.0000_);[Red]\(&quot;₩&quot;#,##0.0000\)"/>
    <numFmt numFmtId="169" formatCode="0.000"/>
    <numFmt numFmtId="170" formatCode="0.0000"/>
    <numFmt numFmtId="171" formatCode="0.000%"/>
    <numFmt numFmtId="172" formatCode="0.0000%"/>
    <numFmt numFmtId="173" formatCode="[$$-409]#,##0_ ;[Red]\-[$$-409]#,##0\ "/>
    <numFmt numFmtId="174" formatCode="[$$-409]#,##0.00_ ;[Red]\-[$$-409]#,##0.00\ "/>
    <numFmt numFmtId="175" formatCode="[$$-409]#,##0.000_ ;[Red]\-[$$-409]#,##0.000\ "/>
    <numFmt numFmtId="176" formatCode="[$$-409]#,##0.00"/>
    <numFmt numFmtId="177" formatCode="[$$-409]#,##0.0000"/>
    <numFmt numFmtId="178" formatCode="&quot;$&quot;#,##0;[Red]&quot;$&quot;#,##0"/>
    <numFmt numFmtId="179" formatCode="[$$-409]#,##0.00000"/>
    <numFmt numFmtId="181" formatCode="_(&quot;$&quot;* #,##0_);_(&quot;$&quot;* \(#,##0\);_(&quot;$&quot;* &quot;-&quot;??_);_(@_)"/>
    <numFmt numFmtId="183" formatCode="[$$-409]#,##0.00;[Red][$$-409]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5E5FF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</cellStyleXfs>
  <cellXfs count="136">
    <xf numFmtId="0" fontId="0" fillId="0" borderId="0" xfId="0"/>
    <xf numFmtId="168" fontId="0" fillId="0" borderId="0" xfId="0" applyNumberFormat="1"/>
    <xf numFmtId="170" fontId="0" fillId="0" borderId="0" xfId="0" applyNumberFormat="1"/>
    <xf numFmtId="10" fontId="0" fillId="0" borderId="0" xfId="0" applyNumberFormat="1"/>
    <xf numFmtId="171" fontId="0" fillId="0" borderId="0" xfId="0" applyNumberFormat="1"/>
    <xf numFmtId="172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Alignment="1">
      <alignment horizontal="right"/>
    </xf>
    <xf numFmtId="172" fontId="0" fillId="4" borderId="0" xfId="0" applyNumberFormat="1" applyFill="1" applyAlignment="1">
      <alignment horizontal="right"/>
    </xf>
    <xf numFmtId="10" fontId="0" fillId="3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5" borderId="1" xfId="0" applyFill="1" applyBorder="1" applyAlignment="1">
      <alignment horizontal="center"/>
    </xf>
    <xf numFmtId="167" fontId="0" fillId="5" borderId="0" xfId="0" applyNumberFormat="1" applyFill="1"/>
    <xf numFmtId="10" fontId="0" fillId="5" borderId="0" xfId="2" applyNumberFormat="1" applyFont="1" applyFill="1"/>
    <xf numFmtId="170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1" xfId="0" applyFill="1" applyBorder="1"/>
    <xf numFmtId="10" fontId="0" fillId="5" borderId="1" xfId="2" applyNumberFormat="1" applyFont="1" applyFill="1" applyBorder="1"/>
    <xf numFmtId="170" fontId="0" fillId="5" borderId="1" xfId="0" applyNumberFormat="1" applyFill="1" applyBorder="1"/>
    <xf numFmtId="0" fontId="2" fillId="5" borderId="0" xfId="0" applyFont="1" applyFill="1" applyAlignment="1">
      <alignment horizontal="right"/>
    </xf>
    <xf numFmtId="0" fontId="2" fillId="0" borderId="0" xfId="0" applyFont="1"/>
    <xf numFmtId="171" fontId="0" fillId="5" borderId="0" xfId="0" applyNumberFormat="1" applyFill="1"/>
    <xf numFmtId="10" fontId="2" fillId="5" borderId="0" xfId="0" applyNumberFormat="1" applyFont="1" applyFill="1" applyAlignment="1">
      <alignment horizontal="right"/>
    </xf>
    <xf numFmtId="170" fontId="2" fillId="5" borderId="0" xfId="0" applyNumberFormat="1" applyFont="1" applyFill="1"/>
    <xf numFmtId="171" fontId="0" fillId="0" borderId="0" xfId="2" applyNumberFormat="1" applyFont="1"/>
    <xf numFmtId="171" fontId="0" fillId="2" borderId="0" xfId="2" applyNumberFormat="1" applyFont="1" applyFill="1"/>
    <xf numFmtId="172" fontId="0" fillId="5" borderId="0" xfId="0" applyNumberFormat="1" applyFill="1"/>
    <xf numFmtId="9" fontId="0" fillId="5" borderId="0" xfId="0" applyNumberFormat="1" applyFill="1"/>
    <xf numFmtId="167" fontId="0" fillId="5" borderId="0" xfId="2" applyNumberFormat="1" applyFont="1" applyFill="1"/>
    <xf numFmtId="10" fontId="0" fillId="7" borderId="0" xfId="0" applyNumberFormat="1" applyFill="1"/>
    <xf numFmtId="173" fontId="0" fillId="5" borderId="0" xfId="0" applyNumberFormat="1" applyFill="1"/>
    <xf numFmtId="174" fontId="0" fillId="5" borderId="0" xfId="0" applyNumberFormat="1" applyFill="1"/>
    <xf numFmtId="175" fontId="0" fillId="5" borderId="0" xfId="0" applyNumberFormat="1" applyFill="1"/>
    <xf numFmtId="176" fontId="0" fillId="5" borderId="0" xfId="0" applyNumberFormat="1" applyFill="1"/>
    <xf numFmtId="176" fontId="0" fillId="5" borderId="1" xfId="0" applyNumberFormat="1" applyFill="1" applyBorder="1"/>
    <xf numFmtId="176" fontId="0" fillId="5" borderId="1" xfId="0" applyNumberFormat="1" applyFill="1" applyBorder="1" applyAlignment="1">
      <alignment horizontal="center"/>
    </xf>
    <xf numFmtId="177" fontId="0" fillId="5" borderId="0" xfId="0" applyNumberFormat="1" applyFill="1"/>
    <xf numFmtId="3" fontId="0" fillId="0" borderId="0" xfId="0" applyNumberFormat="1"/>
    <xf numFmtId="165" fontId="0" fillId="0" borderId="0" xfId="1" applyFont="1"/>
    <xf numFmtId="166" fontId="0" fillId="0" borderId="0" xfId="0" applyNumberFormat="1"/>
    <xf numFmtId="0" fontId="0" fillId="6" borderId="3" xfId="0" applyFill="1" applyBorder="1"/>
    <xf numFmtId="0" fontId="2" fillId="6" borderId="3" xfId="0" applyFont="1" applyFill="1" applyBorder="1"/>
    <xf numFmtId="0" fontId="4" fillId="6" borderId="3" xfId="0" applyFont="1" applyFill="1" applyBorder="1" applyAlignment="1">
      <alignment horizontal="centerContinuous"/>
    </xf>
    <xf numFmtId="0" fontId="0" fillId="5" borderId="0" xfId="0" applyFill="1" applyBorder="1"/>
    <xf numFmtId="0" fontId="4" fillId="5" borderId="0" xfId="0" applyFont="1" applyFill="1" applyBorder="1" applyAlignment="1">
      <alignment horizontal="centerContinuous"/>
    </xf>
    <xf numFmtId="0" fontId="0" fillId="5" borderId="0" xfId="0" applyFill="1" applyBorder="1" applyAlignment="1"/>
    <xf numFmtId="0" fontId="2" fillId="5" borderId="0" xfId="0" applyFont="1" applyFill="1"/>
    <xf numFmtId="0" fontId="4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0" fontId="0" fillId="5" borderId="0" xfId="2" applyNumberFormat="1" applyFont="1" applyFill="1" applyBorder="1"/>
    <xf numFmtId="0" fontId="2" fillId="8" borderId="4" xfId="0" applyFont="1" applyFill="1" applyBorder="1"/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/>
    <xf numFmtId="0" fontId="2" fillId="8" borderId="6" xfId="0" applyFont="1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0" fontId="0" fillId="5" borderId="10" xfId="0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12" xfId="0" applyFill="1" applyBorder="1"/>
    <xf numFmtId="0" fontId="0" fillId="5" borderId="11" xfId="0" applyFill="1" applyBorder="1"/>
    <xf numFmtId="0" fontId="0" fillId="5" borderId="13" xfId="0" applyFill="1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0" fontId="0" fillId="5" borderId="12" xfId="0" applyFill="1" applyBorder="1"/>
    <xf numFmtId="2" fontId="0" fillId="5" borderId="0" xfId="0" applyNumberFormat="1" applyFill="1" applyBorder="1"/>
    <xf numFmtId="0" fontId="3" fillId="9" borderId="0" xfId="0" applyFont="1" applyFill="1" applyBorder="1"/>
    <xf numFmtId="2" fontId="0" fillId="9" borderId="11" xfId="0" applyNumberFormat="1" applyFill="1" applyBorder="1"/>
    <xf numFmtId="2" fontId="0" fillId="9" borderId="0" xfId="0" applyNumberFormat="1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1" fontId="0" fillId="5" borderId="15" xfId="0" applyNumberFormat="1" applyFill="1" applyBorder="1" applyAlignment="1">
      <alignment horizontal="center"/>
    </xf>
    <xf numFmtId="0" fontId="0" fillId="5" borderId="16" xfId="0" applyFill="1" applyBorder="1"/>
    <xf numFmtId="0" fontId="0" fillId="9" borderId="14" xfId="0" applyFill="1" applyBorder="1"/>
    <xf numFmtId="0" fontId="0" fillId="9" borderId="2" xfId="0" applyFill="1" applyBorder="1"/>
    <xf numFmtId="0" fontId="0" fillId="9" borderId="16" xfId="0" applyFill="1" applyBorder="1"/>
    <xf numFmtId="0" fontId="4" fillId="0" borderId="7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7" xfId="0" applyFont="1" applyFill="1" applyBorder="1" applyAlignment="1">
      <alignment horizontal="center"/>
    </xf>
    <xf numFmtId="10" fontId="0" fillId="10" borderId="19" xfId="0" applyNumberFormat="1" applyFill="1" applyBorder="1"/>
    <xf numFmtId="10" fontId="0" fillId="10" borderId="20" xfId="0" applyNumberFormat="1" applyFill="1" applyBorder="1"/>
    <xf numFmtId="10" fontId="0" fillId="10" borderId="21" xfId="0" applyNumberFormat="1" applyFill="1" applyBorder="1"/>
    <xf numFmtId="0" fontId="6" fillId="0" borderId="0" xfId="3" applyFont="1" applyFill="1" applyBorder="1"/>
    <xf numFmtId="0" fontId="7" fillId="0" borderId="0" xfId="3" applyFont="1" applyFill="1" applyBorder="1"/>
    <xf numFmtId="0" fontId="2" fillId="8" borderId="17" xfId="0" applyFont="1" applyFill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0" fontId="0" fillId="9" borderId="23" xfId="0" applyNumberFormat="1" applyFill="1" applyBorder="1"/>
    <xf numFmtId="10" fontId="0" fillId="9" borderId="24" xfId="0" applyNumberFormat="1" applyFill="1" applyBorder="1"/>
    <xf numFmtId="0" fontId="0" fillId="5" borderId="14" xfId="0" applyFill="1" applyBorder="1" applyAlignment="1">
      <alignment horizontal="center"/>
    </xf>
    <xf numFmtId="0" fontId="2" fillId="11" borderId="3" xfId="0" applyFont="1" applyFill="1" applyBorder="1"/>
    <xf numFmtId="0" fontId="0" fillId="11" borderId="3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5" borderId="0" xfId="0" applyFont="1" applyFill="1" applyAlignment="1">
      <alignment horizontal="center" vertical="center" wrapText="1"/>
    </xf>
    <xf numFmtId="0" fontId="0" fillId="10" borderId="25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10" fontId="0" fillId="10" borderId="19" xfId="2" applyNumberFormat="1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10" borderId="20" xfId="2" applyNumberFormat="1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10" fontId="0" fillId="10" borderId="21" xfId="2" applyNumberFormat="1" applyFont="1" applyFill="1" applyBorder="1" applyAlignment="1">
      <alignment horizontal="center"/>
    </xf>
    <xf numFmtId="0" fontId="2" fillId="11" borderId="3" xfId="0" applyFont="1" applyFill="1" applyBorder="1" applyAlignment="1"/>
    <xf numFmtId="0" fontId="0" fillId="11" borderId="3" xfId="0" applyFill="1" applyBorder="1" applyAlignment="1"/>
    <xf numFmtId="0" fontId="2" fillId="5" borderId="0" xfId="0" applyFont="1" applyFill="1" applyAlignment="1">
      <alignment horizontal="left" wrapText="1"/>
    </xf>
    <xf numFmtId="0" fontId="0" fillId="10" borderId="19" xfId="0" applyFill="1" applyBorder="1" applyAlignment="1">
      <alignment horizontal="center"/>
    </xf>
    <xf numFmtId="10" fontId="0" fillId="9" borderId="27" xfId="0" applyNumberFormat="1" applyFill="1" applyBorder="1"/>
    <xf numFmtId="169" fontId="0" fillId="5" borderId="0" xfId="0" applyNumberFormat="1" applyFill="1"/>
    <xf numFmtId="16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78" fontId="0" fillId="5" borderId="0" xfId="0" applyNumberFormat="1" applyFill="1"/>
    <xf numFmtId="176" fontId="0" fillId="12" borderId="0" xfId="0" applyNumberFormat="1" applyFill="1"/>
    <xf numFmtId="0" fontId="9" fillId="5" borderId="0" xfId="0" applyFont="1" applyFill="1"/>
    <xf numFmtId="179" fontId="0" fillId="5" borderId="0" xfId="0" applyNumberFormat="1" applyFill="1"/>
    <xf numFmtId="179" fontId="0" fillId="0" borderId="0" xfId="0" applyNumberFormat="1"/>
    <xf numFmtId="0" fontId="0" fillId="5" borderId="0" xfId="0" applyFill="1" applyAlignment="1">
      <alignment horizontal="left" vertical="center" wrapText="1"/>
    </xf>
    <xf numFmtId="0" fontId="2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181" fontId="0" fillId="5" borderId="0" xfId="4" applyNumberFormat="1" applyFont="1" applyFill="1"/>
    <xf numFmtId="2" fontId="0" fillId="5" borderId="0" xfId="0" applyNumberFormat="1" applyFill="1"/>
    <xf numFmtId="183" fontId="0" fillId="0" borderId="0" xfId="0" applyNumberFormat="1"/>
    <xf numFmtId="10" fontId="0" fillId="0" borderId="0" xfId="2" applyNumberFormat="1" applyFont="1"/>
  </cellXfs>
  <cellStyles count="5">
    <cellStyle name="Normal 2" xfId="3"/>
    <cellStyle name="백분율" xfId="2" builtinId="5"/>
    <cellStyle name="쉼표 [0]" xfId="1" builtinId="6"/>
    <cellStyle name="통화" xfId="4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Spot Interest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Regression!$L$88:$L$100</c:f>
              <c:numCache>
                <c:formatCode>0.00%</c:formatCode>
                <c:ptCount val="13"/>
                <c:pt idx="0">
                  <c:v>-7.0548183352874716E-2</c:v>
                </c:pt>
                <c:pt idx="1">
                  <c:v>-3.1276741901433813E-2</c:v>
                </c:pt>
                <c:pt idx="2">
                  <c:v>-1.6255590317045154E-2</c:v>
                </c:pt>
                <c:pt idx="3">
                  <c:v>-8.0100015074136E-3</c:v>
                </c:pt>
                <c:pt idx="4">
                  <c:v>-2.4766492998073986E-3</c:v>
                </c:pt>
                <c:pt idx="5">
                  <c:v>7.1177213917961168E-4</c:v>
                </c:pt>
                <c:pt idx="6">
                  <c:v>3.7101345720504941E-3</c:v>
                </c:pt>
                <c:pt idx="7">
                  <c:v>6.1795159384123721E-3</c:v>
                </c:pt>
                <c:pt idx="8">
                  <c:v>8.3202821454539944E-3</c:v>
                </c:pt>
                <c:pt idx="9">
                  <c:v>1.0163938440882925E-2</c:v>
                </c:pt>
                <c:pt idx="10">
                  <c:v>1.0663554377093876E-2</c:v>
                </c:pt>
                <c:pt idx="11">
                  <c:v>1.2049093903786279E-2</c:v>
                </c:pt>
                <c:pt idx="12">
                  <c:v>1.3447062322078596E-2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1-4612-8DCD-18A6280D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518672"/>
        <c:axId val="-2104941744"/>
      </c:scatterChart>
      <c:valAx>
        <c:axId val="-210651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41744"/>
        <c:crosses val="autoZero"/>
        <c:crossBetween val="midCat"/>
      </c:valAx>
      <c:valAx>
        <c:axId val="-21049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51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Interest rate</c:v>
          </c:tx>
          <c:spPr>
            <a:ln w="19050">
              <a:noFill/>
            </a:ln>
          </c:spPr>
          <c:xVal>
            <c:numRef>
              <c:f>Polynomial!$C$26:$C$38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Polynomial!$B$26:$B$38</c:f>
              <c:numCache>
                <c:formatCode>0.00%</c:formatCode>
                <c:ptCount val="13"/>
                <c:pt idx="0">
                  <c:v>-7.0548183352874716E-2</c:v>
                </c:pt>
                <c:pt idx="1">
                  <c:v>-3.1276741901433813E-2</c:v>
                </c:pt>
                <c:pt idx="2">
                  <c:v>-1.6255590317045154E-2</c:v>
                </c:pt>
                <c:pt idx="3">
                  <c:v>-8.0100015074136E-3</c:v>
                </c:pt>
                <c:pt idx="4">
                  <c:v>-2.4766492998073986E-3</c:v>
                </c:pt>
                <c:pt idx="5">
                  <c:v>7.1177213917961168E-4</c:v>
                </c:pt>
                <c:pt idx="6">
                  <c:v>3.7101345720504941E-3</c:v>
                </c:pt>
                <c:pt idx="7">
                  <c:v>6.1795159384123721E-3</c:v>
                </c:pt>
                <c:pt idx="8">
                  <c:v>8.3202821454539944E-3</c:v>
                </c:pt>
                <c:pt idx="9">
                  <c:v>1.0163938440882925E-2</c:v>
                </c:pt>
                <c:pt idx="10">
                  <c:v>1.0663554377093876E-2</c:v>
                </c:pt>
                <c:pt idx="11">
                  <c:v>1.2049093903786279E-2</c:v>
                </c:pt>
                <c:pt idx="12">
                  <c:v>1.3447062322078596E-2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2-4883-B0E9-9C6FD0B12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05424"/>
        <c:axId val="-2146002560"/>
      </c:scatterChart>
      <c:scatterChart>
        <c:scatterStyle val="smoothMarker"/>
        <c:varyColors val="0"/>
        <c:ser>
          <c:idx val="1"/>
          <c:order val="1"/>
          <c:tx>
            <c:strRef>
              <c:f>Polynomial!$G$25</c:f>
              <c:strCache>
                <c:ptCount val="1"/>
                <c:pt idx="0">
                  <c:v>Spot rates implied by the polynomial function</c:v>
                </c:pt>
              </c:strCache>
            </c:strRef>
          </c:tx>
          <c:xVal>
            <c:numRef>
              <c:f>Polynomial!$C$26:$C$38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Polynomial!$G$26:$G$38</c:f>
              <c:numCache>
                <c:formatCode>0.00%</c:formatCode>
                <c:ptCount val="13"/>
                <c:pt idx="0">
                  <c:v>-6.3426020346048648E-2</c:v>
                </c:pt>
                <c:pt idx="1">
                  <c:v>-3.9150858088806376E-2</c:v>
                </c:pt>
                <c:pt idx="2">
                  <c:v>-2.1105541909554652E-2</c:v>
                </c:pt>
                <c:pt idx="3">
                  <c:v>-8.3816945017209255E-3</c:v>
                </c:pt>
                <c:pt idx="4">
                  <c:v>-7.0938558732584062E-5</c:v>
                </c:pt>
                <c:pt idx="5">
                  <c:v>4.7351032259829659E-3</c:v>
                </c:pt>
                <c:pt idx="6">
                  <c:v>6.9448081589982905E-3</c:v>
                </c:pt>
                <c:pt idx="7">
                  <c:v>7.4665535468859817E-3</c:v>
                </c:pt>
                <c:pt idx="8">
                  <c:v>7.2087166962186422E-3</c:v>
                </c:pt>
                <c:pt idx="9">
                  <c:v>7.0796749135688952E-3</c:v>
                </c:pt>
                <c:pt idx="10">
                  <c:v>7.9878055055092323E-3</c:v>
                </c:pt>
                <c:pt idx="11">
                  <c:v>1.084148577861227E-2</c:v>
                </c:pt>
                <c:pt idx="12">
                  <c:v>1.654909303945068E-2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D2-4883-B0E9-9C6FD0B12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05424"/>
        <c:axId val="-2146002560"/>
      </c:scatterChart>
      <c:valAx>
        <c:axId val="-214600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002560"/>
        <c:crosses val="autoZero"/>
        <c:crossBetween val="midCat"/>
      </c:valAx>
      <c:valAx>
        <c:axId val="-2146002560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-21460054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86</xdr:row>
      <xdr:rowOff>185737</xdr:rowOff>
    </xdr:from>
    <xdr:to>
      <xdr:col>20</xdr:col>
      <xdr:colOff>552450</xdr:colOff>
      <xdr:row>101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460664</xdr:colOff>
      <xdr:row>10</xdr:row>
      <xdr:rowOff>59531</xdr:rowOff>
    </xdr:from>
    <xdr:to>
      <xdr:col>20</xdr:col>
      <xdr:colOff>23813</xdr:colOff>
      <xdr:row>38</xdr:row>
      <xdr:rowOff>62346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8</xdr:row>
          <xdr:rowOff>123825</xdr:rowOff>
        </xdr:from>
        <xdr:to>
          <xdr:col>7</xdr:col>
          <xdr:colOff>190500</xdr:colOff>
          <xdr:row>11</xdr:row>
          <xdr:rowOff>47625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05"/>
  <sheetViews>
    <sheetView showGridLines="0" workbookViewId="0">
      <selection activeCell="C88" sqref="C88:C100"/>
    </sheetView>
  </sheetViews>
  <sheetFormatPr defaultColWidth="9.140625" defaultRowHeight="15" x14ac:dyDescent="0.25"/>
  <cols>
    <col min="1" max="1" width="2.7109375" style="11" customWidth="1"/>
    <col min="2" max="2" width="15.85546875" style="11" customWidth="1"/>
    <col min="3" max="3" width="16.7109375" style="18" customWidth="1"/>
    <col min="4" max="4" width="17.42578125" style="18" bestFit="1" customWidth="1"/>
    <col min="5" max="5" width="9.140625" style="11"/>
    <col min="6" max="6" width="9.140625" style="18"/>
    <col min="7" max="21" width="9.140625" style="11"/>
    <col min="22" max="23" width="12.7109375" style="11" bestFit="1" customWidth="1"/>
    <col min="24" max="24" width="12" style="11" bestFit="1" customWidth="1"/>
    <col min="25" max="26" width="12.7109375" style="11" bestFit="1" customWidth="1"/>
    <col min="27" max="27" width="12" style="11" bestFit="1" customWidth="1"/>
    <col min="28" max="33" width="12.7109375" style="11" bestFit="1" customWidth="1"/>
    <col min="34" max="16384" width="9.140625" style="11"/>
  </cols>
  <sheetData>
    <row r="1" spans="2:39" s="49" customFormat="1" ht="24.95" customHeight="1" x14ac:dyDescent="0.25">
      <c r="C1" s="49" t="s">
        <v>58</v>
      </c>
      <c r="F1" s="51"/>
    </row>
    <row r="2" spans="2:39" x14ac:dyDescent="0.25">
      <c r="T2" s="11" t="s">
        <v>127</v>
      </c>
      <c r="U2" s="11">
        <v>1</v>
      </c>
      <c r="V2" s="11">
        <f t="array" ref="V2:V14">MMULT(MMULT(MINVERSE(MMULT(TRANSPOSE(NCF),NCF)),TRANSPOSE(NCF)),P)</f>
        <v>-7.6063242713292425</v>
      </c>
      <c r="W2" s="81"/>
    </row>
    <row r="3" spans="2:39" x14ac:dyDescent="0.25">
      <c r="U3" s="48">
        <v>2</v>
      </c>
      <c r="V3" s="48">
        <v>1.0759030022746159</v>
      </c>
      <c r="W3" s="81"/>
      <c r="X3" s="46"/>
      <c r="Y3" s="46"/>
      <c r="Z3" s="46"/>
      <c r="AA3" s="46"/>
      <c r="AB3" s="46"/>
      <c r="AC3" s="46"/>
      <c r="AD3" s="46"/>
      <c r="AE3" s="48"/>
      <c r="AF3" s="48"/>
      <c r="AG3" s="46"/>
      <c r="AH3" s="46"/>
      <c r="AI3" s="46"/>
      <c r="AJ3" s="46"/>
      <c r="AK3" s="46"/>
      <c r="AL3" s="46"/>
      <c r="AM3" s="46"/>
    </row>
    <row r="4" spans="2:39" x14ac:dyDescent="0.25">
      <c r="B4" s="11" t="s">
        <v>59</v>
      </c>
      <c r="U4" s="48">
        <v>3</v>
      </c>
      <c r="V4" s="48">
        <v>1.0656155426076932</v>
      </c>
      <c r="W4" s="81"/>
      <c r="X4" s="46"/>
      <c r="Y4" s="46"/>
      <c r="Z4" s="46"/>
      <c r="AA4" s="46"/>
      <c r="AB4" s="46"/>
      <c r="AC4" s="46"/>
      <c r="AD4" s="46"/>
      <c r="AE4" s="48"/>
      <c r="AF4" s="48"/>
      <c r="AG4" s="46"/>
      <c r="AH4" s="46"/>
      <c r="AI4" s="46"/>
      <c r="AJ4" s="46"/>
      <c r="AK4" s="46"/>
      <c r="AL4" s="46"/>
      <c r="AM4" s="46"/>
    </row>
    <row r="5" spans="2:39" x14ac:dyDescent="0.25">
      <c r="U5" s="11">
        <v>4</v>
      </c>
      <c r="V5" s="48">
        <v>1.0503962624464953</v>
      </c>
      <c r="W5" s="81"/>
      <c r="X5" s="46"/>
      <c r="Y5" s="46"/>
      <c r="Z5" s="46"/>
      <c r="AA5" s="46"/>
      <c r="AB5" s="46"/>
      <c r="AC5" s="46"/>
      <c r="AD5" s="46"/>
      <c r="AE5" s="48"/>
      <c r="AF5" s="48"/>
      <c r="AG5" s="46"/>
      <c r="AH5" s="46"/>
      <c r="AI5" s="46"/>
      <c r="AJ5" s="46"/>
      <c r="AK5" s="46"/>
      <c r="AL5" s="46"/>
      <c r="AM5" s="46"/>
    </row>
    <row r="6" spans="2:39" x14ac:dyDescent="0.25">
      <c r="B6" s="11" t="s">
        <v>99</v>
      </c>
      <c r="U6" s="48">
        <v>5</v>
      </c>
      <c r="V6" s="48">
        <v>1.0326920316722401</v>
      </c>
      <c r="W6" s="81"/>
      <c r="X6" s="46"/>
      <c r="Y6" s="46"/>
      <c r="Z6" s="46"/>
      <c r="AA6" s="46"/>
      <c r="AB6" s="46"/>
      <c r="AC6" s="46"/>
      <c r="AD6" s="46"/>
      <c r="AE6" s="48"/>
      <c r="AF6" s="48"/>
      <c r="AG6" s="46"/>
      <c r="AH6" s="46"/>
      <c r="AI6" s="46"/>
      <c r="AJ6" s="46"/>
      <c r="AK6" s="46"/>
      <c r="AL6" s="46"/>
      <c r="AM6" s="46"/>
    </row>
    <row r="7" spans="2:39" x14ac:dyDescent="0.25">
      <c r="B7" s="11" t="s">
        <v>100</v>
      </c>
      <c r="U7" s="48">
        <v>6</v>
      </c>
      <c r="V7" s="48">
        <v>1.0124757877144575</v>
      </c>
      <c r="W7" s="81"/>
      <c r="X7" s="46"/>
      <c r="Y7" s="46"/>
      <c r="Z7" s="46"/>
      <c r="AA7" s="46"/>
      <c r="AB7" s="46"/>
      <c r="AC7" s="46"/>
      <c r="AD7" s="46"/>
      <c r="AE7" s="48"/>
      <c r="AF7" s="48"/>
      <c r="AG7" s="46"/>
      <c r="AH7" s="46"/>
      <c r="AI7" s="46"/>
      <c r="AJ7" s="46"/>
      <c r="AK7" s="46"/>
      <c r="AL7" s="46"/>
      <c r="AM7" s="46"/>
    </row>
    <row r="8" spans="2:39" x14ac:dyDescent="0.25">
      <c r="U8" s="11">
        <v>7</v>
      </c>
      <c r="V8" s="46">
        <v>0.99573998601481328</v>
      </c>
      <c r="W8" s="81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</row>
    <row r="9" spans="2:39" x14ac:dyDescent="0.25">
      <c r="B9" s="49" t="s">
        <v>60</v>
      </c>
      <c r="U9" s="48">
        <v>8</v>
      </c>
      <c r="V9" s="46">
        <v>0.97441023031193863</v>
      </c>
      <c r="W9" s="81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spans="2:39" x14ac:dyDescent="0.25">
      <c r="B10" s="11" t="s">
        <v>61</v>
      </c>
      <c r="U10" s="48">
        <v>9</v>
      </c>
      <c r="V10" s="46">
        <v>0.95191074084882243</v>
      </c>
      <c r="W10" s="8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spans="2:39" x14ac:dyDescent="0.25">
      <c r="B11" s="11" t="s">
        <v>62</v>
      </c>
      <c r="U11" s="11">
        <v>10</v>
      </c>
      <c r="V11" s="50">
        <v>0.92813996368053642</v>
      </c>
      <c r="W11" s="81"/>
      <c r="X11" s="50"/>
      <c r="Y11" s="50"/>
      <c r="Z11" s="46"/>
      <c r="AA11" s="46"/>
      <c r="AB11" s="46"/>
      <c r="AC11" s="46"/>
      <c r="AD11" s="46"/>
      <c r="AE11" s="50"/>
      <c r="AF11" s="50"/>
      <c r="AG11" s="50"/>
      <c r="AH11" s="50"/>
      <c r="AI11" s="50"/>
      <c r="AJ11" s="50"/>
      <c r="AK11" s="46"/>
      <c r="AL11" s="46"/>
      <c r="AM11" s="46"/>
    </row>
    <row r="12" spans="2:39" x14ac:dyDescent="0.25">
      <c r="B12" s="11" t="s">
        <v>63</v>
      </c>
      <c r="U12" s="48">
        <v>11</v>
      </c>
      <c r="V12" s="48">
        <v>0.90381884651455902</v>
      </c>
      <c r="W12" s="81"/>
      <c r="X12" s="48"/>
      <c r="Y12" s="48"/>
      <c r="Z12" s="46"/>
      <c r="AA12" s="46"/>
      <c r="AB12" s="46"/>
      <c r="AC12" s="46"/>
      <c r="AD12" s="46"/>
      <c r="AE12" s="48"/>
      <c r="AF12" s="48"/>
      <c r="AG12" s="48"/>
      <c r="AH12" s="48"/>
      <c r="AI12" s="48"/>
      <c r="AJ12" s="48"/>
      <c r="AK12" s="46"/>
      <c r="AL12" s="46"/>
      <c r="AM12" s="46"/>
    </row>
    <row r="13" spans="2:39" x14ac:dyDescent="0.25">
      <c r="B13" s="11" t="s">
        <v>64</v>
      </c>
      <c r="U13" s="48">
        <v>12</v>
      </c>
      <c r="V13" s="48">
        <v>0.88987160000967669</v>
      </c>
      <c r="W13" s="81"/>
      <c r="X13" s="48"/>
      <c r="Y13" s="48"/>
      <c r="Z13" s="46"/>
      <c r="AA13" s="46"/>
      <c r="AB13" s="46"/>
      <c r="AC13" s="46"/>
      <c r="AD13" s="46"/>
      <c r="AE13" s="48"/>
      <c r="AF13" s="48"/>
      <c r="AG13" s="48"/>
      <c r="AH13" s="48"/>
      <c r="AI13" s="48"/>
      <c r="AJ13" s="48"/>
      <c r="AK13" s="46"/>
      <c r="AL13" s="46"/>
      <c r="AM13" s="46"/>
    </row>
    <row r="14" spans="2:39" ht="33.75" customHeight="1" thickBot="1" x14ac:dyDescent="0.3">
      <c r="B14" s="129" t="s">
        <v>113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U14" s="11">
        <v>13</v>
      </c>
      <c r="V14" s="48">
        <v>0.86612591949577977</v>
      </c>
      <c r="W14" s="82"/>
      <c r="X14" s="48"/>
      <c r="Y14" s="48"/>
      <c r="Z14" s="46"/>
      <c r="AA14" s="46"/>
      <c r="AB14" s="46"/>
      <c r="AC14" s="46"/>
      <c r="AD14" s="46"/>
      <c r="AE14" s="48"/>
      <c r="AF14" s="48"/>
      <c r="AG14" s="48"/>
      <c r="AH14" s="48"/>
      <c r="AI14" s="48"/>
      <c r="AJ14" s="48"/>
      <c r="AK14" s="46"/>
      <c r="AL14" s="46"/>
      <c r="AM14" s="46"/>
    </row>
    <row r="15" spans="2:39" x14ac:dyDescent="0.25">
      <c r="B15" s="11" t="s">
        <v>101</v>
      </c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</row>
    <row r="16" spans="2:39" x14ac:dyDescent="0.25">
      <c r="B16" s="11" t="s">
        <v>65</v>
      </c>
      <c r="U16" s="50"/>
      <c r="V16" s="50"/>
      <c r="W16" s="50"/>
      <c r="X16" s="50"/>
      <c r="Y16" s="50"/>
      <c r="Z16" s="50"/>
      <c r="AA16" s="50"/>
      <c r="AB16" s="50"/>
      <c r="AC16" s="46"/>
      <c r="AD16" s="46"/>
      <c r="AE16" s="50"/>
      <c r="AF16" s="50"/>
      <c r="AG16" s="50"/>
      <c r="AH16" s="50"/>
      <c r="AI16" s="50"/>
      <c r="AJ16" s="50"/>
      <c r="AK16" s="50"/>
      <c r="AL16" s="50"/>
      <c r="AM16" s="50"/>
    </row>
    <row r="17" spans="2:39" x14ac:dyDescent="0.25">
      <c r="U17" s="48"/>
      <c r="V17" s="48"/>
      <c r="W17" s="48"/>
      <c r="X17" s="48"/>
      <c r="Y17" s="48"/>
      <c r="Z17" s="48"/>
      <c r="AA17" s="48"/>
      <c r="AB17" s="48"/>
      <c r="AC17" s="46"/>
      <c r="AD17" s="46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2:39" ht="15.75" thickBot="1" x14ac:dyDescent="0.3">
      <c r="B18" s="49" t="s">
        <v>66</v>
      </c>
      <c r="E18" s="51" t="s">
        <v>8</v>
      </c>
      <c r="G18" s="130" t="s">
        <v>67</v>
      </c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U18" s="48"/>
      <c r="V18" s="48"/>
      <c r="W18" s="48"/>
      <c r="X18" s="48"/>
      <c r="Y18" s="48"/>
      <c r="Z18" s="48"/>
      <c r="AA18" s="48"/>
      <c r="AB18" s="48"/>
      <c r="AC18" s="46"/>
      <c r="AD18" s="52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2:39" x14ac:dyDescent="0.25">
      <c r="B19" s="53" t="s">
        <v>68</v>
      </c>
      <c r="C19" s="54" t="s">
        <v>69</v>
      </c>
      <c r="D19" s="54" t="s">
        <v>70</v>
      </c>
      <c r="E19" s="55" t="s">
        <v>4</v>
      </c>
      <c r="G19" s="53">
        <v>1</v>
      </c>
      <c r="H19" s="56">
        <v>2</v>
      </c>
      <c r="I19" s="56">
        <v>3</v>
      </c>
      <c r="J19" s="56">
        <v>4</v>
      </c>
      <c r="K19" s="56">
        <v>5</v>
      </c>
      <c r="L19" s="56">
        <v>6</v>
      </c>
      <c r="M19" s="56">
        <v>7</v>
      </c>
      <c r="N19" s="56">
        <v>8</v>
      </c>
      <c r="O19" s="56">
        <v>9</v>
      </c>
      <c r="P19" s="56">
        <v>10</v>
      </c>
      <c r="Q19" s="56">
        <v>11</v>
      </c>
      <c r="R19" s="56">
        <v>12</v>
      </c>
      <c r="S19" s="57">
        <v>13</v>
      </c>
      <c r="U19" s="48"/>
      <c r="V19" s="48"/>
      <c r="W19" s="48"/>
      <c r="X19" s="48"/>
      <c r="Y19" s="48"/>
    </row>
    <row r="20" spans="2:39" x14ac:dyDescent="0.25">
      <c r="B20" s="58">
        <v>1</v>
      </c>
      <c r="C20" s="59">
        <v>0.37</v>
      </c>
      <c r="D20" s="60">
        <v>1</v>
      </c>
      <c r="E20" s="61">
        <v>100.28</v>
      </c>
      <c r="F20" s="18">
        <v>1</v>
      </c>
      <c r="G20" s="62">
        <f>100+$C20</f>
        <v>100.37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4">
        <v>0</v>
      </c>
      <c r="U20" s="48"/>
      <c r="V20" s="48"/>
      <c r="W20" s="48"/>
      <c r="X20" s="48"/>
      <c r="Y20" s="48"/>
    </row>
    <row r="21" spans="2:39" x14ac:dyDescent="0.25">
      <c r="B21" s="65">
        <v>2</v>
      </c>
      <c r="C21" s="66">
        <v>3.7800000000000002</v>
      </c>
      <c r="D21" s="67">
        <v>1</v>
      </c>
      <c r="E21" s="68">
        <v>103.86</v>
      </c>
      <c r="F21" s="18">
        <v>1</v>
      </c>
      <c r="G21" s="62">
        <f t="shared" ref="G21:G29" si="0">100+$C21</f>
        <v>103.78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4">
        <v>0</v>
      </c>
      <c r="U21" s="48"/>
      <c r="V21" s="48"/>
      <c r="W21" s="48"/>
      <c r="X21" s="48"/>
      <c r="Y21" s="48"/>
    </row>
    <row r="22" spans="2:39" x14ac:dyDescent="0.25">
      <c r="B22" s="65">
        <v>3</v>
      </c>
      <c r="C22" s="66">
        <v>0.82000000000000006</v>
      </c>
      <c r="D22" s="67">
        <v>1</v>
      </c>
      <c r="E22" s="68">
        <v>100.76</v>
      </c>
      <c r="F22" s="18">
        <f>F21</f>
        <v>1</v>
      </c>
      <c r="G22" s="62">
        <f t="shared" si="0"/>
        <v>100.82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4">
        <v>0</v>
      </c>
      <c r="U22" s="46"/>
      <c r="V22" s="46"/>
      <c r="W22" s="48"/>
      <c r="X22" s="48"/>
      <c r="Y22" s="46"/>
    </row>
    <row r="23" spans="2:39" x14ac:dyDescent="0.25">
      <c r="B23" s="65">
        <v>4</v>
      </c>
      <c r="C23" s="66">
        <v>0.43</v>
      </c>
      <c r="D23" s="67">
        <v>1</v>
      </c>
      <c r="E23" s="68">
        <v>100.3</v>
      </c>
      <c r="F23" s="18">
        <f t="shared" ref="F23:F69" si="1">F22</f>
        <v>1</v>
      </c>
      <c r="G23" s="62">
        <f t="shared" si="0"/>
        <v>100.43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4">
        <v>0</v>
      </c>
      <c r="U23" s="46"/>
      <c r="V23" s="46"/>
      <c r="W23" s="48"/>
      <c r="X23" s="48"/>
      <c r="Y23" s="46"/>
    </row>
    <row r="24" spans="2:39" x14ac:dyDescent="0.25">
      <c r="B24" s="65">
        <v>5</v>
      </c>
      <c r="C24" s="66">
        <v>0.55000000000000004</v>
      </c>
      <c r="D24" s="67">
        <v>1</v>
      </c>
      <c r="E24" s="68">
        <v>100.44</v>
      </c>
      <c r="F24" s="18">
        <f t="shared" si="1"/>
        <v>1</v>
      </c>
      <c r="G24" s="62">
        <f t="shared" si="0"/>
        <v>100.55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4">
        <v>0</v>
      </c>
      <c r="U24" s="46"/>
      <c r="V24" s="46"/>
      <c r="W24" s="48"/>
      <c r="X24" s="48"/>
      <c r="Y24" s="46"/>
    </row>
    <row r="25" spans="2:39" x14ac:dyDescent="0.25">
      <c r="B25" s="65">
        <v>6</v>
      </c>
      <c r="C25" s="66">
        <v>0.46</v>
      </c>
      <c r="D25" s="67">
        <v>1</v>
      </c>
      <c r="E25" s="68">
        <v>100.25</v>
      </c>
      <c r="F25" s="18">
        <f t="shared" si="1"/>
        <v>1</v>
      </c>
      <c r="G25" s="62">
        <f t="shared" si="0"/>
        <v>100.46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4">
        <v>0</v>
      </c>
      <c r="U25" s="46"/>
      <c r="V25" s="46"/>
      <c r="W25" s="48"/>
      <c r="X25" s="48"/>
      <c r="Y25" s="46"/>
    </row>
    <row r="26" spans="2:39" x14ac:dyDescent="0.25">
      <c r="B26" s="65">
        <v>7</v>
      </c>
      <c r="C26" s="66">
        <v>0.44</v>
      </c>
      <c r="D26" s="67">
        <v>1</v>
      </c>
      <c r="E26" s="68">
        <v>100.18</v>
      </c>
      <c r="F26" s="18">
        <f t="shared" si="1"/>
        <v>1</v>
      </c>
      <c r="G26" s="62">
        <f t="shared" si="0"/>
        <v>100.44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4">
        <v>0</v>
      </c>
      <c r="U26" s="46"/>
      <c r="V26" s="46"/>
      <c r="W26" s="48"/>
      <c r="X26" s="48"/>
      <c r="Y26" s="46"/>
    </row>
    <row r="27" spans="2:39" x14ac:dyDescent="0.25">
      <c r="B27" s="65">
        <v>8</v>
      </c>
      <c r="C27" s="66">
        <v>4.8500000000000005</v>
      </c>
      <c r="D27" s="67">
        <v>1</v>
      </c>
      <c r="E27" s="68">
        <v>107.24000000000001</v>
      </c>
      <c r="F27" s="18">
        <f t="shared" si="1"/>
        <v>1</v>
      </c>
      <c r="G27" s="62">
        <f t="shared" si="0"/>
        <v>104.85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4">
        <v>0</v>
      </c>
      <c r="U27" s="46"/>
      <c r="V27" s="46"/>
      <c r="W27" s="48"/>
      <c r="X27" s="48"/>
      <c r="Y27" s="46"/>
    </row>
    <row r="28" spans="2:39" x14ac:dyDescent="0.25">
      <c r="B28" s="65">
        <v>9</v>
      </c>
      <c r="C28" s="66">
        <v>0.46</v>
      </c>
      <c r="D28" s="67">
        <v>1</v>
      </c>
      <c r="E28" s="68">
        <v>100.11</v>
      </c>
      <c r="F28" s="18">
        <f t="shared" si="1"/>
        <v>1</v>
      </c>
      <c r="G28" s="62">
        <f t="shared" si="0"/>
        <v>100.46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4">
        <v>0</v>
      </c>
      <c r="U28" s="46"/>
      <c r="V28" s="46"/>
      <c r="W28" s="48"/>
      <c r="X28" s="48"/>
      <c r="Y28" s="46"/>
    </row>
    <row r="29" spans="2:39" x14ac:dyDescent="0.25">
      <c r="B29" s="65">
        <v>10</v>
      </c>
      <c r="C29" s="66">
        <v>0.25</v>
      </c>
      <c r="D29" s="67">
        <v>1</v>
      </c>
      <c r="E29" s="68">
        <v>99.68</v>
      </c>
      <c r="F29" s="18">
        <f t="shared" si="1"/>
        <v>1</v>
      </c>
      <c r="G29" s="62">
        <f t="shared" si="0"/>
        <v>100.25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4">
        <v>0</v>
      </c>
      <c r="U29" s="46"/>
      <c r="V29" s="46"/>
      <c r="W29" s="48"/>
      <c r="X29" s="48"/>
      <c r="Y29" s="46"/>
    </row>
    <row r="30" spans="2:39" x14ac:dyDescent="0.25">
      <c r="B30" s="65">
        <v>11</v>
      </c>
      <c r="C30" s="66">
        <v>0.42</v>
      </c>
      <c r="D30" s="67">
        <v>2</v>
      </c>
      <c r="E30" s="68">
        <v>99.850000000000009</v>
      </c>
      <c r="F30" s="18">
        <f t="shared" si="1"/>
        <v>1</v>
      </c>
      <c r="G30" s="62">
        <f t="shared" ref="G30:R69" si="2">$C30</f>
        <v>0.42</v>
      </c>
      <c r="H30" s="63">
        <f>100+$C30</f>
        <v>100.42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4">
        <v>0</v>
      </c>
      <c r="U30" s="46"/>
      <c r="V30" s="46"/>
      <c r="W30" s="48"/>
      <c r="X30" s="48"/>
      <c r="Y30" s="46"/>
    </row>
    <row r="31" spans="2:39" x14ac:dyDescent="0.25">
      <c r="B31" s="65">
        <v>12</v>
      </c>
      <c r="C31" s="66">
        <v>3.52</v>
      </c>
      <c r="D31" s="67">
        <v>2</v>
      </c>
      <c r="E31" s="68">
        <v>106.14</v>
      </c>
      <c r="F31" s="18">
        <f t="shared" si="1"/>
        <v>1</v>
      </c>
      <c r="G31" s="62">
        <f t="shared" si="2"/>
        <v>3.52</v>
      </c>
      <c r="H31" s="63">
        <f t="shared" ref="H31:H36" si="3">100+$C31</f>
        <v>103.52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4">
        <v>0</v>
      </c>
      <c r="U31" s="46"/>
      <c r="V31" s="46"/>
      <c r="W31" s="48"/>
      <c r="X31" s="48"/>
      <c r="Y31" s="46"/>
    </row>
    <row r="32" spans="2:39" x14ac:dyDescent="0.25">
      <c r="B32" s="65">
        <v>13</v>
      </c>
      <c r="C32" s="66">
        <v>0.27</v>
      </c>
      <c r="D32" s="67">
        <v>2</v>
      </c>
      <c r="E32" s="68">
        <v>99.490000000000009</v>
      </c>
      <c r="F32" s="18">
        <f t="shared" si="1"/>
        <v>1</v>
      </c>
      <c r="G32" s="62">
        <f t="shared" si="2"/>
        <v>0.27</v>
      </c>
      <c r="H32" s="63">
        <f t="shared" si="3"/>
        <v>100.27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4">
        <v>0</v>
      </c>
      <c r="U32" s="46"/>
      <c r="V32" s="46"/>
      <c r="W32" s="48"/>
      <c r="X32" s="48"/>
      <c r="Y32" s="46"/>
    </row>
    <row r="33" spans="2:25" x14ac:dyDescent="0.25">
      <c r="B33" s="65">
        <v>14</v>
      </c>
      <c r="C33" s="66">
        <v>0.53</v>
      </c>
      <c r="D33" s="67">
        <v>2</v>
      </c>
      <c r="E33" s="68">
        <v>99.87</v>
      </c>
      <c r="F33" s="18">
        <f t="shared" si="1"/>
        <v>1</v>
      </c>
      <c r="G33" s="62">
        <f t="shared" si="2"/>
        <v>0.53</v>
      </c>
      <c r="H33" s="63">
        <f t="shared" si="3"/>
        <v>100.53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4">
        <v>0</v>
      </c>
      <c r="U33" s="46"/>
      <c r="V33" s="46"/>
      <c r="W33" s="48"/>
      <c r="X33" s="48"/>
      <c r="Y33" s="46"/>
    </row>
    <row r="34" spans="2:25" x14ac:dyDescent="0.25">
      <c r="B34" s="65">
        <v>15</v>
      </c>
      <c r="C34" s="66">
        <v>0.79</v>
      </c>
      <c r="D34" s="67">
        <v>2</v>
      </c>
      <c r="E34" s="68">
        <v>100.35000000000001</v>
      </c>
      <c r="F34" s="18">
        <f t="shared" si="1"/>
        <v>1</v>
      </c>
      <c r="G34" s="62">
        <f t="shared" si="2"/>
        <v>0.79</v>
      </c>
      <c r="H34" s="63">
        <f t="shared" si="3"/>
        <v>100.79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4">
        <v>0</v>
      </c>
      <c r="U34" s="46"/>
      <c r="V34" s="46"/>
      <c r="W34" s="48"/>
      <c r="X34" s="48"/>
      <c r="Y34" s="46"/>
    </row>
    <row r="35" spans="2:25" x14ac:dyDescent="0.25">
      <c r="B35" s="65">
        <v>16</v>
      </c>
      <c r="C35" s="66">
        <v>3.56</v>
      </c>
      <c r="D35" s="67">
        <v>2</v>
      </c>
      <c r="E35" s="68">
        <v>107.47</v>
      </c>
      <c r="F35" s="18">
        <f t="shared" si="1"/>
        <v>1</v>
      </c>
      <c r="G35" s="62">
        <f t="shared" si="2"/>
        <v>3.56</v>
      </c>
      <c r="H35" s="63">
        <f t="shared" si="3"/>
        <v>103.56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4">
        <v>0</v>
      </c>
      <c r="U35" s="46"/>
      <c r="V35" s="46"/>
      <c r="W35" s="48"/>
      <c r="X35" s="48"/>
      <c r="Y35" s="46"/>
    </row>
    <row r="36" spans="2:25" x14ac:dyDescent="0.25">
      <c r="B36" s="65">
        <v>17</v>
      </c>
      <c r="C36" s="66">
        <v>1.52</v>
      </c>
      <c r="D36" s="67">
        <v>2</v>
      </c>
      <c r="E36" s="68">
        <v>102.23</v>
      </c>
      <c r="F36" s="18">
        <f t="shared" si="1"/>
        <v>1</v>
      </c>
      <c r="G36" s="62">
        <f t="shared" si="2"/>
        <v>1.52</v>
      </c>
      <c r="H36" s="63">
        <f t="shared" si="3"/>
        <v>101.52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4">
        <v>0</v>
      </c>
      <c r="U36" s="46"/>
      <c r="V36" s="46"/>
      <c r="W36" s="48"/>
      <c r="X36" s="48"/>
      <c r="Y36" s="46"/>
    </row>
    <row r="37" spans="2:25" x14ac:dyDescent="0.25">
      <c r="B37" s="65">
        <v>18</v>
      </c>
      <c r="C37" s="66">
        <v>1.61</v>
      </c>
      <c r="D37" s="67">
        <v>3</v>
      </c>
      <c r="E37" s="68">
        <v>102.53</v>
      </c>
      <c r="F37" s="18">
        <f t="shared" si="1"/>
        <v>1</v>
      </c>
      <c r="G37" s="62">
        <f t="shared" si="2"/>
        <v>1.61</v>
      </c>
      <c r="H37" s="63">
        <f t="shared" si="2"/>
        <v>1.61</v>
      </c>
      <c r="I37" s="63">
        <f t="shared" ref="I37:I42" si="4">100+C37</f>
        <v>101.61</v>
      </c>
      <c r="J37" s="70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4">
        <v>0</v>
      </c>
      <c r="U37" s="46"/>
      <c r="V37" s="46"/>
      <c r="W37" s="48"/>
      <c r="X37" s="48"/>
      <c r="Y37" s="46"/>
    </row>
    <row r="38" spans="2:25" x14ac:dyDescent="0.25">
      <c r="B38" s="65">
        <v>19</v>
      </c>
      <c r="C38" s="66">
        <v>1.17</v>
      </c>
      <c r="D38" s="67">
        <v>3</v>
      </c>
      <c r="E38" s="68">
        <v>101.19</v>
      </c>
      <c r="F38" s="18">
        <f t="shared" si="1"/>
        <v>1</v>
      </c>
      <c r="G38" s="62">
        <f t="shared" si="2"/>
        <v>1.17</v>
      </c>
      <c r="H38" s="63">
        <f t="shared" si="2"/>
        <v>1.17</v>
      </c>
      <c r="I38" s="63">
        <f t="shared" si="4"/>
        <v>101.17</v>
      </c>
      <c r="J38" s="70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4">
        <v>0</v>
      </c>
      <c r="U38" s="46"/>
      <c r="V38" s="46"/>
      <c r="W38" s="48"/>
      <c r="X38" s="48"/>
      <c r="Y38" s="46"/>
    </row>
    <row r="39" spans="2:25" x14ac:dyDescent="0.25">
      <c r="B39" s="65">
        <v>20</v>
      </c>
      <c r="C39" s="66">
        <v>1.35</v>
      </c>
      <c r="D39" s="67">
        <v>3</v>
      </c>
      <c r="E39" s="68">
        <v>101.7</v>
      </c>
      <c r="F39" s="18">
        <f t="shared" si="1"/>
        <v>1</v>
      </c>
      <c r="G39" s="62">
        <f t="shared" si="2"/>
        <v>1.35</v>
      </c>
      <c r="H39" s="63">
        <f t="shared" si="2"/>
        <v>1.35</v>
      </c>
      <c r="I39" s="63">
        <f t="shared" si="4"/>
        <v>101.35</v>
      </c>
      <c r="J39" s="70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4">
        <v>0</v>
      </c>
      <c r="U39" s="46"/>
      <c r="V39" s="46"/>
      <c r="W39" s="48"/>
      <c r="X39" s="48"/>
      <c r="Y39" s="46"/>
    </row>
    <row r="40" spans="2:25" x14ac:dyDescent="0.25">
      <c r="B40" s="65">
        <v>21</v>
      </c>
      <c r="C40" s="66">
        <v>2.64</v>
      </c>
      <c r="D40" s="67">
        <v>3</v>
      </c>
      <c r="E40" s="68">
        <v>106.16</v>
      </c>
      <c r="F40" s="18">
        <f t="shared" si="1"/>
        <v>1</v>
      </c>
      <c r="G40" s="62">
        <f t="shared" si="2"/>
        <v>2.64</v>
      </c>
      <c r="H40" s="63">
        <f t="shared" si="2"/>
        <v>2.64</v>
      </c>
      <c r="I40" s="63">
        <f t="shared" si="4"/>
        <v>102.64</v>
      </c>
      <c r="J40" s="70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4">
        <v>0</v>
      </c>
      <c r="U40" s="46"/>
      <c r="V40" s="46"/>
      <c r="W40" s="48"/>
      <c r="X40" s="48"/>
      <c r="Y40" s="46"/>
    </row>
    <row r="41" spans="2:25" x14ac:dyDescent="0.25">
      <c r="B41" s="65">
        <v>22</v>
      </c>
      <c r="C41" s="66">
        <v>1.34</v>
      </c>
      <c r="D41" s="67">
        <v>3</v>
      </c>
      <c r="E41" s="68">
        <v>101.60000000000001</v>
      </c>
      <c r="F41" s="18">
        <f t="shared" si="1"/>
        <v>1</v>
      </c>
      <c r="G41" s="62">
        <f t="shared" si="2"/>
        <v>1.34</v>
      </c>
      <c r="H41" s="63">
        <f t="shared" si="2"/>
        <v>1.34</v>
      </c>
      <c r="I41" s="63">
        <f t="shared" si="4"/>
        <v>101.34</v>
      </c>
      <c r="J41" s="70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4">
        <v>0</v>
      </c>
      <c r="U41" s="46"/>
      <c r="V41" s="46"/>
      <c r="W41" s="48"/>
      <c r="X41" s="48"/>
      <c r="Y41" s="46"/>
    </row>
    <row r="42" spans="2:25" x14ac:dyDescent="0.25">
      <c r="B42" s="65">
        <v>23</v>
      </c>
      <c r="C42" s="66">
        <v>1.49</v>
      </c>
      <c r="D42" s="67">
        <v>3</v>
      </c>
      <c r="E42" s="68">
        <v>102.07000000000001</v>
      </c>
      <c r="F42" s="18">
        <f t="shared" si="1"/>
        <v>1</v>
      </c>
      <c r="G42" s="62">
        <f t="shared" si="2"/>
        <v>1.49</v>
      </c>
      <c r="H42" s="63">
        <f t="shared" si="2"/>
        <v>1.49</v>
      </c>
      <c r="I42" s="63">
        <f t="shared" si="4"/>
        <v>101.49</v>
      </c>
      <c r="J42" s="70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4">
        <v>0</v>
      </c>
      <c r="U42" s="46"/>
      <c r="V42" s="46"/>
      <c r="W42" s="48"/>
      <c r="X42" s="48"/>
      <c r="Y42" s="46"/>
    </row>
    <row r="43" spans="2:25" x14ac:dyDescent="0.25">
      <c r="B43" s="65">
        <v>24</v>
      </c>
      <c r="C43" s="66">
        <v>2.16</v>
      </c>
      <c r="D43" s="67">
        <v>4</v>
      </c>
      <c r="E43" s="68">
        <v>104.67</v>
      </c>
      <c r="F43" s="18">
        <f t="shared" si="1"/>
        <v>1</v>
      </c>
      <c r="G43" s="62">
        <f t="shared" si="2"/>
        <v>2.16</v>
      </c>
      <c r="H43" s="63">
        <f t="shared" si="2"/>
        <v>2.16</v>
      </c>
      <c r="I43" s="63">
        <f t="shared" si="2"/>
        <v>2.16</v>
      </c>
      <c r="J43" s="63">
        <f>100+C43</f>
        <v>102.16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4">
        <v>0</v>
      </c>
      <c r="U43" s="46"/>
      <c r="V43" s="46"/>
      <c r="W43" s="48"/>
      <c r="X43" s="48"/>
      <c r="Y43" s="46"/>
    </row>
    <row r="44" spans="2:25" x14ac:dyDescent="0.25">
      <c r="B44" s="65">
        <v>25</v>
      </c>
      <c r="C44" s="66">
        <v>1.32</v>
      </c>
      <c r="D44" s="67">
        <v>4</v>
      </c>
      <c r="E44" s="68">
        <v>101.31</v>
      </c>
      <c r="F44" s="18">
        <f t="shared" si="1"/>
        <v>1</v>
      </c>
      <c r="G44" s="62">
        <f t="shared" si="2"/>
        <v>1.32</v>
      </c>
      <c r="H44" s="63">
        <f t="shared" si="2"/>
        <v>1.32</v>
      </c>
      <c r="I44" s="63">
        <f t="shared" si="2"/>
        <v>1.32</v>
      </c>
      <c r="J44" s="63">
        <f>100+C44</f>
        <v>101.32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4">
        <v>0</v>
      </c>
      <c r="U44" s="46"/>
      <c r="V44" s="46"/>
      <c r="W44" s="48"/>
      <c r="X44" s="48"/>
      <c r="Y44" s="46"/>
    </row>
    <row r="45" spans="2:25" x14ac:dyDescent="0.25">
      <c r="B45" s="65">
        <v>26</v>
      </c>
      <c r="C45" s="66">
        <v>2.5300000000000002</v>
      </c>
      <c r="D45" s="67">
        <v>4</v>
      </c>
      <c r="E45" s="68">
        <v>106.41</v>
      </c>
      <c r="F45" s="18">
        <f t="shared" si="1"/>
        <v>1</v>
      </c>
      <c r="G45" s="62">
        <f t="shared" si="2"/>
        <v>2.5300000000000002</v>
      </c>
      <c r="H45" s="63">
        <f t="shared" si="2"/>
        <v>2.5300000000000002</v>
      </c>
      <c r="I45" s="63">
        <f t="shared" si="2"/>
        <v>2.5300000000000002</v>
      </c>
      <c r="J45" s="63">
        <f>100+C45</f>
        <v>102.53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4">
        <v>0</v>
      </c>
      <c r="U45" s="46"/>
      <c r="V45" s="46"/>
      <c r="W45" s="48"/>
      <c r="X45" s="48"/>
      <c r="Y45" s="46"/>
    </row>
    <row r="46" spans="2:25" x14ac:dyDescent="0.25">
      <c r="B46" s="65">
        <v>27</v>
      </c>
      <c r="C46" s="66">
        <v>2.44</v>
      </c>
      <c r="D46" s="67">
        <v>5</v>
      </c>
      <c r="E46" s="68">
        <v>106.3</v>
      </c>
      <c r="F46" s="18">
        <f t="shared" si="1"/>
        <v>1</v>
      </c>
      <c r="G46" s="62">
        <f t="shared" si="2"/>
        <v>2.44</v>
      </c>
      <c r="H46" s="63">
        <f t="shared" si="2"/>
        <v>2.44</v>
      </c>
      <c r="I46" s="63">
        <f t="shared" si="2"/>
        <v>2.44</v>
      </c>
      <c r="J46" s="63">
        <f t="shared" si="2"/>
        <v>2.44</v>
      </c>
      <c r="K46" s="63">
        <f>100+C46</f>
        <v>102.44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4">
        <v>0</v>
      </c>
      <c r="U46" s="46"/>
      <c r="V46" s="46"/>
      <c r="W46" s="48"/>
      <c r="X46" s="48"/>
      <c r="Y46" s="46"/>
    </row>
    <row r="47" spans="2:25" x14ac:dyDescent="0.25">
      <c r="B47" s="65">
        <v>28</v>
      </c>
      <c r="C47" s="66">
        <v>2.31</v>
      </c>
      <c r="D47" s="67">
        <v>5</v>
      </c>
      <c r="E47" s="68">
        <v>105.87</v>
      </c>
      <c r="F47" s="18">
        <f t="shared" si="1"/>
        <v>1</v>
      </c>
      <c r="G47" s="62">
        <f t="shared" si="2"/>
        <v>2.31</v>
      </c>
      <c r="H47" s="63">
        <f t="shared" si="2"/>
        <v>2.31</v>
      </c>
      <c r="I47" s="63">
        <f t="shared" si="2"/>
        <v>2.31</v>
      </c>
      <c r="J47" s="63">
        <f t="shared" si="2"/>
        <v>2.31</v>
      </c>
      <c r="K47" s="63">
        <f>100+C47</f>
        <v>102.31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4">
        <v>0</v>
      </c>
      <c r="U47" s="46"/>
      <c r="V47" s="46"/>
      <c r="W47" s="48"/>
      <c r="X47" s="48"/>
      <c r="Y47" s="46"/>
    </row>
    <row r="48" spans="2:25" x14ac:dyDescent="0.25">
      <c r="B48" s="65">
        <v>29</v>
      </c>
      <c r="C48" s="66">
        <v>1.19</v>
      </c>
      <c r="D48" s="67">
        <v>6</v>
      </c>
      <c r="E48" s="68">
        <v>99.490000000000009</v>
      </c>
      <c r="F48" s="18">
        <f t="shared" si="1"/>
        <v>1</v>
      </c>
      <c r="G48" s="62">
        <f t="shared" si="2"/>
        <v>1.19</v>
      </c>
      <c r="H48" s="63">
        <f t="shared" si="2"/>
        <v>1.19</v>
      </c>
      <c r="I48" s="63">
        <f t="shared" si="2"/>
        <v>1.19</v>
      </c>
      <c r="J48" s="63">
        <f t="shared" si="2"/>
        <v>1.19</v>
      </c>
      <c r="K48" s="63">
        <f t="shared" si="2"/>
        <v>1.19</v>
      </c>
      <c r="L48" s="63">
        <f>100+$C48</f>
        <v>101.19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4">
        <v>0</v>
      </c>
      <c r="U48" s="46"/>
      <c r="V48" s="46"/>
      <c r="W48" s="48"/>
      <c r="X48" s="48"/>
      <c r="Y48" s="46"/>
    </row>
    <row r="49" spans="2:39" x14ac:dyDescent="0.25">
      <c r="B49" s="65">
        <v>30</v>
      </c>
      <c r="C49" s="66">
        <v>0.97</v>
      </c>
      <c r="D49" s="67">
        <v>6</v>
      </c>
      <c r="E49" s="68">
        <v>97.64</v>
      </c>
      <c r="F49" s="18">
        <f t="shared" si="1"/>
        <v>1</v>
      </c>
      <c r="G49" s="62">
        <f t="shared" si="2"/>
        <v>0.97</v>
      </c>
      <c r="H49" s="63">
        <f t="shared" si="2"/>
        <v>0.97</v>
      </c>
      <c r="I49" s="63">
        <f t="shared" si="2"/>
        <v>0.97</v>
      </c>
      <c r="J49" s="63">
        <f t="shared" si="2"/>
        <v>0.97</v>
      </c>
      <c r="K49" s="63">
        <f t="shared" si="2"/>
        <v>0.97</v>
      </c>
      <c r="L49" s="63">
        <f>100+$C49</f>
        <v>100.97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4">
        <v>0</v>
      </c>
      <c r="U49" s="46"/>
      <c r="V49" s="46"/>
      <c r="W49" s="48"/>
      <c r="X49" s="48"/>
      <c r="Y49" s="46"/>
    </row>
    <row r="50" spans="2:39" x14ac:dyDescent="0.25">
      <c r="B50" s="65">
        <v>31</v>
      </c>
      <c r="C50" s="66">
        <v>4.6500000000000004</v>
      </c>
      <c r="D50" s="67">
        <v>6</v>
      </c>
      <c r="E50" s="68">
        <v>121.23</v>
      </c>
      <c r="F50" s="18">
        <f t="shared" si="1"/>
        <v>1</v>
      </c>
      <c r="G50" s="62">
        <f t="shared" si="2"/>
        <v>4.6500000000000004</v>
      </c>
      <c r="H50" s="63">
        <f t="shared" si="2"/>
        <v>4.6500000000000004</v>
      </c>
      <c r="I50" s="63">
        <f t="shared" si="2"/>
        <v>4.6500000000000004</v>
      </c>
      <c r="J50" s="63">
        <f t="shared" si="2"/>
        <v>4.6500000000000004</v>
      </c>
      <c r="K50" s="63">
        <f t="shared" si="2"/>
        <v>4.6500000000000004</v>
      </c>
      <c r="L50" s="63">
        <f>100+$C50</f>
        <v>104.65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4">
        <v>0</v>
      </c>
      <c r="U50" s="46"/>
      <c r="V50" s="46"/>
      <c r="W50" s="48"/>
      <c r="X50" s="48"/>
      <c r="Y50" s="46"/>
    </row>
    <row r="51" spans="2:39" x14ac:dyDescent="0.25">
      <c r="B51" s="65">
        <v>32</v>
      </c>
      <c r="C51" s="66">
        <v>0.55000000000000004</v>
      </c>
      <c r="D51" s="67">
        <v>7</v>
      </c>
      <c r="E51" s="68">
        <v>94.4</v>
      </c>
      <c r="F51" s="18">
        <f t="shared" si="1"/>
        <v>1</v>
      </c>
      <c r="G51" s="62">
        <f t="shared" si="2"/>
        <v>0.55000000000000004</v>
      </c>
      <c r="H51" s="63">
        <f t="shared" si="2"/>
        <v>0.55000000000000004</v>
      </c>
      <c r="I51" s="63">
        <f t="shared" si="2"/>
        <v>0.55000000000000004</v>
      </c>
      <c r="J51" s="63">
        <f t="shared" si="2"/>
        <v>0.55000000000000004</v>
      </c>
      <c r="K51" s="63">
        <f t="shared" si="2"/>
        <v>0.55000000000000004</v>
      </c>
      <c r="L51" s="63">
        <f t="shared" si="2"/>
        <v>0.55000000000000004</v>
      </c>
      <c r="M51" s="63">
        <f>100+$C51</f>
        <v>100.55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4">
        <v>0</v>
      </c>
      <c r="U51" s="46"/>
      <c r="V51" s="46"/>
      <c r="W51" s="48"/>
      <c r="X51" s="48"/>
      <c r="Y51" s="46"/>
    </row>
    <row r="52" spans="2:39" x14ac:dyDescent="0.25">
      <c r="B52" s="65">
        <v>33</v>
      </c>
      <c r="C52" s="66">
        <v>2.71</v>
      </c>
      <c r="D52" s="67">
        <v>7</v>
      </c>
      <c r="E52" s="68">
        <v>108.98</v>
      </c>
      <c r="F52" s="18">
        <f t="shared" si="1"/>
        <v>1</v>
      </c>
      <c r="G52" s="62">
        <f t="shared" si="2"/>
        <v>2.71</v>
      </c>
      <c r="H52" s="63">
        <f t="shared" si="2"/>
        <v>2.71</v>
      </c>
      <c r="I52" s="63">
        <f t="shared" si="2"/>
        <v>2.71</v>
      </c>
      <c r="J52" s="63">
        <f t="shared" si="2"/>
        <v>2.71</v>
      </c>
      <c r="K52" s="63">
        <f t="shared" si="2"/>
        <v>2.71</v>
      </c>
      <c r="L52" s="63">
        <f t="shared" si="2"/>
        <v>2.71</v>
      </c>
      <c r="M52" s="63">
        <f>100+$C52</f>
        <v>102.71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4">
        <v>0</v>
      </c>
      <c r="U52" s="46"/>
      <c r="V52" s="46"/>
      <c r="W52" s="48"/>
      <c r="X52" s="48"/>
      <c r="Y52" s="46"/>
    </row>
    <row r="53" spans="2:39" x14ac:dyDescent="0.25">
      <c r="B53" s="65">
        <v>34</v>
      </c>
      <c r="C53" s="66">
        <v>1.0900000000000001</v>
      </c>
      <c r="D53" s="67">
        <v>7</v>
      </c>
      <c r="E53" s="68">
        <v>97.570000000000007</v>
      </c>
      <c r="F53" s="18">
        <f t="shared" si="1"/>
        <v>1</v>
      </c>
      <c r="G53" s="62">
        <f t="shared" si="2"/>
        <v>1.0900000000000001</v>
      </c>
      <c r="H53" s="63">
        <f t="shared" si="2"/>
        <v>1.0900000000000001</v>
      </c>
      <c r="I53" s="63">
        <f t="shared" si="2"/>
        <v>1.0900000000000001</v>
      </c>
      <c r="J53" s="63">
        <f t="shared" si="2"/>
        <v>1.0900000000000001</v>
      </c>
      <c r="K53" s="63">
        <f t="shared" si="2"/>
        <v>1.0900000000000001</v>
      </c>
      <c r="L53" s="63">
        <f t="shared" si="2"/>
        <v>1.0900000000000001</v>
      </c>
      <c r="M53" s="63">
        <f>100+$C53</f>
        <v>101.09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4">
        <v>0</v>
      </c>
      <c r="U53" s="46"/>
      <c r="V53" s="46"/>
      <c r="W53" s="48"/>
      <c r="X53" s="48"/>
      <c r="Y53" s="46"/>
    </row>
    <row r="54" spans="2:39" x14ac:dyDescent="0.25">
      <c r="B54" s="65">
        <v>35</v>
      </c>
      <c r="C54" s="66">
        <v>3.27</v>
      </c>
      <c r="D54" s="67">
        <v>7</v>
      </c>
      <c r="E54" s="68">
        <v>113.33</v>
      </c>
      <c r="F54" s="18">
        <f t="shared" si="1"/>
        <v>1</v>
      </c>
      <c r="G54" s="62">
        <f t="shared" si="2"/>
        <v>3.27</v>
      </c>
      <c r="H54" s="63">
        <f t="shared" si="2"/>
        <v>3.27</v>
      </c>
      <c r="I54" s="63">
        <f t="shared" si="2"/>
        <v>3.27</v>
      </c>
      <c r="J54" s="63">
        <f t="shared" si="2"/>
        <v>3.27</v>
      </c>
      <c r="K54" s="63">
        <f t="shared" si="2"/>
        <v>3.27</v>
      </c>
      <c r="L54" s="63">
        <f t="shared" si="2"/>
        <v>3.27</v>
      </c>
      <c r="M54" s="63">
        <f>100+$C54</f>
        <v>103.27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4">
        <v>0</v>
      </c>
      <c r="U54" s="46"/>
      <c r="V54" s="46"/>
      <c r="W54" s="48"/>
      <c r="X54" s="48"/>
      <c r="Y54" s="46"/>
    </row>
    <row r="55" spans="2:39" x14ac:dyDescent="0.25">
      <c r="B55" s="65">
        <v>36</v>
      </c>
      <c r="C55" s="66">
        <v>1.94</v>
      </c>
      <c r="D55" s="67">
        <v>8</v>
      </c>
      <c r="E55" s="68">
        <v>103.51</v>
      </c>
      <c r="F55" s="18">
        <f t="shared" si="1"/>
        <v>1</v>
      </c>
      <c r="G55" s="62">
        <f t="shared" si="2"/>
        <v>1.94</v>
      </c>
      <c r="H55" s="63">
        <f t="shared" si="2"/>
        <v>1.94</v>
      </c>
      <c r="I55" s="63">
        <f t="shared" si="2"/>
        <v>1.94</v>
      </c>
      <c r="J55" s="63">
        <f t="shared" si="2"/>
        <v>1.94</v>
      </c>
      <c r="K55" s="63">
        <f t="shared" si="2"/>
        <v>1.94</v>
      </c>
      <c r="L55" s="63">
        <f t="shared" si="2"/>
        <v>1.94</v>
      </c>
      <c r="M55" s="63">
        <f>$C55</f>
        <v>1.94</v>
      </c>
      <c r="N55" s="63">
        <f>100+$C55</f>
        <v>101.94</v>
      </c>
      <c r="O55" s="63">
        <v>0</v>
      </c>
      <c r="P55" s="63">
        <v>0</v>
      </c>
      <c r="Q55" s="63">
        <v>0</v>
      </c>
      <c r="R55" s="63">
        <v>0</v>
      </c>
      <c r="S55" s="64">
        <v>0</v>
      </c>
      <c r="U55" s="46"/>
      <c r="V55" s="46"/>
      <c r="W55" s="48"/>
      <c r="X55" s="48"/>
      <c r="Y55" s="46"/>
    </row>
    <row r="56" spans="2:39" x14ac:dyDescent="0.25">
      <c r="B56" s="65">
        <v>37</v>
      </c>
      <c r="C56" s="66">
        <v>1.73</v>
      </c>
      <c r="D56" s="67">
        <v>8</v>
      </c>
      <c r="E56" s="68">
        <v>101.82000000000001</v>
      </c>
      <c r="F56" s="18">
        <f t="shared" si="1"/>
        <v>1</v>
      </c>
      <c r="G56" s="62">
        <f t="shared" si="2"/>
        <v>1.73</v>
      </c>
      <c r="H56" s="63">
        <f t="shared" si="2"/>
        <v>1.73</v>
      </c>
      <c r="I56" s="63">
        <f t="shared" si="2"/>
        <v>1.73</v>
      </c>
      <c r="J56" s="63">
        <f t="shared" si="2"/>
        <v>1.73</v>
      </c>
      <c r="K56" s="63">
        <f t="shared" si="2"/>
        <v>1.73</v>
      </c>
      <c r="L56" s="63">
        <f t="shared" si="2"/>
        <v>1.73</v>
      </c>
      <c r="M56" s="63">
        <f>$C56</f>
        <v>1.73</v>
      </c>
      <c r="N56" s="63">
        <f>100+$C56</f>
        <v>101.73</v>
      </c>
      <c r="O56" s="63">
        <v>0</v>
      </c>
      <c r="P56" s="63">
        <v>0</v>
      </c>
      <c r="Q56" s="63">
        <v>0</v>
      </c>
      <c r="R56" s="63">
        <v>0</v>
      </c>
      <c r="S56" s="64">
        <v>0</v>
      </c>
      <c r="U56" s="46"/>
      <c r="V56" s="46"/>
      <c r="W56" s="48"/>
      <c r="X56" s="48"/>
      <c r="Y56" s="46"/>
    </row>
    <row r="57" spans="2:39" x14ac:dyDescent="0.25">
      <c r="B57" s="65">
        <v>38</v>
      </c>
      <c r="C57" s="66">
        <v>1.96</v>
      </c>
      <c r="D57" s="67">
        <v>8</v>
      </c>
      <c r="E57" s="68">
        <v>103.51</v>
      </c>
      <c r="F57" s="18">
        <f t="shared" si="1"/>
        <v>1</v>
      </c>
      <c r="G57" s="62">
        <f t="shared" si="2"/>
        <v>1.96</v>
      </c>
      <c r="H57" s="63">
        <f t="shared" si="2"/>
        <v>1.96</v>
      </c>
      <c r="I57" s="63">
        <f t="shared" si="2"/>
        <v>1.96</v>
      </c>
      <c r="J57" s="63">
        <f t="shared" si="2"/>
        <v>1.96</v>
      </c>
      <c r="K57" s="63">
        <f t="shared" si="2"/>
        <v>1.96</v>
      </c>
      <c r="L57" s="63">
        <f t="shared" si="2"/>
        <v>1.96</v>
      </c>
      <c r="M57" s="63">
        <f>$C57</f>
        <v>1.96</v>
      </c>
      <c r="N57" s="63">
        <f>100+$C57</f>
        <v>101.96</v>
      </c>
      <c r="O57" s="63">
        <v>0</v>
      </c>
      <c r="P57" s="63">
        <v>0</v>
      </c>
      <c r="Q57" s="63">
        <v>0</v>
      </c>
      <c r="R57" s="63">
        <v>0</v>
      </c>
      <c r="S57" s="64">
        <v>0</v>
      </c>
      <c r="U57" s="46"/>
      <c r="V57" s="46"/>
      <c r="W57" s="48"/>
      <c r="X57" s="48"/>
      <c r="Y57" s="46"/>
    </row>
    <row r="58" spans="2:39" x14ac:dyDescent="0.25">
      <c r="B58" s="65">
        <v>39</v>
      </c>
      <c r="C58" s="66">
        <v>2.6</v>
      </c>
      <c r="D58" s="67">
        <v>8</v>
      </c>
      <c r="E58" s="68">
        <v>108.66</v>
      </c>
      <c r="F58" s="18">
        <f t="shared" si="1"/>
        <v>1</v>
      </c>
      <c r="G58" s="71">
        <f t="shared" si="2"/>
        <v>2.6</v>
      </c>
      <c r="H58" s="72">
        <f t="shared" si="2"/>
        <v>2.6</v>
      </c>
      <c r="I58" s="72">
        <f t="shared" si="2"/>
        <v>2.6</v>
      </c>
      <c r="J58" s="72">
        <f t="shared" si="2"/>
        <v>2.6</v>
      </c>
      <c r="K58" s="72">
        <f t="shared" si="2"/>
        <v>2.6</v>
      </c>
      <c r="L58" s="72">
        <f t="shared" si="2"/>
        <v>2.6</v>
      </c>
      <c r="M58" s="72">
        <f t="shared" si="2"/>
        <v>2.6</v>
      </c>
      <c r="N58" s="72">
        <f>100+$C58</f>
        <v>102.6</v>
      </c>
      <c r="O58" s="63">
        <v>0</v>
      </c>
      <c r="P58" s="63">
        <v>0</v>
      </c>
      <c r="Q58" s="63">
        <v>0</v>
      </c>
      <c r="R58" s="63">
        <v>0</v>
      </c>
      <c r="S58" s="64">
        <v>0</v>
      </c>
      <c r="U58" s="46"/>
      <c r="V58" s="46"/>
      <c r="W58" s="48"/>
      <c r="X58" s="48"/>
      <c r="Y58" s="46"/>
    </row>
    <row r="59" spans="2:39" x14ac:dyDescent="0.25">
      <c r="B59" s="65">
        <v>40</v>
      </c>
      <c r="C59" s="66">
        <v>1.84</v>
      </c>
      <c r="D59" s="67">
        <v>9</v>
      </c>
      <c r="E59" s="68">
        <v>102.31</v>
      </c>
      <c r="F59" s="18">
        <f t="shared" si="1"/>
        <v>1</v>
      </c>
      <c r="G59" s="62">
        <f t="shared" si="2"/>
        <v>1.84</v>
      </c>
      <c r="H59" s="63">
        <f t="shared" si="2"/>
        <v>1.84</v>
      </c>
      <c r="I59" s="63">
        <f t="shared" si="2"/>
        <v>1.84</v>
      </c>
      <c r="J59" s="63">
        <f t="shared" si="2"/>
        <v>1.84</v>
      </c>
      <c r="K59" s="63">
        <f t="shared" si="2"/>
        <v>1.84</v>
      </c>
      <c r="L59" s="63">
        <f t="shared" si="2"/>
        <v>1.84</v>
      </c>
      <c r="M59" s="63">
        <f t="shared" si="2"/>
        <v>1.84</v>
      </c>
      <c r="N59" s="63">
        <f t="shared" si="2"/>
        <v>1.84</v>
      </c>
      <c r="O59" s="63">
        <f>100+$C59</f>
        <v>101.84</v>
      </c>
      <c r="P59" s="63">
        <v>0</v>
      </c>
      <c r="Q59" s="63">
        <v>0</v>
      </c>
      <c r="R59" s="63">
        <v>0</v>
      </c>
      <c r="S59" s="64">
        <v>0</v>
      </c>
      <c r="U59" s="46"/>
      <c r="V59" s="46"/>
      <c r="W59" s="48"/>
      <c r="X59" s="48"/>
      <c r="Y59" s="46"/>
    </row>
    <row r="60" spans="2:39" x14ac:dyDescent="0.25">
      <c r="B60" s="65">
        <v>41</v>
      </c>
      <c r="C60" s="66">
        <v>2.95</v>
      </c>
      <c r="D60" s="67">
        <v>9</v>
      </c>
      <c r="E60" s="68">
        <v>111.73</v>
      </c>
      <c r="F60" s="18">
        <f t="shared" si="1"/>
        <v>1</v>
      </c>
      <c r="G60" s="62">
        <f t="shared" si="2"/>
        <v>2.95</v>
      </c>
      <c r="H60" s="63">
        <f t="shared" si="2"/>
        <v>2.95</v>
      </c>
      <c r="I60" s="63">
        <f t="shared" si="2"/>
        <v>2.95</v>
      </c>
      <c r="J60" s="63">
        <f t="shared" si="2"/>
        <v>2.95</v>
      </c>
      <c r="K60" s="63">
        <f t="shared" si="2"/>
        <v>2.95</v>
      </c>
      <c r="L60" s="63">
        <f t="shared" si="2"/>
        <v>2.95</v>
      </c>
      <c r="M60" s="63">
        <f t="shared" si="2"/>
        <v>2.95</v>
      </c>
      <c r="N60" s="63">
        <f t="shared" si="2"/>
        <v>2.95</v>
      </c>
      <c r="O60" s="63">
        <f>100+$C60</f>
        <v>102.95</v>
      </c>
      <c r="P60" s="63">
        <v>0</v>
      </c>
      <c r="Q60" s="63">
        <v>0</v>
      </c>
      <c r="R60" s="63">
        <v>0</v>
      </c>
      <c r="S60" s="64">
        <v>0</v>
      </c>
      <c r="U60" s="46"/>
      <c r="V60" s="46"/>
      <c r="W60" s="48"/>
      <c r="X60" s="48"/>
      <c r="Y60" s="46"/>
    </row>
    <row r="61" spans="2:39" x14ac:dyDescent="0.25">
      <c r="B61" s="65">
        <v>42</v>
      </c>
      <c r="C61" s="66">
        <v>2.39</v>
      </c>
      <c r="D61" s="67">
        <v>9</v>
      </c>
      <c r="E61" s="68">
        <v>106.84</v>
      </c>
      <c r="F61" s="18">
        <f t="shared" si="1"/>
        <v>1</v>
      </c>
      <c r="G61" s="62">
        <f t="shared" si="2"/>
        <v>2.39</v>
      </c>
      <c r="H61" s="63">
        <f t="shared" si="2"/>
        <v>2.39</v>
      </c>
      <c r="I61" s="63">
        <f t="shared" si="2"/>
        <v>2.39</v>
      </c>
      <c r="J61" s="63">
        <f t="shared" si="2"/>
        <v>2.39</v>
      </c>
      <c r="K61" s="63">
        <f t="shared" si="2"/>
        <v>2.39</v>
      </c>
      <c r="L61" s="63">
        <f t="shared" si="2"/>
        <v>2.39</v>
      </c>
      <c r="M61" s="63">
        <f t="shared" si="2"/>
        <v>2.39</v>
      </c>
      <c r="N61" s="63">
        <f t="shared" si="2"/>
        <v>2.39</v>
      </c>
      <c r="O61" s="63">
        <f>100+$C61</f>
        <v>102.39</v>
      </c>
      <c r="P61" s="63">
        <v>0</v>
      </c>
      <c r="Q61" s="63">
        <v>0</v>
      </c>
      <c r="R61" s="63">
        <v>0</v>
      </c>
      <c r="S61" s="64">
        <v>0</v>
      </c>
      <c r="U61" s="46"/>
      <c r="V61" s="46"/>
      <c r="W61" s="48"/>
      <c r="X61" s="48"/>
      <c r="Y61" s="46"/>
    </row>
    <row r="62" spans="2:39" x14ac:dyDescent="0.25">
      <c r="B62" s="65">
        <v>43</v>
      </c>
      <c r="C62" s="66">
        <v>3.3200000000000003</v>
      </c>
      <c r="D62" s="67">
        <v>10</v>
      </c>
      <c r="E62" s="68">
        <v>115.65</v>
      </c>
      <c r="F62" s="18">
        <f t="shared" si="1"/>
        <v>1</v>
      </c>
      <c r="G62" s="62">
        <f t="shared" si="2"/>
        <v>3.3200000000000003</v>
      </c>
      <c r="H62" s="63">
        <f t="shared" si="2"/>
        <v>3.3200000000000003</v>
      </c>
      <c r="I62" s="63">
        <f t="shared" si="2"/>
        <v>3.3200000000000003</v>
      </c>
      <c r="J62" s="63">
        <f t="shared" si="2"/>
        <v>3.3200000000000003</v>
      </c>
      <c r="K62" s="63">
        <f t="shared" si="2"/>
        <v>3.3200000000000003</v>
      </c>
      <c r="L62" s="63">
        <f t="shared" si="2"/>
        <v>3.3200000000000003</v>
      </c>
      <c r="M62" s="63">
        <f t="shared" si="2"/>
        <v>3.3200000000000003</v>
      </c>
      <c r="N62" s="63">
        <f t="shared" si="2"/>
        <v>3.3200000000000003</v>
      </c>
      <c r="O62" s="63">
        <f t="shared" si="2"/>
        <v>3.3200000000000003</v>
      </c>
      <c r="P62" s="63">
        <f>100+$C62</f>
        <v>103.32</v>
      </c>
      <c r="Q62" s="63">
        <v>0</v>
      </c>
      <c r="R62" s="63">
        <v>0</v>
      </c>
      <c r="S62" s="64">
        <v>0</v>
      </c>
      <c r="U62" s="46"/>
      <c r="V62" s="46"/>
      <c r="W62" s="48"/>
      <c r="X62" s="48"/>
      <c r="Y62" s="46"/>
    </row>
    <row r="63" spans="2:39" x14ac:dyDescent="0.25">
      <c r="B63" s="65">
        <v>44</v>
      </c>
      <c r="C63" s="66">
        <v>2.0699999999999998</v>
      </c>
      <c r="D63" s="67">
        <v>10</v>
      </c>
      <c r="E63" s="68">
        <v>103.76</v>
      </c>
      <c r="F63" s="18">
        <f t="shared" si="1"/>
        <v>1</v>
      </c>
      <c r="G63" s="62">
        <f t="shared" si="2"/>
        <v>2.0699999999999998</v>
      </c>
      <c r="H63" s="63">
        <f t="shared" si="2"/>
        <v>2.0699999999999998</v>
      </c>
      <c r="I63" s="63">
        <f t="shared" si="2"/>
        <v>2.0699999999999998</v>
      </c>
      <c r="J63" s="63">
        <f t="shared" si="2"/>
        <v>2.0699999999999998</v>
      </c>
      <c r="K63" s="63">
        <f t="shared" si="2"/>
        <v>2.0699999999999998</v>
      </c>
      <c r="L63" s="63">
        <f t="shared" si="2"/>
        <v>2.0699999999999998</v>
      </c>
      <c r="M63" s="63">
        <f t="shared" si="2"/>
        <v>2.0699999999999998</v>
      </c>
      <c r="N63" s="63">
        <f t="shared" si="2"/>
        <v>2.0699999999999998</v>
      </c>
      <c r="O63" s="63">
        <f t="shared" si="2"/>
        <v>2.0699999999999998</v>
      </c>
      <c r="P63" s="63">
        <f>100+$C63</f>
        <v>102.07</v>
      </c>
      <c r="Q63" s="63">
        <v>0</v>
      </c>
      <c r="R63" s="63">
        <v>0</v>
      </c>
      <c r="S63" s="64">
        <v>0</v>
      </c>
      <c r="U63" s="46"/>
      <c r="V63" s="69"/>
      <c r="W63" s="48"/>
      <c r="X63" s="48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</row>
    <row r="64" spans="2:39" x14ac:dyDescent="0.25">
      <c r="B64" s="65">
        <v>45</v>
      </c>
      <c r="C64" s="66">
        <v>1.51</v>
      </c>
      <c r="D64" s="67">
        <v>11</v>
      </c>
      <c r="E64" s="68">
        <v>97.91</v>
      </c>
      <c r="F64" s="18">
        <f t="shared" si="1"/>
        <v>1</v>
      </c>
      <c r="G64" s="62">
        <f t="shared" si="2"/>
        <v>1.51</v>
      </c>
      <c r="H64" s="63">
        <f t="shared" si="2"/>
        <v>1.51</v>
      </c>
      <c r="I64" s="63">
        <f t="shared" si="2"/>
        <v>1.51</v>
      </c>
      <c r="J64" s="63">
        <f t="shared" si="2"/>
        <v>1.51</v>
      </c>
      <c r="K64" s="63">
        <f t="shared" si="2"/>
        <v>1.51</v>
      </c>
      <c r="L64" s="63">
        <f t="shared" si="2"/>
        <v>1.51</v>
      </c>
      <c r="M64" s="63">
        <f t="shared" si="2"/>
        <v>1.51</v>
      </c>
      <c r="N64" s="63">
        <f t="shared" si="2"/>
        <v>1.51</v>
      </c>
      <c r="O64" s="63">
        <f t="shared" si="2"/>
        <v>1.51</v>
      </c>
      <c r="P64" s="63">
        <f t="shared" si="2"/>
        <v>1.51</v>
      </c>
      <c r="Q64" s="63">
        <f>100+$C64</f>
        <v>101.51</v>
      </c>
      <c r="R64" s="63">
        <v>0</v>
      </c>
      <c r="S64" s="64">
        <v>0</v>
      </c>
      <c r="U64" s="46"/>
      <c r="V64" s="69"/>
      <c r="W64" s="48"/>
      <c r="X64" s="48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</row>
    <row r="65" spans="2:39" x14ac:dyDescent="0.25">
      <c r="B65" s="65">
        <v>46</v>
      </c>
      <c r="C65" s="66">
        <v>0.8</v>
      </c>
      <c r="D65" s="67">
        <v>11</v>
      </c>
      <c r="E65" s="68">
        <v>89.99</v>
      </c>
      <c r="F65" s="18">
        <f t="shared" si="1"/>
        <v>1</v>
      </c>
      <c r="G65" s="62">
        <f t="shared" si="2"/>
        <v>0.8</v>
      </c>
      <c r="H65" s="63">
        <f t="shared" si="2"/>
        <v>0.8</v>
      </c>
      <c r="I65" s="63">
        <f t="shared" si="2"/>
        <v>0.8</v>
      </c>
      <c r="J65" s="63">
        <f t="shared" si="2"/>
        <v>0.8</v>
      </c>
      <c r="K65" s="63">
        <f t="shared" si="2"/>
        <v>0.8</v>
      </c>
      <c r="L65" s="63">
        <f t="shared" si="2"/>
        <v>0.8</v>
      </c>
      <c r="M65" s="63">
        <f t="shared" si="2"/>
        <v>0.8</v>
      </c>
      <c r="N65" s="63">
        <f t="shared" si="2"/>
        <v>0.8</v>
      </c>
      <c r="O65" s="63">
        <f t="shared" si="2"/>
        <v>0.8</v>
      </c>
      <c r="P65" s="63">
        <f t="shared" si="2"/>
        <v>0.8</v>
      </c>
      <c r="Q65" s="63">
        <f>100+$C65</f>
        <v>100.8</v>
      </c>
      <c r="R65" s="63">
        <v>0</v>
      </c>
      <c r="S65" s="64">
        <v>0</v>
      </c>
      <c r="U65" s="46"/>
      <c r="V65" s="69"/>
      <c r="W65" s="48"/>
      <c r="X65" s="48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</row>
    <row r="66" spans="2:39" x14ac:dyDescent="0.25">
      <c r="B66" s="65">
        <v>47</v>
      </c>
      <c r="C66" s="66">
        <v>1.49</v>
      </c>
      <c r="D66" s="67">
        <v>12</v>
      </c>
      <c r="E66" s="68">
        <v>96.92</v>
      </c>
      <c r="F66" s="18">
        <f t="shared" si="1"/>
        <v>1</v>
      </c>
      <c r="G66" s="62">
        <f t="shared" si="2"/>
        <v>1.49</v>
      </c>
      <c r="H66" s="63">
        <f t="shared" si="2"/>
        <v>1.49</v>
      </c>
      <c r="I66" s="63">
        <f t="shared" si="2"/>
        <v>1.49</v>
      </c>
      <c r="J66" s="63">
        <f t="shared" si="2"/>
        <v>1.49</v>
      </c>
      <c r="K66" s="63">
        <f t="shared" si="2"/>
        <v>1.49</v>
      </c>
      <c r="L66" s="63">
        <f t="shared" si="2"/>
        <v>1.49</v>
      </c>
      <c r="M66" s="63">
        <f t="shared" si="2"/>
        <v>1.49</v>
      </c>
      <c r="N66" s="63">
        <f t="shared" si="2"/>
        <v>1.49</v>
      </c>
      <c r="O66" s="63">
        <f t="shared" si="2"/>
        <v>1.49</v>
      </c>
      <c r="P66" s="63">
        <f t="shared" si="2"/>
        <v>1.49</v>
      </c>
      <c r="Q66" s="63">
        <f t="shared" si="2"/>
        <v>1.49</v>
      </c>
      <c r="R66" s="63">
        <f>100+$C66</f>
        <v>101.49</v>
      </c>
      <c r="S66" s="64">
        <v>0</v>
      </c>
      <c r="U66" s="46"/>
      <c r="V66" s="69"/>
      <c r="W66" s="48"/>
      <c r="X66" s="48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</row>
    <row r="67" spans="2:39" x14ac:dyDescent="0.25">
      <c r="B67" s="65">
        <v>48</v>
      </c>
      <c r="C67" s="66">
        <v>2.4900000000000002</v>
      </c>
      <c r="D67" s="67">
        <v>12</v>
      </c>
      <c r="E67" s="68">
        <v>107.85000000000001</v>
      </c>
      <c r="F67" s="18">
        <f t="shared" si="1"/>
        <v>1</v>
      </c>
      <c r="G67" s="62">
        <f t="shared" si="2"/>
        <v>2.4900000000000002</v>
      </c>
      <c r="H67" s="63">
        <f t="shared" si="2"/>
        <v>2.4900000000000002</v>
      </c>
      <c r="I67" s="63">
        <f t="shared" si="2"/>
        <v>2.4900000000000002</v>
      </c>
      <c r="J67" s="63">
        <f t="shared" si="2"/>
        <v>2.4900000000000002</v>
      </c>
      <c r="K67" s="63">
        <f t="shared" si="2"/>
        <v>2.4900000000000002</v>
      </c>
      <c r="L67" s="63">
        <f t="shared" si="2"/>
        <v>2.4900000000000002</v>
      </c>
      <c r="M67" s="63">
        <f t="shared" si="2"/>
        <v>2.4900000000000002</v>
      </c>
      <c r="N67" s="63">
        <f t="shared" si="2"/>
        <v>2.4900000000000002</v>
      </c>
      <c r="O67" s="63">
        <f t="shared" si="2"/>
        <v>2.4900000000000002</v>
      </c>
      <c r="P67" s="63">
        <f t="shared" si="2"/>
        <v>2.4900000000000002</v>
      </c>
      <c r="Q67" s="63">
        <f t="shared" si="2"/>
        <v>2.4900000000000002</v>
      </c>
      <c r="R67" s="63">
        <f>100+$C67</f>
        <v>102.49</v>
      </c>
      <c r="S67" s="64">
        <v>0</v>
      </c>
      <c r="U67" s="46"/>
      <c r="V67" s="69"/>
      <c r="W67" s="48"/>
      <c r="X67" s="48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</row>
    <row r="68" spans="2:39" x14ac:dyDescent="0.25">
      <c r="B68" s="65">
        <v>49</v>
      </c>
      <c r="C68" s="66">
        <v>2.48</v>
      </c>
      <c r="D68" s="67">
        <v>13</v>
      </c>
      <c r="E68" s="68">
        <v>107.67</v>
      </c>
      <c r="F68" s="18">
        <f t="shared" si="1"/>
        <v>1</v>
      </c>
      <c r="G68" s="62">
        <f t="shared" si="2"/>
        <v>2.48</v>
      </c>
      <c r="H68" s="63">
        <f t="shared" si="2"/>
        <v>2.48</v>
      </c>
      <c r="I68" s="63">
        <f t="shared" si="2"/>
        <v>2.48</v>
      </c>
      <c r="J68" s="63">
        <f t="shared" si="2"/>
        <v>2.48</v>
      </c>
      <c r="K68" s="63">
        <f t="shared" si="2"/>
        <v>2.48</v>
      </c>
      <c r="L68" s="63">
        <f t="shared" si="2"/>
        <v>2.48</v>
      </c>
      <c r="M68" s="63">
        <f t="shared" si="2"/>
        <v>2.48</v>
      </c>
      <c r="N68" s="63">
        <f t="shared" si="2"/>
        <v>2.48</v>
      </c>
      <c r="O68" s="63">
        <f t="shared" si="2"/>
        <v>2.48</v>
      </c>
      <c r="P68" s="63">
        <f t="shared" si="2"/>
        <v>2.48</v>
      </c>
      <c r="Q68" s="63">
        <f t="shared" si="2"/>
        <v>2.48</v>
      </c>
      <c r="R68" s="63">
        <f t="shared" si="2"/>
        <v>2.48</v>
      </c>
      <c r="S68" s="64">
        <f>100+$C68</f>
        <v>102.48</v>
      </c>
      <c r="U68" s="46"/>
      <c r="V68" s="69"/>
      <c r="W68" s="48"/>
      <c r="X68" s="48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</row>
    <row r="69" spans="2:39" ht="15.75" thickBot="1" x14ac:dyDescent="0.3">
      <c r="B69" s="73">
        <v>50</v>
      </c>
      <c r="C69" s="74">
        <v>2.2400000000000002</v>
      </c>
      <c r="D69" s="75">
        <v>13</v>
      </c>
      <c r="E69" s="76">
        <v>104.65</v>
      </c>
      <c r="F69" s="18">
        <f t="shared" si="1"/>
        <v>1</v>
      </c>
      <c r="G69" s="77">
        <f t="shared" si="2"/>
        <v>2.2400000000000002</v>
      </c>
      <c r="H69" s="78">
        <f t="shared" si="2"/>
        <v>2.2400000000000002</v>
      </c>
      <c r="I69" s="78">
        <f t="shared" si="2"/>
        <v>2.2400000000000002</v>
      </c>
      <c r="J69" s="78">
        <f t="shared" si="2"/>
        <v>2.2400000000000002</v>
      </c>
      <c r="K69" s="78">
        <f t="shared" si="2"/>
        <v>2.2400000000000002</v>
      </c>
      <c r="L69" s="78">
        <f t="shared" si="2"/>
        <v>2.2400000000000002</v>
      </c>
      <c r="M69" s="78">
        <f t="shared" si="2"/>
        <v>2.2400000000000002</v>
      </c>
      <c r="N69" s="78">
        <f t="shared" si="2"/>
        <v>2.2400000000000002</v>
      </c>
      <c r="O69" s="78">
        <f t="shared" si="2"/>
        <v>2.2400000000000002</v>
      </c>
      <c r="P69" s="78">
        <f t="shared" si="2"/>
        <v>2.2400000000000002</v>
      </c>
      <c r="Q69" s="78">
        <f t="shared" si="2"/>
        <v>2.2400000000000002</v>
      </c>
      <c r="R69" s="78">
        <f t="shared" si="2"/>
        <v>2.2400000000000002</v>
      </c>
      <c r="S69" s="79">
        <f>100+$C69</f>
        <v>102.24</v>
      </c>
      <c r="U69" s="46"/>
      <c r="V69" s="69"/>
      <c r="W69" s="48"/>
      <c r="X69" s="48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</row>
    <row r="71" spans="2:39" x14ac:dyDescent="0.25">
      <c r="B71" t="s">
        <v>72</v>
      </c>
      <c r="C71"/>
      <c r="D71"/>
      <c r="E71"/>
      <c r="F71" s="121"/>
      <c r="G71"/>
      <c r="H71"/>
      <c r="I71"/>
      <c r="J71"/>
    </row>
    <row r="72" spans="2:39" ht="15.75" thickBot="1" x14ac:dyDescent="0.3">
      <c r="B72"/>
      <c r="C72"/>
      <c r="D72"/>
      <c r="E72"/>
      <c r="F72" s="121"/>
      <c r="G72"/>
      <c r="H72"/>
      <c r="I72"/>
      <c r="J72"/>
    </row>
    <row r="73" spans="2:39" x14ac:dyDescent="0.25">
      <c r="B73" s="80" t="s">
        <v>73</v>
      </c>
      <c r="C73" s="80"/>
      <c r="D73"/>
      <c r="E73"/>
      <c r="F73" s="121"/>
      <c r="G73"/>
      <c r="H73"/>
      <c r="I73"/>
      <c r="J73"/>
    </row>
    <row r="74" spans="2:39" x14ac:dyDescent="0.25">
      <c r="B74" s="81" t="s">
        <v>74</v>
      </c>
      <c r="C74" s="81">
        <v>0.99723527399417478</v>
      </c>
      <c r="D74"/>
      <c r="E74"/>
      <c r="F74" s="121"/>
      <c r="G74"/>
      <c r="H74"/>
      <c r="I74"/>
      <c r="J74"/>
    </row>
    <row r="75" spans="2:39" x14ac:dyDescent="0.25">
      <c r="B75" s="81" t="s">
        <v>75</v>
      </c>
      <c r="C75" s="81">
        <v>0.99447819169823692</v>
      </c>
      <c r="D75"/>
      <c r="E75"/>
      <c r="F75" s="121"/>
      <c r="G75"/>
      <c r="H75"/>
      <c r="I75"/>
      <c r="J75"/>
    </row>
    <row r="76" spans="2:39" x14ac:dyDescent="0.25">
      <c r="B76" s="81" t="s">
        <v>76</v>
      </c>
      <c r="C76" s="81">
        <v>0.99248420536704474</v>
      </c>
      <c r="D76"/>
      <c r="E76"/>
      <c r="F76" s="121"/>
      <c r="G76"/>
      <c r="H76"/>
      <c r="I76"/>
      <c r="J76"/>
    </row>
    <row r="77" spans="2:39" x14ac:dyDescent="0.25">
      <c r="B77" s="81" t="s">
        <v>77</v>
      </c>
      <c r="C77" s="81">
        <v>0.46098409819077796</v>
      </c>
      <c r="D77"/>
      <c r="E77"/>
      <c r="F77" s="121"/>
      <c r="G77"/>
      <c r="H77"/>
      <c r="I77"/>
      <c r="J77"/>
    </row>
    <row r="78" spans="2:39" ht="15.75" thickBot="1" x14ac:dyDescent="0.3">
      <c r="B78" s="82" t="s">
        <v>78</v>
      </c>
      <c r="C78" s="82">
        <v>50</v>
      </c>
      <c r="D78"/>
      <c r="E78"/>
      <c r="F78" s="121"/>
      <c r="G78"/>
      <c r="H78"/>
      <c r="I78"/>
      <c r="J78"/>
    </row>
    <row r="79" spans="2:39" x14ac:dyDescent="0.25">
      <c r="B79"/>
      <c r="C79"/>
      <c r="D79"/>
      <c r="E79"/>
      <c r="F79" s="121"/>
      <c r="G79"/>
      <c r="H79"/>
      <c r="I79"/>
      <c r="J79"/>
    </row>
    <row r="80" spans="2:39" ht="15.75" thickBot="1" x14ac:dyDescent="0.3">
      <c r="B80" t="s">
        <v>79</v>
      </c>
      <c r="C80"/>
      <c r="D80"/>
      <c r="E80"/>
      <c r="F80" s="121"/>
      <c r="G80"/>
      <c r="H80"/>
      <c r="I80"/>
      <c r="J80"/>
    </row>
    <row r="81" spans="2:12" x14ac:dyDescent="0.25">
      <c r="B81" s="83"/>
      <c r="C81" s="83" t="s">
        <v>84</v>
      </c>
      <c r="D81" s="83" t="s">
        <v>85</v>
      </c>
      <c r="E81" s="83" t="s">
        <v>86</v>
      </c>
      <c r="F81" s="83" t="s">
        <v>87</v>
      </c>
      <c r="G81" s="83" t="s">
        <v>88</v>
      </c>
      <c r="H81"/>
      <c r="I81"/>
      <c r="J81"/>
    </row>
    <row r="82" spans="2:12" x14ac:dyDescent="0.25">
      <c r="B82" s="81" t="s">
        <v>80</v>
      </c>
      <c r="C82" s="81">
        <v>13</v>
      </c>
      <c r="D82" s="81">
        <v>1377.8068138037481</v>
      </c>
      <c r="E82" s="81">
        <v>105.98513952336523</v>
      </c>
      <c r="F82" s="122">
        <v>498.73872059276005</v>
      </c>
      <c r="G82" s="81">
        <v>1.5125646377336385E-36</v>
      </c>
      <c r="H82"/>
      <c r="I82"/>
      <c r="J82"/>
    </row>
    <row r="83" spans="2:12" x14ac:dyDescent="0.25">
      <c r="B83" s="81" t="s">
        <v>81</v>
      </c>
      <c r="C83" s="81">
        <v>36</v>
      </c>
      <c r="D83" s="81">
        <v>7.6502281962515335</v>
      </c>
      <c r="E83" s="81">
        <v>0.21250633878476483</v>
      </c>
      <c r="F83" s="122"/>
      <c r="G83" s="81"/>
      <c r="H83"/>
      <c r="I83"/>
      <c r="J83"/>
    </row>
    <row r="84" spans="2:12" ht="15.75" thickBot="1" x14ac:dyDescent="0.3">
      <c r="B84" s="82" t="s">
        <v>82</v>
      </c>
      <c r="C84" s="82">
        <v>49</v>
      </c>
      <c r="D84" s="82">
        <v>1385.4570419999998</v>
      </c>
      <c r="E84" s="82"/>
      <c r="F84" s="123"/>
      <c r="G84" s="82"/>
      <c r="H84"/>
      <c r="I84"/>
      <c r="J84"/>
    </row>
    <row r="85" spans="2:12" ht="15.75" thickBot="1" x14ac:dyDescent="0.3">
      <c r="B85"/>
      <c r="C85"/>
      <c r="D85"/>
      <c r="E85"/>
      <c r="F85" s="121"/>
      <c r="G85"/>
      <c r="H85"/>
      <c r="I85"/>
      <c r="J85"/>
    </row>
    <row r="86" spans="2:12" x14ac:dyDescent="0.25">
      <c r="B86" s="83"/>
      <c r="C86" s="83" t="s">
        <v>89</v>
      </c>
      <c r="D86" s="83" t="s">
        <v>77</v>
      </c>
      <c r="E86" s="83" t="s">
        <v>90</v>
      </c>
      <c r="F86" s="83" t="s">
        <v>91</v>
      </c>
      <c r="G86" s="83" t="s">
        <v>92</v>
      </c>
      <c r="H86" s="83" t="s">
        <v>93</v>
      </c>
      <c r="I86" s="83" t="s">
        <v>94</v>
      </c>
      <c r="J86" s="83" t="s">
        <v>95</v>
      </c>
      <c r="L86" s="11" t="s">
        <v>71</v>
      </c>
    </row>
    <row r="87" spans="2:12" ht="15.75" thickBot="1" x14ac:dyDescent="0.3">
      <c r="B87" s="81" t="s">
        <v>83</v>
      </c>
      <c r="C87" s="81">
        <v>-7.6063242712805046</v>
      </c>
      <c r="D87" s="81">
        <v>1.6520711674326449</v>
      </c>
      <c r="E87" s="81">
        <v>-4.6041141696703658</v>
      </c>
      <c r="F87" s="122">
        <v>5.003052496322127E-5</v>
      </c>
      <c r="G87" s="81">
        <v>-10.956879895143423</v>
      </c>
      <c r="H87" s="81">
        <v>-4.255768647417586</v>
      </c>
      <c r="I87" s="81">
        <v>-10.956879895143423</v>
      </c>
      <c r="J87" s="81">
        <v>-4.255768647417586</v>
      </c>
    </row>
    <row r="88" spans="2:12" x14ac:dyDescent="0.25">
      <c r="B88" s="81">
        <v>1</v>
      </c>
      <c r="C88" s="81">
        <v>1.0759030022743599</v>
      </c>
      <c r="D88" s="81">
        <v>1.6358124332616509E-2</v>
      </c>
      <c r="E88" s="81">
        <v>65.771782901118684</v>
      </c>
      <c r="F88" s="122">
        <v>4.1851495579009011E-39</v>
      </c>
      <c r="G88" s="81">
        <v>1.042727188448088</v>
      </c>
      <c r="H88" s="81">
        <v>1.1090788161006317</v>
      </c>
      <c r="I88" s="81">
        <v>1.042727188448088</v>
      </c>
      <c r="J88" s="81">
        <v>1.1090788161006317</v>
      </c>
      <c r="K88" s="11">
        <v>1</v>
      </c>
      <c r="L88" s="84">
        <f>(1/C88)^(1/K88)-1</f>
        <v>-7.0548183352874716E-2</v>
      </c>
    </row>
    <row r="89" spans="2:12" x14ac:dyDescent="0.25">
      <c r="B89" s="81">
        <v>2</v>
      </c>
      <c r="C89" s="81">
        <v>1.0656155426075946</v>
      </c>
      <c r="D89" s="81">
        <v>1.6094146694447965E-2</v>
      </c>
      <c r="E89" s="81">
        <v>66.211372546716163</v>
      </c>
      <c r="F89" s="122">
        <v>3.2990984381569081E-39</v>
      </c>
      <c r="G89" s="81">
        <v>1.0329751002456853</v>
      </c>
      <c r="H89" s="81">
        <v>1.0982559849695039</v>
      </c>
      <c r="I89" s="81">
        <v>1.0329751002456853</v>
      </c>
      <c r="J89" s="81">
        <v>1.0982559849695039</v>
      </c>
      <c r="K89" s="11">
        <v>2</v>
      </c>
      <c r="L89" s="85">
        <f t="shared" ref="L89:L100" si="5">(1/C89)^(1/K89)-1</f>
        <v>-3.1276741901433813E-2</v>
      </c>
    </row>
    <row r="90" spans="2:12" x14ac:dyDescent="0.25">
      <c r="B90" s="81">
        <v>3</v>
      </c>
      <c r="C90" s="81">
        <v>1.0503962624464642</v>
      </c>
      <c r="D90" s="81">
        <v>1.5833691128015134E-2</v>
      </c>
      <c r="E90" s="81">
        <v>66.339317468935548</v>
      </c>
      <c r="F90" s="122">
        <v>3.0792963720258498E-39</v>
      </c>
      <c r="G90" s="81">
        <v>1.0182840484563593</v>
      </c>
      <c r="H90" s="81">
        <v>1.0825084764365691</v>
      </c>
      <c r="I90" s="81">
        <v>1.0182840484563593</v>
      </c>
      <c r="J90" s="81">
        <v>1.0825084764365691</v>
      </c>
      <c r="K90" s="11">
        <v>3</v>
      </c>
      <c r="L90" s="85">
        <f t="shared" si="5"/>
        <v>-1.6255590317045154E-2</v>
      </c>
    </row>
    <row r="91" spans="2:12" x14ac:dyDescent="0.25">
      <c r="B91" s="81">
        <v>4</v>
      </c>
      <c r="C91" s="81">
        <v>1.0326920316721682</v>
      </c>
      <c r="D91" s="81">
        <v>1.5423037743302401E-2</v>
      </c>
      <c r="E91" s="81">
        <v>66.957758183573432</v>
      </c>
      <c r="F91" s="122">
        <v>2.2106019850847754E-39</v>
      </c>
      <c r="G91" s="81">
        <v>1.0014126613480814</v>
      </c>
      <c r="H91" s="81">
        <v>1.063971401996255</v>
      </c>
      <c r="I91" s="81">
        <v>1.0014126613480814</v>
      </c>
      <c r="J91" s="81">
        <v>1.063971401996255</v>
      </c>
      <c r="K91" s="11">
        <v>4</v>
      </c>
      <c r="L91" s="85">
        <f t="shared" si="5"/>
        <v>-8.0100015074136E-3</v>
      </c>
    </row>
    <row r="92" spans="2:12" x14ac:dyDescent="0.25">
      <c r="B92" s="81">
        <v>5</v>
      </c>
      <c r="C92" s="81">
        <v>1.0124757877145651</v>
      </c>
      <c r="D92" s="81">
        <v>1.4936622596624937E-2</v>
      </c>
      <c r="E92" s="81">
        <v>67.784787435369964</v>
      </c>
      <c r="F92" s="122">
        <v>1.4257821953956809E-39</v>
      </c>
      <c r="G92" s="81">
        <v>0.98218291303144101</v>
      </c>
      <c r="H92" s="81">
        <v>1.0427686623976893</v>
      </c>
      <c r="I92" s="81">
        <v>0.98218291303144101</v>
      </c>
      <c r="J92" s="81">
        <v>1.0427686623976893</v>
      </c>
      <c r="K92" s="11">
        <v>5</v>
      </c>
      <c r="L92" s="85">
        <f t="shared" si="5"/>
        <v>-2.4766492998073986E-3</v>
      </c>
    </row>
    <row r="93" spans="2:12" x14ac:dyDescent="0.25">
      <c r="B93" s="81">
        <v>6</v>
      </c>
      <c r="C93" s="81">
        <v>0.99573998601488511</v>
      </c>
      <c r="D93" s="81">
        <v>1.4607887738471759E-2</v>
      </c>
      <c r="E93" s="81">
        <v>68.164542597933249</v>
      </c>
      <c r="F93" s="122">
        <v>1.1677890574804617E-39</v>
      </c>
      <c r="G93" s="81">
        <v>0.96611381652549466</v>
      </c>
      <c r="H93" s="81">
        <v>1.0253661555042757</v>
      </c>
      <c r="I93" s="81">
        <v>0.96611381652549466</v>
      </c>
      <c r="J93" s="81">
        <v>1.0253661555042757</v>
      </c>
      <c r="K93" s="11">
        <v>6</v>
      </c>
      <c r="L93" s="85">
        <f t="shared" si="5"/>
        <v>7.1177213917961168E-4</v>
      </c>
    </row>
    <row r="94" spans="2:12" x14ac:dyDescent="0.25">
      <c r="B94" s="81">
        <v>7</v>
      </c>
      <c r="C94" s="81">
        <v>0.97441023031191198</v>
      </c>
      <c r="D94" s="81">
        <v>1.4643107977621066E-2</v>
      </c>
      <c r="E94" s="81">
        <v>66.54394898959255</v>
      </c>
      <c r="F94" s="122">
        <v>2.7585330451927814E-39</v>
      </c>
      <c r="G94" s="81">
        <v>0.94471263086678969</v>
      </c>
      <c r="H94" s="81">
        <v>1.0041078297570343</v>
      </c>
      <c r="I94" s="81">
        <v>0.94471263086678969</v>
      </c>
      <c r="J94" s="81">
        <v>1.0041078297570343</v>
      </c>
      <c r="K94" s="11">
        <v>7</v>
      </c>
      <c r="L94" s="85">
        <f t="shared" si="5"/>
        <v>3.7101345720504941E-3</v>
      </c>
    </row>
    <row r="95" spans="2:12" x14ac:dyDescent="0.25">
      <c r="B95" s="81">
        <v>8</v>
      </c>
      <c r="C95" s="81">
        <v>0.95191074084871818</v>
      </c>
      <c r="D95" s="81">
        <v>1.4209791410490879E-2</v>
      </c>
      <c r="E95" s="81">
        <v>66.989775806697381</v>
      </c>
      <c r="F95" s="122">
        <v>2.1731724429096072E-39</v>
      </c>
      <c r="G95" s="81">
        <v>0.92309194813391804</v>
      </c>
      <c r="H95" s="81">
        <v>0.98072953356351833</v>
      </c>
      <c r="I95" s="81">
        <v>0.92309194813391804</v>
      </c>
      <c r="J95" s="81">
        <v>0.98072953356351833</v>
      </c>
      <c r="K95" s="11">
        <v>8</v>
      </c>
      <c r="L95" s="85">
        <f t="shared" si="5"/>
        <v>6.1795159384123721E-3</v>
      </c>
    </row>
    <row r="96" spans="2:12" x14ac:dyDescent="0.25">
      <c r="B96" s="81">
        <v>9</v>
      </c>
      <c r="C96" s="81">
        <v>0.92813996368053175</v>
      </c>
      <c r="D96" s="81">
        <v>1.3555773931265329E-2</v>
      </c>
      <c r="E96" s="81">
        <v>68.468238581336166</v>
      </c>
      <c r="F96" s="122">
        <v>9.9627611791166476E-40</v>
      </c>
      <c r="G96" s="81">
        <v>0.90064757989188537</v>
      </c>
      <c r="H96" s="81">
        <v>0.95563234746917813</v>
      </c>
      <c r="I96" s="81">
        <v>0.90064757989188537</v>
      </c>
      <c r="J96" s="81">
        <v>0.95563234746917813</v>
      </c>
      <c r="K96" s="11">
        <v>9</v>
      </c>
      <c r="L96" s="85">
        <f t="shared" si="5"/>
        <v>8.3202821454539944E-3</v>
      </c>
    </row>
    <row r="97" spans="2:12" x14ac:dyDescent="0.25">
      <c r="B97" s="81">
        <v>10</v>
      </c>
      <c r="C97" s="81">
        <v>0.90381884651450717</v>
      </c>
      <c r="D97" s="81">
        <v>1.2955338841321627E-2</v>
      </c>
      <c r="E97" s="81">
        <v>69.764199731444833</v>
      </c>
      <c r="F97" s="122">
        <v>5.0974210099088061E-40</v>
      </c>
      <c r="G97" s="81">
        <v>0.87754420152975376</v>
      </c>
      <c r="H97" s="81">
        <v>0.93009349149926057</v>
      </c>
      <c r="I97" s="81">
        <v>0.87754420152975376</v>
      </c>
      <c r="J97" s="81">
        <v>0.93009349149926057</v>
      </c>
      <c r="K97" s="11">
        <v>10</v>
      </c>
      <c r="L97" s="85">
        <f t="shared" si="5"/>
        <v>1.0163938440882925E-2</v>
      </c>
    </row>
    <row r="98" spans="2:12" x14ac:dyDescent="0.25">
      <c r="B98" s="81">
        <v>11</v>
      </c>
      <c r="C98" s="81">
        <v>0.88987160000962107</v>
      </c>
      <c r="D98" s="81">
        <v>1.5002729102467824E-2</v>
      </c>
      <c r="E98" s="81">
        <v>59.313981738378828</v>
      </c>
      <c r="F98" s="122">
        <v>1.6713677137739345E-37</v>
      </c>
      <c r="G98" s="81">
        <v>0.85944465511857127</v>
      </c>
      <c r="H98" s="81">
        <v>0.92029854490067087</v>
      </c>
      <c r="I98" s="81">
        <v>0.85944465511857127</v>
      </c>
      <c r="J98" s="81">
        <v>0.92029854490067087</v>
      </c>
      <c r="K98" s="11">
        <v>11</v>
      </c>
      <c r="L98" s="85">
        <f t="shared" si="5"/>
        <v>1.0663554377093876E-2</v>
      </c>
    </row>
    <row r="99" spans="2:12" x14ac:dyDescent="0.25">
      <c r="B99" s="81">
        <v>12</v>
      </c>
      <c r="C99" s="81">
        <v>0.86612591949574591</v>
      </c>
      <c r="D99" s="81">
        <v>1.3435167950754055E-2</v>
      </c>
      <c r="E99" s="81">
        <v>64.467070502615798</v>
      </c>
      <c r="F99" s="122">
        <v>8.5586120180123403E-39</v>
      </c>
      <c r="G99" s="81">
        <v>0.83887813597265681</v>
      </c>
      <c r="H99" s="81">
        <v>0.89337370301883501</v>
      </c>
      <c r="I99" s="81">
        <v>0.83887813597265681</v>
      </c>
      <c r="J99" s="81">
        <v>0.89337370301883501</v>
      </c>
      <c r="K99" s="11">
        <v>12</v>
      </c>
      <c r="L99" s="85">
        <f t="shared" si="5"/>
        <v>1.2049093903786279E-2</v>
      </c>
    </row>
    <row r="100" spans="2:12" ht="15.75" thickBot="1" x14ac:dyDescent="0.3">
      <c r="B100" s="82">
        <v>13</v>
      </c>
      <c r="C100" s="82">
        <v>0.84059366805203239</v>
      </c>
      <c r="D100" s="82">
        <v>1.253482410540494E-2</v>
      </c>
      <c r="E100" s="82">
        <v>67.060667224646053</v>
      </c>
      <c r="F100" s="123">
        <v>2.0925977045106014E-39</v>
      </c>
      <c r="G100" s="82">
        <v>0.81517186648051543</v>
      </c>
      <c r="H100" s="82">
        <v>0.86601546962354936</v>
      </c>
      <c r="I100" s="82">
        <v>0.81517186648051543</v>
      </c>
      <c r="J100" s="82">
        <v>0.86601546962354936</v>
      </c>
      <c r="K100" s="11">
        <v>13</v>
      </c>
      <c r="L100" s="86">
        <f t="shared" si="5"/>
        <v>1.3447062322078596E-2</v>
      </c>
    </row>
    <row r="101" spans="2:12" x14ac:dyDescent="0.25">
      <c r="B101"/>
      <c r="C101"/>
      <c r="D101"/>
      <c r="E101"/>
      <c r="F101" s="121"/>
      <c r="G101"/>
      <c r="H101"/>
      <c r="I101"/>
      <c r="J101"/>
    </row>
    <row r="102" spans="2:12" x14ac:dyDescent="0.25">
      <c r="B102"/>
      <c r="C102"/>
      <c r="D102"/>
      <c r="E102"/>
      <c r="F102" s="121"/>
      <c r="G102"/>
      <c r="H102"/>
      <c r="I102"/>
      <c r="J102"/>
    </row>
    <row r="103" spans="2:12" x14ac:dyDescent="0.25">
      <c r="B103"/>
      <c r="C103"/>
      <c r="D103"/>
      <c r="E103"/>
      <c r="F103" s="121"/>
      <c r="G103"/>
      <c r="H103"/>
      <c r="I103"/>
      <c r="J103"/>
    </row>
    <row r="104" spans="2:12" x14ac:dyDescent="0.25">
      <c r="B104"/>
      <c r="C104"/>
      <c r="D104"/>
      <c r="E104"/>
      <c r="F104" s="121"/>
      <c r="G104"/>
      <c r="H104"/>
      <c r="I104"/>
      <c r="J104"/>
    </row>
    <row r="105" spans="2:12" x14ac:dyDescent="0.25">
      <c r="B105"/>
      <c r="C105"/>
      <c r="D105"/>
      <c r="E105"/>
      <c r="F105" s="121"/>
      <c r="G105"/>
      <c r="H105"/>
      <c r="I105"/>
      <c r="J105"/>
    </row>
  </sheetData>
  <mergeCells count="2">
    <mergeCell ref="B14:Q14"/>
    <mergeCell ref="G18:S18"/>
  </mergeCells>
  <conditionalFormatting sqref="D20:D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8"/>
  <sheetViews>
    <sheetView showGridLines="0" zoomScale="80" zoomScaleNormal="80" zoomScalePageLayoutView="120" workbookViewId="0">
      <selection activeCell="L6" sqref="L6"/>
    </sheetView>
  </sheetViews>
  <sheetFormatPr defaultColWidth="9.140625" defaultRowHeight="15" x14ac:dyDescent="0.25"/>
  <cols>
    <col min="1" max="1" width="2.7109375" style="11" customWidth="1"/>
    <col min="2" max="2" width="13" style="11" customWidth="1"/>
    <col min="3" max="3" width="17" style="11" customWidth="1"/>
    <col min="4" max="6" width="9.140625" style="11"/>
    <col min="7" max="7" width="22.42578125" style="11" customWidth="1"/>
    <col min="8" max="20" width="9.140625" style="11"/>
    <col min="21" max="21" width="9.42578125" style="11" bestFit="1" customWidth="1"/>
    <col min="22" max="16384" width="9.140625" style="11"/>
  </cols>
  <sheetData>
    <row r="1" spans="1:40" ht="24.95" customHeight="1" x14ac:dyDescent="0.25">
      <c r="C1" s="11" t="s">
        <v>102</v>
      </c>
    </row>
    <row r="2" spans="1:40" ht="18.75" x14ac:dyDescent="0.3">
      <c r="B2" s="87"/>
      <c r="C2" s="88"/>
      <c r="D2" s="88"/>
      <c r="E2" s="88"/>
      <c r="F2" s="88"/>
      <c r="G2" s="88"/>
      <c r="H2" s="87"/>
      <c r="I2" s="87"/>
      <c r="J2" s="87"/>
      <c r="K2" s="87"/>
      <c r="L2" s="87"/>
      <c r="M2" s="87"/>
      <c r="O2" s="46"/>
      <c r="P2" s="46"/>
      <c r="Q2" s="46"/>
      <c r="R2" s="46"/>
      <c r="S2" s="46"/>
      <c r="T2" s="46"/>
      <c r="U2" s="46"/>
      <c r="V2" s="46"/>
      <c r="W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 x14ac:dyDescent="0.25">
      <c r="A3" s="43"/>
      <c r="B3" s="44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5"/>
      <c r="P3" s="45"/>
      <c r="Q3" s="43"/>
      <c r="R3" s="43"/>
      <c r="S3" s="43"/>
      <c r="T3" s="43"/>
      <c r="U3" s="43"/>
      <c r="V3" s="43"/>
      <c r="W3" s="46"/>
      <c r="AF3" s="47"/>
      <c r="AG3" s="47"/>
      <c r="AH3" s="46"/>
      <c r="AI3" s="46"/>
      <c r="AJ3" s="46"/>
      <c r="AK3" s="46"/>
      <c r="AL3" s="46"/>
      <c r="AM3" s="46"/>
      <c r="AN3" s="46"/>
    </row>
    <row r="4" spans="1:40" x14ac:dyDescent="0.25">
      <c r="B4" s="11" t="s">
        <v>103</v>
      </c>
      <c r="O4" s="48"/>
      <c r="P4" s="48"/>
      <c r="Q4" s="46"/>
      <c r="R4" s="46"/>
      <c r="S4" s="46"/>
      <c r="T4" s="46"/>
      <c r="U4" s="46"/>
      <c r="V4" s="46"/>
      <c r="W4" s="46"/>
      <c r="AF4" s="48"/>
      <c r="AG4" s="48"/>
      <c r="AH4" s="46"/>
      <c r="AI4" s="46"/>
      <c r="AJ4" s="46"/>
      <c r="AK4" s="46"/>
      <c r="AL4" s="46"/>
      <c r="AM4" s="46"/>
      <c r="AN4" s="46"/>
    </row>
    <row r="5" spans="1:40" x14ac:dyDescent="0.25">
      <c r="O5" s="48"/>
      <c r="P5" s="48"/>
      <c r="Q5" s="46"/>
      <c r="R5" s="46"/>
      <c r="S5" s="46"/>
      <c r="T5" s="46"/>
      <c r="U5" s="46"/>
      <c r="V5" s="46"/>
      <c r="W5" s="46"/>
      <c r="AF5" s="48"/>
      <c r="AG5" s="48"/>
      <c r="AH5" s="46"/>
      <c r="AI5" s="46"/>
      <c r="AJ5" s="46"/>
      <c r="AK5" s="46"/>
      <c r="AL5" s="46"/>
      <c r="AM5" s="46"/>
      <c r="AN5" s="46"/>
    </row>
    <row r="6" spans="1:40" x14ac:dyDescent="0.25">
      <c r="B6" s="11" t="s">
        <v>104</v>
      </c>
      <c r="O6" s="48"/>
      <c r="P6" s="48"/>
      <c r="Q6" s="46"/>
      <c r="R6" s="46"/>
      <c r="S6" s="46"/>
      <c r="T6" s="46"/>
      <c r="U6" s="46"/>
      <c r="V6" s="46"/>
      <c r="W6" s="46"/>
      <c r="AF6" s="48"/>
      <c r="AG6" s="48"/>
      <c r="AH6" s="46"/>
      <c r="AI6" s="46"/>
      <c r="AJ6" s="46"/>
      <c r="AK6" s="46"/>
      <c r="AL6" s="46"/>
      <c r="AM6" s="46"/>
      <c r="AN6" s="46"/>
    </row>
    <row r="7" spans="1:40" ht="15.75" thickBot="1" x14ac:dyDescent="0.3">
      <c r="O7" s="48"/>
      <c r="P7" s="48"/>
      <c r="Q7" s="46"/>
      <c r="R7" s="46"/>
      <c r="S7" s="46"/>
      <c r="T7" s="46"/>
      <c r="U7" s="46"/>
      <c r="V7" s="46"/>
      <c r="W7" s="46"/>
      <c r="AF7" s="48"/>
      <c r="AG7" s="48"/>
      <c r="AH7" s="46"/>
      <c r="AI7" s="46"/>
      <c r="AJ7" s="46"/>
      <c r="AK7" s="46"/>
      <c r="AL7" s="46"/>
      <c r="AM7" s="46"/>
      <c r="AN7" s="46"/>
    </row>
    <row r="8" spans="1:40" ht="15.75" thickBot="1" x14ac:dyDescent="0.3">
      <c r="B8" s="89" t="s">
        <v>2</v>
      </c>
      <c r="C8" s="90" t="s">
        <v>105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48"/>
      <c r="P8" s="48"/>
      <c r="Q8" s="46"/>
      <c r="R8" s="46"/>
      <c r="S8" s="46"/>
      <c r="T8" s="46"/>
      <c r="U8" s="46"/>
      <c r="V8" s="46"/>
      <c r="W8" s="46"/>
      <c r="AF8" s="48"/>
      <c r="AG8" s="48"/>
      <c r="AH8" s="46"/>
      <c r="AI8" s="46"/>
      <c r="AJ8" s="46"/>
      <c r="AK8" s="46"/>
      <c r="AL8" s="46"/>
      <c r="AM8" s="46"/>
      <c r="AN8" s="46"/>
    </row>
    <row r="9" spans="1:40" x14ac:dyDescent="0.25">
      <c r="B9" s="91">
        <v>1</v>
      </c>
      <c r="C9" s="92">
        <f>Regression!L88</f>
        <v>-7.0548183352874716E-2</v>
      </c>
      <c r="O9" s="46"/>
      <c r="P9" s="46"/>
      <c r="Q9" s="46"/>
      <c r="R9" s="46"/>
      <c r="S9" s="46"/>
      <c r="T9" s="46"/>
      <c r="U9" s="46"/>
      <c r="V9" s="46"/>
      <c r="W9" s="46"/>
      <c r="AF9" s="46"/>
      <c r="AG9" s="46"/>
      <c r="AH9" s="46"/>
      <c r="AI9" s="46"/>
      <c r="AJ9" s="46"/>
      <c r="AK9" s="46"/>
      <c r="AL9" s="46"/>
      <c r="AM9" s="46"/>
      <c r="AN9" s="46"/>
    </row>
    <row r="10" spans="1:40" x14ac:dyDescent="0.25">
      <c r="B10" s="91">
        <v>2</v>
      </c>
      <c r="C10" s="93">
        <f>Regression!L89</f>
        <v>-3.1276741901433813E-2</v>
      </c>
      <c r="O10" s="46"/>
      <c r="P10" s="46"/>
      <c r="Q10" s="46"/>
      <c r="R10" s="46"/>
      <c r="S10" s="46"/>
      <c r="T10" s="46"/>
      <c r="U10" s="46"/>
      <c r="V10" s="46"/>
      <c r="W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spans="1:40" x14ac:dyDescent="0.25">
      <c r="B11" s="91">
        <v>3</v>
      </c>
      <c r="C11" s="93">
        <f>Regression!L90</f>
        <v>-1.6255590317045154E-2</v>
      </c>
      <c r="O11" s="50"/>
      <c r="P11" s="50"/>
      <c r="Q11" s="50"/>
      <c r="R11" s="50"/>
      <c r="S11" s="50"/>
      <c r="T11" s="50"/>
      <c r="U11" s="46"/>
      <c r="V11" s="46"/>
      <c r="W11" s="46"/>
      <c r="AF11" s="50"/>
      <c r="AG11" s="50"/>
      <c r="AH11" s="50"/>
      <c r="AI11" s="50"/>
      <c r="AJ11" s="50"/>
      <c r="AK11" s="50"/>
      <c r="AL11" s="46"/>
      <c r="AM11" s="46"/>
      <c r="AN11" s="46"/>
    </row>
    <row r="12" spans="1:40" x14ac:dyDescent="0.25">
      <c r="B12" s="91">
        <v>4</v>
      </c>
      <c r="C12" s="93">
        <f>Regression!L91</f>
        <v>-8.0100015074136E-3</v>
      </c>
      <c r="O12" s="48"/>
      <c r="P12" s="48"/>
      <c r="Q12" s="48"/>
      <c r="R12" s="48"/>
      <c r="S12" s="48"/>
      <c r="T12" s="48"/>
      <c r="U12" s="46"/>
      <c r="V12" s="46"/>
      <c r="W12" s="46"/>
      <c r="AF12" s="48"/>
      <c r="AG12" s="48"/>
      <c r="AH12" s="48"/>
      <c r="AI12" s="48"/>
      <c r="AJ12" s="48"/>
      <c r="AK12" s="48"/>
      <c r="AL12" s="46"/>
      <c r="AM12" s="46"/>
      <c r="AN12" s="46"/>
    </row>
    <row r="13" spans="1:40" x14ac:dyDescent="0.25">
      <c r="B13" s="91">
        <v>5</v>
      </c>
      <c r="C13" s="93">
        <f>Regression!L92</f>
        <v>-2.4766492998073986E-3</v>
      </c>
      <c r="O13" s="48"/>
      <c r="P13" s="48"/>
      <c r="Q13" s="48"/>
      <c r="R13" s="48"/>
      <c r="S13" s="48"/>
      <c r="T13" s="48"/>
      <c r="U13" s="46"/>
      <c r="V13" s="46"/>
      <c r="W13" s="46"/>
      <c r="AF13" s="48"/>
      <c r="AG13" s="48"/>
      <c r="AH13" s="48"/>
      <c r="AI13" s="48"/>
      <c r="AJ13" s="48"/>
      <c r="AK13" s="48"/>
      <c r="AL13" s="46"/>
      <c r="AM13" s="46"/>
      <c r="AN13" s="46"/>
    </row>
    <row r="14" spans="1:40" x14ac:dyDescent="0.25">
      <c r="B14" s="91">
        <v>6</v>
      </c>
      <c r="C14" s="93">
        <f>Regression!L93</f>
        <v>7.1177213917961168E-4</v>
      </c>
      <c r="O14" s="48"/>
      <c r="P14" s="48"/>
      <c r="Q14" s="48"/>
      <c r="R14" s="48"/>
      <c r="S14" s="48"/>
      <c r="T14" s="48"/>
      <c r="U14" s="46"/>
      <c r="V14" s="46"/>
      <c r="W14" s="46"/>
      <c r="AF14" s="48"/>
      <c r="AG14" s="48"/>
      <c r="AH14" s="48"/>
      <c r="AI14" s="48"/>
      <c r="AJ14" s="48"/>
      <c r="AK14" s="48"/>
      <c r="AL14" s="46"/>
      <c r="AM14" s="46"/>
      <c r="AN14" s="46"/>
    </row>
    <row r="15" spans="1:40" x14ac:dyDescent="0.25">
      <c r="B15" s="91">
        <v>7</v>
      </c>
      <c r="C15" s="93">
        <f>Regression!L94</f>
        <v>3.7101345720504941E-3</v>
      </c>
      <c r="O15" s="46"/>
      <c r="P15" s="46"/>
      <c r="Q15" s="46"/>
      <c r="R15" s="46"/>
      <c r="S15" s="46"/>
      <c r="T15" s="46"/>
      <c r="U15" s="46"/>
      <c r="V15" s="46"/>
      <c r="W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25">
      <c r="B16" s="91">
        <v>8</v>
      </c>
      <c r="C16" s="93">
        <f>Regression!L95</f>
        <v>6.1795159384123721E-3</v>
      </c>
      <c r="O16" s="50"/>
      <c r="P16" s="50"/>
      <c r="Q16" s="50"/>
      <c r="R16" s="50"/>
      <c r="S16" s="50"/>
      <c r="T16" s="50"/>
      <c r="U16" s="50"/>
      <c r="V16" s="50"/>
      <c r="W16" s="50"/>
      <c r="AF16" s="50"/>
      <c r="AG16" s="50"/>
      <c r="AH16" s="50"/>
      <c r="AI16" s="50"/>
      <c r="AJ16" s="50"/>
      <c r="AK16" s="50"/>
      <c r="AL16" s="50"/>
      <c r="AM16" s="50"/>
      <c r="AN16" s="50"/>
    </row>
    <row r="17" spans="2:40" x14ac:dyDescent="0.25">
      <c r="B17" s="91">
        <v>9</v>
      </c>
      <c r="C17" s="93">
        <f>Regression!L96</f>
        <v>8.3202821454539944E-3</v>
      </c>
      <c r="O17" s="48"/>
      <c r="P17" s="48"/>
      <c r="Q17" s="48"/>
      <c r="R17" s="48"/>
      <c r="S17" s="48"/>
      <c r="T17" s="48"/>
      <c r="U17" s="48"/>
      <c r="V17" s="48"/>
      <c r="W17" s="48"/>
      <c r="AF17" s="48"/>
      <c r="AG17" s="48"/>
      <c r="AH17" s="48"/>
      <c r="AI17" s="48"/>
      <c r="AJ17" s="48"/>
      <c r="AK17" s="48"/>
      <c r="AL17" s="48"/>
      <c r="AM17" s="48"/>
      <c r="AN17" s="48"/>
    </row>
    <row r="18" spans="2:40" x14ac:dyDescent="0.25">
      <c r="B18" s="91">
        <v>10</v>
      </c>
      <c r="C18" s="93">
        <f>Regression!L97</f>
        <v>1.0163938440882925E-2</v>
      </c>
      <c r="O18" s="48"/>
      <c r="P18" s="48"/>
      <c r="Q18" s="48"/>
      <c r="R18" s="48"/>
      <c r="S18" s="48"/>
      <c r="T18" s="48"/>
      <c r="U18" s="48"/>
      <c r="V18" s="48"/>
      <c r="W18" s="48"/>
      <c r="AF18" s="48"/>
      <c r="AG18" s="48"/>
      <c r="AH18" s="48"/>
      <c r="AI18" s="48"/>
      <c r="AJ18" s="48"/>
      <c r="AK18" s="48"/>
      <c r="AL18" s="48"/>
      <c r="AM18" s="48"/>
      <c r="AN18" s="48"/>
    </row>
    <row r="19" spans="2:40" x14ac:dyDescent="0.25">
      <c r="B19" s="91">
        <v>11</v>
      </c>
      <c r="C19" s="93">
        <f>Regression!L98</f>
        <v>1.0663554377093876E-2</v>
      </c>
      <c r="O19" s="48"/>
      <c r="P19" s="48"/>
      <c r="Q19" s="48"/>
      <c r="R19" s="48"/>
      <c r="S19" s="48"/>
      <c r="T19" s="48"/>
      <c r="U19" s="48"/>
      <c r="V19" s="48"/>
      <c r="W19" s="48"/>
      <c r="AF19" s="48"/>
      <c r="AG19" s="48"/>
      <c r="AH19" s="48"/>
      <c r="AI19" s="48"/>
      <c r="AJ19" s="48"/>
      <c r="AK19" s="48"/>
      <c r="AL19" s="48"/>
      <c r="AM19" s="48"/>
      <c r="AN19" s="48"/>
    </row>
    <row r="20" spans="2:40" x14ac:dyDescent="0.25">
      <c r="B20" s="91">
        <v>12</v>
      </c>
      <c r="C20" s="93">
        <f>Regression!L99</f>
        <v>1.2049093903786279E-2</v>
      </c>
      <c r="O20" s="48"/>
      <c r="P20" s="48"/>
      <c r="Q20" s="48"/>
      <c r="R20" s="48"/>
      <c r="S20" s="48"/>
      <c r="T20" s="48"/>
      <c r="U20" s="48"/>
      <c r="V20" s="48"/>
      <c r="W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2:40" ht="15.75" thickBot="1" x14ac:dyDescent="0.3">
      <c r="B21" s="94">
        <v>13</v>
      </c>
      <c r="C21" s="116">
        <f>Regression!L100</f>
        <v>1.3447062322078596E-2</v>
      </c>
      <c r="O21" s="46"/>
      <c r="P21" s="46"/>
      <c r="Q21" s="46"/>
      <c r="R21" s="46"/>
      <c r="S21" s="46"/>
      <c r="T21" s="46"/>
      <c r="U21" s="46"/>
      <c r="V21" s="46"/>
      <c r="W21" s="46"/>
      <c r="AF21" s="46"/>
      <c r="AG21" s="46"/>
      <c r="AH21" s="46"/>
      <c r="AI21" s="46"/>
      <c r="AJ21" s="46"/>
      <c r="AK21" s="46"/>
      <c r="AL21" s="46"/>
      <c r="AM21" s="46"/>
      <c r="AN21" s="46"/>
    </row>
    <row r="22" spans="2:40" x14ac:dyDescent="0.25">
      <c r="O22" s="46"/>
      <c r="P22" s="46"/>
      <c r="Q22" s="46"/>
      <c r="R22" s="46"/>
      <c r="S22" s="46"/>
      <c r="T22" s="46"/>
      <c r="U22" s="46"/>
      <c r="V22" s="46"/>
      <c r="W22" s="46"/>
      <c r="AF22"/>
      <c r="AG22"/>
      <c r="AH22"/>
      <c r="AI22"/>
      <c r="AJ22"/>
      <c r="AK22"/>
      <c r="AL22"/>
      <c r="AM22"/>
      <c r="AN22"/>
    </row>
    <row r="23" spans="2:40" x14ac:dyDescent="0.25">
      <c r="B23" s="95" t="s">
        <v>106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46"/>
      <c r="R23" s="46"/>
      <c r="S23" s="46"/>
      <c r="T23" s="46"/>
      <c r="U23" s="46"/>
      <c r="V23" s="46"/>
      <c r="W23" s="46"/>
      <c r="AF23"/>
      <c r="AG23"/>
      <c r="AH23"/>
      <c r="AI23"/>
      <c r="AJ23"/>
      <c r="AK23"/>
      <c r="AL23"/>
      <c r="AM23"/>
      <c r="AN23"/>
    </row>
    <row r="24" spans="2:40" x14ac:dyDescent="0.25">
      <c r="B24" s="97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46"/>
      <c r="R24" s="46"/>
      <c r="S24" s="46"/>
      <c r="T24" s="46"/>
      <c r="U24" s="46"/>
      <c r="V24" s="46"/>
      <c r="W24" s="46"/>
      <c r="AF24"/>
      <c r="AG24"/>
      <c r="AH24"/>
      <c r="AI24"/>
      <c r="AJ24"/>
      <c r="AK24"/>
      <c r="AL24"/>
      <c r="AM24"/>
      <c r="AN24"/>
    </row>
    <row r="25" spans="2:40" ht="41.25" customHeight="1" thickBot="1" x14ac:dyDescent="0.3">
      <c r="B25" s="51" t="s">
        <v>9</v>
      </c>
      <c r="C25" s="51" t="s">
        <v>107</v>
      </c>
      <c r="D25" s="51" t="s">
        <v>108</v>
      </c>
      <c r="E25" s="51" t="s">
        <v>109</v>
      </c>
      <c r="G25" s="99" t="s">
        <v>110</v>
      </c>
    </row>
    <row r="26" spans="2:40" x14ac:dyDescent="0.25">
      <c r="B26" s="84">
        <f>C9</f>
        <v>-7.0548183352874716E-2</v>
      </c>
      <c r="C26" s="100">
        <v>1</v>
      </c>
      <c r="D26" s="101">
        <f>C26^2</f>
        <v>1</v>
      </c>
      <c r="E26" s="102">
        <f>C26^3</f>
        <v>1</v>
      </c>
      <c r="G26" s="103">
        <f>$C$59+$C$60*C26+$C$61*D26+$C$62*E26</f>
        <v>-6.3426020346048648E-2</v>
      </c>
    </row>
    <row r="27" spans="2:40" x14ac:dyDescent="0.25">
      <c r="B27" s="85">
        <f t="shared" ref="B27:B38" si="0">C10</f>
        <v>-3.1276741901433813E-2</v>
      </c>
      <c r="C27" s="104">
        <v>2</v>
      </c>
      <c r="D27" s="105">
        <f t="shared" ref="D27:D38" si="1">C27^2</f>
        <v>4</v>
      </c>
      <c r="E27" s="106">
        <f t="shared" ref="E27:E38" si="2">C27^3</f>
        <v>8</v>
      </c>
      <c r="G27" s="107">
        <f t="shared" ref="G27:G38" si="3">$C$59+$C$60*C27+$C$61*D27+$C$62*E27</f>
        <v>-3.9150858088806376E-2</v>
      </c>
    </row>
    <row r="28" spans="2:40" x14ac:dyDescent="0.25">
      <c r="B28" s="85">
        <f t="shared" si="0"/>
        <v>-1.6255590317045154E-2</v>
      </c>
      <c r="C28" s="104">
        <v>3</v>
      </c>
      <c r="D28" s="105">
        <f t="shared" si="1"/>
        <v>9</v>
      </c>
      <c r="E28" s="106">
        <f t="shared" si="2"/>
        <v>27</v>
      </c>
      <c r="G28" s="107">
        <f t="shared" si="3"/>
        <v>-2.1105541909554652E-2</v>
      </c>
    </row>
    <row r="29" spans="2:40" x14ac:dyDescent="0.25">
      <c r="B29" s="85">
        <f t="shared" si="0"/>
        <v>-8.0100015074136E-3</v>
      </c>
      <c r="C29" s="104">
        <v>4</v>
      </c>
      <c r="D29" s="105">
        <f t="shared" si="1"/>
        <v>16</v>
      </c>
      <c r="E29" s="106">
        <f t="shared" si="2"/>
        <v>64</v>
      </c>
      <c r="G29" s="107">
        <f t="shared" si="3"/>
        <v>-8.3816945017209255E-3</v>
      </c>
    </row>
    <row r="30" spans="2:40" x14ac:dyDescent="0.25">
      <c r="B30" s="85">
        <f t="shared" si="0"/>
        <v>-2.4766492998073986E-3</v>
      </c>
      <c r="C30" s="104">
        <v>5</v>
      </c>
      <c r="D30" s="105">
        <f t="shared" si="1"/>
        <v>25</v>
      </c>
      <c r="E30" s="106">
        <f t="shared" si="2"/>
        <v>125</v>
      </c>
      <c r="G30" s="107">
        <f t="shared" si="3"/>
        <v>-7.0938558732584062E-5</v>
      </c>
      <c r="U30" s="15"/>
    </row>
    <row r="31" spans="2:40" x14ac:dyDescent="0.25">
      <c r="B31" s="85">
        <f t="shared" si="0"/>
        <v>7.1177213917961168E-4</v>
      </c>
      <c r="C31" s="104">
        <v>6</v>
      </c>
      <c r="D31" s="105">
        <f t="shared" si="1"/>
        <v>36</v>
      </c>
      <c r="E31" s="106">
        <f t="shared" si="2"/>
        <v>216</v>
      </c>
      <c r="G31" s="107">
        <f t="shared" si="3"/>
        <v>4.7351032259829659E-3</v>
      </c>
    </row>
    <row r="32" spans="2:40" x14ac:dyDescent="0.25">
      <c r="B32" s="85">
        <f t="shared" si="0"/>
        <v>3.7101345720504941E-3</v>
      </c>
      <c r="C32" s="104">
        <v>7</v>
      </c>
      <c r="D32" s="105">
        <f t="shared" si="1"/>
        <v>49</v>
      </c>
      <c r="E32" s="106">
        <f t="shared" si="2"/>
        <v>343</v>
      </c>
      <c r="G32" s="107">
        <f t="shared" si="3"/>
        <v>6.9448081589982905E-3</v>
      </c>
    </row>
    <row r="33" spans="2:18" x14ac:dyDescent="0.25">
      <c r="B33" s="85">
        <f t="shared" si="0"/>
        <v>6.1795159384123721E-3</v>
      </c>
      <c r="C33" s="104">
        <v>8</v>
      </c>
      <c r="D33" s="105">
        <f t="shared" si="1"/>
        <v>64</v>
      </c>
      <c r="E33" s="106">
        <f t="shared" si="2"/>
        <v>512</v>
      </c>
      <c r="G33" s="107">
        <f t="shared" si="3"/>
        <v>7.4665535468859817E-3</v>
      </c>
    </row>
    <row r="34" spans="2:18" x14ac:dyDescent="0.25">
      <c r="B34" s="85">
        <f t="shared" si="0"/>
        <v>8.3202821454539944E-3</v>
      </c>
      <c r="C34" s="104">
        <v>9</v>
      </c>
      <c r="D34" s="105">
        <f t="shared" si="1"/>
        <v>81</v>
      </c>
      <c r="E34" s="106">
        <f t="shared" si="2"/>
        <v>729</v>
      </c>
      <c r="G34" s="107">
        <f t="shared" si="3"/>
        <v>7.2087166962186422E-3</v>
      </c>
    </row>
    <row r="35" spans="2:18" x14ac:dyDescent="0.25">
      <c r="B35" s="85">
        <f t="shared" si="0"/>
        <v>1.0163938440882925E-2</v>
      </c>
      <c r="C35" s="104">
        <v>10</v>
      </c>
      <c r="D35" s="105">
        <f t="shared" si="1"/>
        <v>100</v>
      </c>
      <c r="E35" s="106">
        <f t="shared" si="2"/>
        <v>1000</v>
      </c>
      <c r="G35" s="107">
        <f t="shared" si="3"/>
        <v>7.0796749135688952E-3</v>
      </c>
    </row>
    <row r="36" spans="2:18" x14ac:dyDescent="0.25">
      <c r="B36" s="85">
        <f t="shared" si="0"/>
        <v>1.0663554377093876E-2</v>
      </c>
      <c r="C36" s="104">
        <v>11</v>
      </c>
      <c r="D36" s="105">
        <f t="shared" si="1"/>
        <v>121</v>
      </c>
      <c r="E36" s="106">
        <f t="shared" si="2"/>
        <v>1331</v>
      </c>
      <c r="G36" s="107">
        <f t="shared" si="3"/>
        <v>7.9878055055092323E-3</v>
      </c>
    </row>
    <row r="37" spans="2:18" x14ac:dyDescent="0.25">
      <c r="B37" s="85">
        <f t="shared" si="0"/>
        <v>1.2049093903786279E-2</v>
      </c>
      <c r="C37" s="104">
        <v>12</v>
      </c>
      <c r="D37" s="105">
        <f t="shared" si="1"/>
        <v>144</v>
      </c>
      <c r="E37" s="106">
        <f t="shared" si="2"/>
        <v>1728</v>
      </c>
      <c r="G37" s="107">
        <f t="shared" si="3"/>
        <v>1.084148577861227E-2</v>
      </c>
    </row>
    <row r="38" spans="2:18" ht="15.75" thickBot="1" x14ac:dyDescent="0.3">
      <c r="B38" s="86">
        <f t="shared" si="0"/>
        <v>1.3447062322078596E-2</v>
      </c>
      <c r="C38" s="108">
        <v>13</v>
      </c>
      <c r="D38" s="109">
        <f t="shared" si="1"/>
        <v>169</v>
      </c>
      <c r="E38" s="110">
        <f t="shared" si="2"/>
        <v>2197</v>
      </c>
      <c r="G38" s="111">
        <f t="shared" si="3"/>
        <v>1.654909303945068E-2</v>
      </c>
    </row>
    <row r="41" spans="2:18" ht="15" customHeight="1" x14ac:dyDescent="0.25">
      <c r="B41" s="112" t="s">
        <v>114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3"/>
      <c r="O41" s="113"/>
      <c r="P41" s="113"/>
      <c r="Q41" s="113"/>
      <c r="R41" s="113"/>
    </row>
    <row r="42" spans="2:18" ht="15" customHeight="1" x14ac:dyDescent="0.25"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2:18" x14ac:dyDescent="0.25">
      <c r="B43" t="s">
        <v>72</v>
      </c>
      <c r="C43"/>
      <c r="D43"/>
      <c r="E43"/>
      <c r="F43"/>
      <c r="G43"/>
      <c r="H43"/>
      <c r="I43"/>
      <c r="J43"/>
    </row>
    <row r="44" spans="2:18" ht="15.75" thickBot="1" x14ac:dyDescent="0.3">
      <c r="B44"/>
      <c r="C44"/>
      <c r="D44"/>
      <c r="E44"/>
      <c r="F44"/>
      <c r="G44"/>
      <c r="H44"/>
      <c r="I44"/>
      <c r="J44"/>
    </row>
    <row r="45" spans="2:18" x14ac:dyDescent="0.25">
      <c r="B45" s="80" t="s">
        <v>73</v>
      </c>
      <c r="C45" s="80"/>
      <c r="D45"/>
      <c r="E45"/>
      <c r="F45"/>
      <c r="G45"/>
      <c r="H45"/>
      <c r="I45"/>
      <c r="J45"/>
    </row>
    <row r="46" spans="2:18" x14ac:dyDescent="0.25">
      <c r="B46" s="81" t="s">
        <v>74</v>
      </c>
      <c r="C46" s="81">
        <v>0.98487910388395117</v>
      </c>
      <c r="D46"/>
      <c r="E46"/>
      <c r="F46"/>
      <c r="G46"/>
      <c r="H46"/>
      <c r="I46"/>
      <c r="J46"/>
    </row>
    <row r="47" spans="2:18" x14ac:dyDescent="0.25">
      <c r="B47" s="81" t="s">
        <v>75</v>
      </c>
      <c r="C47" s="81">
        <v>0.96998684926725465</v>
      </c>
      <c r="D47"/>
      <c r="E47"/>
      <c r="F47"/>
      <c r="G47"/>
      <c r="H47"/>
      <c r="I47"/>
      <c r="J47"/>
    </row>
    <row r="48" spans="2:18" x14ac:dyDescent="0.25">
      <c r="B48" s="81" t="s">
        <v>76</v>
      </c>
      <c r="C48" s="81">
        <v>0.95998246568967283</v>
      </c>
      <c r="D48"/>
      <c r="E48"/>
      <c r="F48"/>
      <c r="G48"/>
      <c r="H48"/>
      <c r="I48"/>
      <c r="J48"/>
    </row>
    <row r="49" spans="2:17" x14ac:dyDescent="0.25">
      <c r="B49" s="81" t="s">
        <v>77</v>
      </c>
      <c r="C49" s="81">
        <v>4.7077963377120955E-3</v>
      </c>
      <c r="D49"/>
      <c r="E49"/>
      <c r="F49"/>
      <c r="G49"/>
      <c r="H49"/>
      <c r="I49"/>
      <c r="J49"/>
      <c r="O49" s="98"/>
      <c r="P49" s="98"/>
      <c r="Q49" s="98"/>
    </row>
    <row r="50" spans="2:17" ht="15.75" thickBot="1" x14ac:dyDescent="0.3">
      <c r="B50" s="82" t="s">
        <v>78</v>
      </c>
      <c r="C50" s="82">
        <v>13</v>
      </c>
      <c r="D50"/>
      <c r="E50"/>
      <c r="F50"/>
      <c r="G50"/>
      <c r="H50"/>
      <c r="I50"/>
      <c r="J50"/>
      <c r="O50" s="98"/>
      <c r="P50" s="98"/>
      <c r="Q50" s="98"/>
    </row>
    <row r="51" spans="2:17" x14ac:dyDescent="0.25">
      <c r="B51"/>
      <c r="C51"/>
      <c r="D51"/>
      <c r="E51"/>
      <c r="F51"/>
      <c r="G51"/>
      <c r="H51"/>
      <c r="I51"/>
      <c r="J51"/>
      <c r="O51" s="98"/>
      <c r="P51" s="81"/>
      <c r="Q51" s="98"/>
    </row>
    <row r="52" spans="2:17" ht="15.75" thickBot="1" x14ac:dyDescent="0.3">
      <c r="B52" t="s">
        <v>79</v>
      </c>
      <c r="C52"/>
      <c r="D52"/>
      <c r="E52"/>
      <c r="F52"/>
      <c r="G52"/>
      <c r="H52"/>
      <c r="I52"/>
      <c r="J52"/>
      <c r="O52" s="98"/>
      <c r="P52" s="98"/>
      <c r="Q52" s="98"/>
    </row>
    <row r="53" spans="2:17" x14ac:dyDescent="0.25">
      <c r="B53" s="83"/>
      <c r="C53" s="83" t="s">
        <v>84</v>
      </c>
      <c r="D53" s="83" t="s">
        <v>85</v>
      </c>
      <c r="E53" s="83" t="s">
        <v>86</v>
      </c>
      <c r="F53" s="83" t="s">
        <v>87</v>
      </c>
      <c r="G53" s="83" t="s">
        <v>88</v>
      </c>
      <c r="H53"/>
      <c r="I53"/>
      <c r="J53"/>
    </row>
    <row r="54" spans="2:17" x14ac:dyDescent="0.25">
      <c r="B54" s="81" t="s">
        <v>80</v>
      </c>
      <c r="C54" s="81">
        <v>3</v>
      </c>
      <c r="D54" s="81">
        <v>6.4466204246456781E-3</v>
      </c>
      <c r="E54" s="81">
        <v>2.1488734748818929E-3</v>
      </c>
      <c r="F54" s="81">
        <v>96.9561834315151</v>
      </c>
      <c r="G54" s="81">
        <v>3.5915477180641907E-7</v>
      </c>
      <c r="H54"/>
      <c r="I54"/>
      <c r="J54"/>
    </row>
    <row r="55" spans="2:17" x14ac:dyDescent="0.25">
      <c r="B55" s="81" t="s">
        <v>81</v>
      </c>
      <c r="C55" s="81">
        <v>9</v>
      </c>
      <c r="D55" s="81">
        <v>1.9947011721637873E-4</v>
      </c>
      <c r="E55" s="81">
        <v>2.2163346357375416E-5</v>
      </c>
      <c r="F55" s="81"/>
      <c r="G55" s="81"/>
      <c r="H55"/>
      <c r="I55"/>
      <c r="J55"/>
    </row>
    <row r="56" spans="2:17" ht="15.75" thickBot="1" x14ac:dyDescent="0.3">
      <c r="B56" s="82" t="s">
        <v>82</v>
      </c>
      <c r="C56" s="82">
        <v>12</v>
      </c>
      <c r="D56" s="82">
        <v>6.6460905418620573E-3</v>
      </c>
      <c r="E56" s="82"/>
      <c r="F56" s="82"/>
      <c r="G56" s="82"/>
      <c r="H56"/>
      <c r="I56"/>
      <c r="J56"/>
    </row>
    <row r="57" spans="2:17" ht="15.75" thickBot="1" x14ac:dyDescent="0.3">
      <c r="B57"/>
      <c r="C57"/>
      <c r="D57"/>
      <c r="E57"/>
      <c r="F57"/>
      <c r="G57"/>
      <c r="H57"/>
      <c r="I57"/>
      <c r="J57"/>
    </row>
    <row r="58" spans="2:17" x14ac:dyDescent="0.25">
      <c r="B58" s="83"/>
      <c r="C58" s="83" t="s">
        <v>89</v>
      </c>
      <c r="D58" s="83" t="s">
        <v>77</v>
      </c>
      <c r="E58" s="83" t="s">
        <v>90</v>
      </c>
      <c r="F58" s="83" t="s">
        <v>91</v>
      </c>
      <c r="G58" s="83" t="s">
        <v>92</v>
      </c>
      <c r="H58" s="83" t="s">
        <v>93</v>
      </c>
      <c r="I58" s="83" t="s">
        <v>94</v>
      </c>
      <c r="J58" s="83" t="s">
        <v>95</v>
      </c>
    </row>
    <row r="59" spans="2:17" x14ac:dyDescent="0.25">
      <c r="B59" s="81" t="s">
        <v>83</v>
      </c>
      <c r="C59" s="81">
        <v>-9.4839405987854092E-2</v>
      </c>
      <c r="D59" s="81">
        <v>7.1840900056883861E-3</v>
      </c>
      <c r="E59" s="81">
        <v>-13.201310940252689</v>
      </c>
      <c r="F59" s="81">
        <v>3.4027091630204904E-7</v>
      </c>
      <c r="G59" s="81">
        <v>-0.11109094665240907</v>
      </c>
      <c r="H59" s="81">
        <v>-7.8587865323299116E-2</v>
      </c>
      <c r="I59" s="81">
        <v>-0.11109094665240907</v>
      </c>
      <c r="J59" s="81">
        <v>-7.8587865323299116E-2</v>
      </c>
    </row>
    <row r="60" spans="2:17" x14ac:dyDescent="0.25">
      <c r="B60" s="81" t="s">
        <v>96</v>
      </c>
      <c r="C60" s="81">
        <v>3.5285289769611212E-2</v>
      </c>
      <c r="D60" s="81">
        <v>4.2791811943834563E-3</v>
      </c>
      <c r="E60" s="81">
        <v>8.245804084184174</v>
      </c>
      <c r="F60" s="81">
        <v>1.7366948854481646E-5</v>
      </c>
      <c r="G60" s="81">
        <v>2.5605109379825297E-2</v>
      </c>
      <c r="H60" s="81">
        <v>4.4965470159397128E-2</v>
      </c>
      <c r="I60" s="81">
        <v>2.5605109379825297E-2</v>
      </c>
      <c r="J60" s="81">
        <v>4.4965470159397128E-2</v>
      </c>
    </row>
    <row r="61" spans="2:17" x14ac:dyDescent="0.25">
      <c r="B61" s="81" t="s">
        <v>97</v>
      </c>
      <c r="C61" s="81">
        <v>-4.0233003455678725E-3</v>
      </c>
      <c r="D61" s="81">
        <v>6.9693808048269031E-4</v>
      </c>
      <c r="E61" s="81">
        <v>-5.7728232367233927</v>
      </c>
      <c r="F61" s="81">
        <v>2.6847549245539217E-4</v>
      </c>
      <c r="G61" s="81">
        <v>-5.599883816358623E-3</v>
      </c>
      <c r="H61" s="81">
        <v>-2.4467168747771225E-3</v>
      </c>
      <c r="I61" s="81">
        <v>-5.599883816358623E-3</v>
      </c>
      <c r="J61" s="81">
        <v>-2.4467168747771225E-3</v>
      </c>
    </row>
    <row r="62" spans="2:17" ht="15.75" thickBot="1" x14ac:dyDescent="0.3">
      <c r="B62" s="82" t="s">
        <v>98</v>
      </c>
      <c r="C62" s="82">
        <v>1.5139621776209808E-4</v>
      </c>
      <c r="D62" s="82">
        <v>3.2807142267936546E-5</v>
      </c>
      <c r="E62" s="82">
        <v>4.614733478632254</v>
      </c>
      <c r="F62" s="82">
        <v>1.2637698920710593E-3</v>
      </c>
      <c r="G62" s="82">
        <v>7.7181305889745667E-5</v>
      </c>
      <c r="H62" s="82">
        <v>2.2561112963445049E-4</v>
      </c>
      <c r="I62" s="82">
        <v>7.7181305889745667E-5</v>
      </c>
      <c r="J62" s="82">
        <v>2.2561112963445049E-4</v>
      </c>
    </row>
    <row r="63" spans="2:17" x14ac:dyDescent="0.25">
      <c r="B63"/>
      <c r="C63"/>
      <c r="D63"/>
      <c r="E63"/>
      <c r="F63"/>
      <c r="G63"/>
      <c r="H63"/>
      <c r="I63"/>
      <c r="J63"/>
    </row>
    <row r="64" spans="2:17" x14ac:dyDescent="0.25">
      <c r="B64"/>
      <c r="C64"/>
      <c r="D64"/>
      <c r="E64"/>
      <c r="F64"/>
      <c r="G64"/>
      <c r="H64"/>
      <c r="I64"/>
      <c r="J64"/>
    </row>
    <row r="65" spans="2:18" x14ac:dyDescent="0.25">
      <c r="B65"/>
      <c r="C65"/>
      <c r="D65"/>
      <c r="E65"/>
      <c r="F65"/>
      <c r="G65"/>
      <c r="H65"/>
      <c r="I65"/>
      <c r="J65"/>
      <c r="K65" s="112"/>
      <c r="L65" s="112"/>
      <c r="M65" s="112"/>
      <c r="N65" s="113"/>
      <c r="O65" s="113"/>
      <c r="P65" s="113"/>
      <c r="Q65" s="113"/>
      <c r="R65" s="113"/>
    </row>
    <row r="66" spans="2:18" ht="15.75" thickBot="1" x14ac:dyDescent="0.3">
      <c r="B66"/>
      <c r="C66"/>
      <c r="D66"/>
      <c r="E66"/>
      <c r="F66"/>
      <c r="G66"/>
      <c r="H66"/>
      <c r="I66"/>
      <c r="J66"/>
    </row>
    <row r="67" spans="2:18" x14ac:dyDescent="0.25">
      <c r="B67" s="131" t="s">
        <v>111</v>
      </c>
      <c r="C67" s="131"/>
      <c r="D67" s="131"/>
      <c r="E67" s="131"/>
      <c r="F67" s="115">
        <v>6.5</v>
      </c>
      <c r="G67"/>
      <c r="H67"/>
      <c r="I67"/>
      <c r="J67"/>
    </row>
    <row r="68" spans="2:18" ht="15.75" thickBot="1" x14ac:dyDescent="0.3">
      <c r="C68"/>
      <c r="D68"/>
      <c r="E68" s="8" t="s">
        <v>112</v>
      </c>
      <c r="F68" s="111">
        <f>$C$59+$C$60*F67+$C$61*F67^2+$C$62*F67^3</f>
        <v>6.1077242172923665E-3</v>
      </c>
      <c r="G68"/>
      <c r="H68"/>
      <c r="I68"/>
      <c r="J68"/>
    </row>
  </sheetData>
  <mergeCells count="1">
    <mergeCell ref="B67:E6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41" r:id="rId4">
          <objectPr defaultSize="0" autoPict="0" r:id="rId5">
            <anchor moveWithCells="1">
              <from>
                <xdr:col>3</xdr:col>
                <xdr:colOff>609600</xdr:colOff>
                <xdr:row>8</xdr:row>
                <xdr:rowOff>123825</xdr:rowOff>
              </from>
              <to>
                <xdr:col>7</xdr:col>
                <xdr:colOff>190500</xdr:colOff>
                <xdr:row>11</xdr:row>
                <xdr:rowOff>47625</xdr:rowOff>
              </to>
            </anchor>
          </objectPr>
        </oleObject>
      </mc:Choice>
      <mc:Fallback>
        <oleObject progId="Equation.3" shapeId="1024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zoomScale="115" zoomScaleNormal="115" workbookViewId="0">
      <selection activeCell="K4" sqref="K4"/>
    </sheetView>
  </sheetViews>
  <sheetFormatPr defaultRowHeight="15" x14ac:dyDescent="0.25"/>
  <cols>
    <col min="1" max="1" width="11" bestFit="1" customWidth="1"/>
    <col min="4" max="4" width="9.5703125" bestFit="1" customWidth="1"/>
    <col min="5" max="5" width="10.85546875" bestFit="1" customWidth="1"/>
    <col min="6" max="6" width="8.5703125" bestFit="1" customWidth="1"/>
    <col min="7" max="7" width="11" bestFit="1" customWidth="1"/>
    <col min="8" max="10" width="10.140625" customWidth="1"/>
    <col min="11" max="11" width="10.85546875" bestFit="1" customWidth="1"/>
    <col min="12" max="12" width="10.140625" customWidth="1"/>
    <col min="13" max="13" width="13.7109375" bestFit="1" customWidth="1"/>
    <col min="15" max="15" width="11.42578125" customWidth="1"/>
  </cols>
  <sheetData>
    <row r="3" spans="1:16" x14ac:dyDescent="0.25">
      <c r="A3" s="11" t="s">
        <v>5</v>
      </c>
      <c r="B3" s="33">
        <v>100</v>
      </c>
      <c r="C3" s="11"/>
      <c r="D3" s="11" t="s">
        <v>3</v>
      </c>
      <c r="E3" s="32">
        <v>0.04</v>
      </c>
      <c r="F3" s="12"/>
      <c r="G3" s="11" t="s">
        <v>5</v>
      </c>
      <c r="H3" s="33">
        <v>100</v>
      </c>
      <c r="I3" s="11"/>
      <c r="J3" s="11" t="s">
        <v>3</v>
      </c>
      <c r="K3" s="32">
        <v>0.06</v>
      </c>
      <c r="L3" s="3"/>
      <c r="M3" s="49" t="s">
        <v>48</v>
      </c>
      <c r="N3" s="11"/>
      <c r="O3" s="11"/>
      <c r="P3" s="11"/>
    </row>
    <row r="4" spans="1:16" x14ac:dyDescent="0.25">
      <c r="A4" s="11"/>
      <c r="B4" s="11"/>
      <c r="C4" s="11"/>
      <c r="D4" s="11"/>
      <c r="E4" s="12"/>
      <c r="F4" s="12"/>
      <c r="G4" s="11"/>
      <c r="H4" s="11"/>
      <c r="I4" s="11"/>
      <c r="J4" s="11"/>
      <c r="K4" s="12"/>
      <c r="L4" s="12"/>
      <c r="M4" s="11"/>
      <c r="N4" s="11"/>
      <c r="O4" s="11"/>
      <c r="P4" s="11"/>
    </row>
    <row r="5" spans="1:16" x14ac:dyDescent="0.25">
      <c r="A5" s="11"/>
      <c r="B5" s="11"/>
      <c r="C5" s="11"/>
      <c r="D5" s="11"/>
      <c r="E5" s="11"/>
      <c r="F5" s="11"/>
      <c r="G5" s="11" t="s">
        <v>22</v>
      </c>
      <c r="H5" s="10">
        <v>0</v>
      </c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9" t="s">
        <v>38</v>
      </c>
      <c r="B7" s="19" t="s">
        <v>10</v>
      </c>
      <c r="C7" s="19" t="s">
        <v>11</v>
      </c>
      <c r="D7" s="19" t="s">
        <v>12</v>
      </c>
      <c r="E7" s="19" t="s">
        <v>20</v>
      </c>
      <c r="F7" s="11"/>
      <c r="G7" s="19" t="s">
        <v>18</v>
      </c>
      <c r="H7" s="19" t="s">
        <v>10</v>
      </c>
      <c r="I7" s="19" t="s">
        <v>11</v>
      </c>
      <c r="J7" s="19" t="s">
        <v>12</v>
      </c>
      <c r="K7" s="19" t="s">
        <v>20</v>
      </c>
      <c r="L7" s="11"/>
      <c r="M7" s="11" t="s">
        <v>42</v>
      </c>
      <c r="N7" s="11" t="s">
        <v>14</v>
      </c>
      <c r="O7" s="11" t="s">
        <v>42</v>
      </c>
      <c r="P7" s="11" t="s">
        <v>14</v>
      </c>
    </row>
    <row r="8" spans="1:16" x14ac:dyDescent="0.25">
      <c r="A8" s="11"/>
      <c r="B8" s="11"/>
      <c r="C8" s="11"/>
      <c r="D8" s="11"/>
      <c r="E8" s="35">
        <f>-D15</f>
        <v>-94.902069446544488</v>
      </c>
      <c r="F8" s="14"/>
      <c r="G8" s="11"/>
      <c r="H8" s="11"/>
      <c r="I8" s="11"/>
      <c r="J8" s="11"/>
      <c r="K8" s="35">
        <f>-J15</f>
        <v>-100.478891335634</v>
      </c>
      <c r="L8" s="14"/>
      <c r="M8" s="16"/>
      <c r="N8" s="11"/>
      <c r="O8" s="11"/>
      <c r="P8" s="11"/>
    </row>
    <row r="9" spans="1:16" x14ac:dyDescent="0.25">
      <c r="A9" s="12">
        <v>0.01</v>
      </c>
      <c r="B9" s="11">
        <v>0.5</v>
      </c>
      <c r="C9" s="33">
        <f>B3*E3/2</f>
        <v>2</v>
      </c>
      <c r="D9" s="35">
        <f>C9/(1+A9/2)^(B9*2)</f>
        <v>1.9900497512437814</v>
      </c>
      <c r="E9" s="34">
        <f>C9</f>
        <v>2</v>
      </c>
      <c r="F9" s="12"/>
      <c r="G9" s="12">
        <f t="shared" ref="G9:G14" si="0">A9+$H$5</f>
        <v>0.01</v>
      </c>
      <c r="H9" s="11">
        <v>0.5</v>
      </c>
      <c r="I9" s="33">
        <f>H3*K3/2</f>
        <v>3</v>
      </c>
      <c r="J9" s="35">
        <f>I9/(1+G9/2)^(H9*2)</f>
        <v>2.9850746268656718</v>
      </c>
      <c r="K9" s="34">
        <f>I9</f>
        <v>3</v>
      </c>
      <c r="L9" s="31"/>
      <c r="M9" s="117">
        <f>C9*B9/(1+A9/2)^(2*B9+1)</f>
        <v>0.99007450310635903</v>
      </c>
      <c r="N9" s="15">
        <f>M9/M$15</f>
        <v>3.7717380042520407E-3</v>
      </c>
      <c r="O9" s="117">
        <f t="shared" ref="O9:O14" si="1">I9*H9/(1+G9/2)^(2*H9+1)</f>
        <v>1.4851117546595385</v>
      </c>
      <c r="P9" s="15">
        <f>O9/O$15</f>
        <v>5.4643170407659468E-3</v>
      </c>
    </row>
    <row r="10" spans="1:16" x14ac:dyDescent="0.25">
      <c r="A10" s="12">
        <v>0.02</v>
      </c>
      <c r="B10" s="11">
        <v>1</v>
      </c>
      <c r="C10" s="33">
        <f>C9</f>
        <v>2</v>
      </c>
      <c r="D10" s="35">
        <f t="shared" ref="D10:D14" si="2">C10/(1+A10/2)^(B10*2)</f>
        <v>1.9605920988138417</v>
      </c>
      <c r="E10" s="34">
        <f t="shared" ref="E10:E14" si="3">C10</f>
        <v>2</v>
      </c>
      <c r="F10" s="12"/>
      <c r="G10" s="12">
        <f t="shared" si="0"/>
        <v>0.02</v>
      </c>
      <c r="H10" s="11">
        <v>1</v>
      </c>
      <c r="I10" s="33">
        <f>I9</f>
        <v>3</v>
      </c>
      <c r="J10" s="35">
        <f t="shared" ref="J10:J14" si="4">I10/(1+G10/2)^(H10*2)</f>
        <v>2.9408881482207625</v>
      </c>
      <c r="K10" s="34">
        <f t="shared" ref="K10:K14" si="5">I10</f>
        <v>3</v>
      </c>
      <c r="L10" s="31"/>
      <c r="M10" s="117">
        <f t="shared" ref="M10:M14" si="6">C10*B10/(1+A10/2)^(2*B10+1)</f>
        <v>1.9411802958552891</v>
      </c>
      <c r="N10" s="15">
        <f t="shared" ref="N10:P14" si="7">M10/M$15</f>
        <v>7.3950227705198131E-3</v>
      </c>
      <c r="O10" s="117">
        <f t="shared" si="1"/>
        <v>2.9117704437829337</v>
      </c>
      <c r="P10" s="15">
        <f t="shared" si="7"/>
        <v>1.0713561996153795E-2</v>
      </c>
    </row>
    <row r="11" spans="1:16" x14ac:dyDescent="0.25">
      <c r="A11" s="12">
        <v>0.03</v>
      </c>
      <c r="B11" s="11">
        <v>1.5</v>
      </c>
      <c r="C11" s="33">
        <f t="shared" ref="C11:C13" si="8">C10</f>
        <v>2</v>
      </c>
      <c r="D11" s="35">
        <f t="shared" si="2"/>
        <v>1.9126339874820504</v>
      </c>
      <c r="E11" s="34">
        <f t="shared" si="3"/>
        <v>2</v>
      </c>
      <c r="F11" s="12"/>
      <c r="G11" s="12">
        <f t="shared" si="0"/>
        <v>0.03</v>
      </c>
      <c r="H11" s="11">
        <v>1.5</v>
      </c>
      <c r="I11" s="33">
        <f t="shared" ref="I11:I13" si="9">I10</f>
        <v>3</v>
      </c>
      <c r="J11" s="35">
        <f t="shared" si="4"/>
        <v>2.8689509812230756</v>
      </c>
      <c r="K11" s="34">
        <f t="shared" si="5"/>
        <v>3</v>
      </c>
      <c r="L11" s="31"/>
      <c r="M11" s="117">
        <f t="shared" si="6"/>
        <v>2.8265526908601735</v>
      </c>
      <c r="N11" s="15">
        <f t="shared" si="7"/>
        <v>1.0767892892594694E-2</v>
      </c>
      <c r="O11" s="117">
        <f t="shared" si="1"/>
        <v>4.23982903629026</v>
      </c>
      <c r="P11" s="15">
        <f t="shared" si="7"/>
        <v>1.5600017965143867E-2</v>
      </c>
    </row>
    <row r="12" spans="1:16" x14ac:dyDescent="0.25">
      <c r="A12" s="12">
        <v>0.04</v>
      </c>
      <c r="B12" s="11">
        <v>2</v>
      </c>
      <c r="C12" s="33">
        <f t="shared" si="8"/>
        <v>2</v>
      </c>
      <c r="D12" s="35">
        <f t="shared" si="2"/>
        <v>1.8476908520530284</v>
      </c>
      <c r="E12" s="34">
        <f t="shared" si="3"/>
        <v>2</v>
      </c>
      <c r="F12" s="12"/>
      <c r="G12" s="12">
        <f t="shared" si="0"/>
        <v>0.04</v>
      </c>
      <c r="H12" s="11">
        <v>2</v>
      </c>
      <c r="I12" s="33">
        <f t="shared" si="9"/>
        <v>3</v>
      </c>
      <c r="J12" s="35">
        <f t="shared" si="4"/>
        <v>2.7715362780795427</v>
      </c>
      <c r="K12" s="34">
        <f t="shared" si="5"/>
        <v>3</v>
      </c>
      <c r="L12" s="31"/>
      <c r="M12" s="117">
        <f t="shared" si="6"/>
        <v>3.6229232393196638</v>
      </c>
      <c r="N12" s="15">
        <f t="shared" si="7"/>
        <v>1.3801706058843888E-2</v>
      </c>
      <c r="O12" s="117">
        <f t="shared" si="1"/>
        <v>5.4343848589794952</v>
      </c>
      <c r="P12" s="15">
        <f t="shared" si="7"/>
        <v>1.9995264125971263E-2</v>
      </c>
    </row>
    <row r="13" spans="1:16" x14ac:dyDescent="0.25">
      <c r="A13" s="12">
        <v>0.05</v>
      </c>
      <c r="B13" s="11">
        <v>2.5</v>
      </c>
      <c r="C13" s="33">
        <f t="shared" si="8"/>
        <v>2</v>
      </c>
      <c r="D13" s="35">
        <f t="shared" si="2"/>
        <v>1.7677085752190342</v>
      </c>
      <c r="E13" s="34">
        <f t="shared" si="3"/>
        <v>2</v>
      </c>
      <c r="F13" s="12"/>
      <c r="G13" s="12">
        <f t="shared" si="0"/>
        <v>0.05</v>
      </c>
      <c r="H13" s="11">
        <v>2.5</v>
      </c>
      <c r="I13" s="33">
        <f t="shared" si="9"/>
        <v>3</v>
      </c>
      <c r="J13" s="35">
        <f t="shared" si="4"/>
        <v>2.6515628628285515</v>
      </c>
      <c r="K13" s="34">
        <f t="shared" si="5"/>
        <v>3</v>
      </c>
      <c r="L13" s="31"/>
      <c r="M13" s="117">
        <f t="shared" si="6"/>
        <v>4.3114843298025232</v>
      </c>
      <c r="N13" s="15">
        <f t="shared" si="7"/>
        <v>1.6424813739200381E-2</v>
      </c>
      <c r="O13" s="117">
        <f t="shared" si="1"/>
        <v>6.4672264947037847</v>
      </c>
      <c r="P13" s="15">
        <f t="shared" si="7"/>
        <v>2.3795499450210981E-2</v>
      </c>
    </row>
    <row r="14" spans="1:16" x14ac:dyDescent="0.25">
      <c r="A14" s="12">
        <v>0.06</v>
      </c>
      <c r="B14" s="11">
        <v>3</v>
      </c>
      <c r="C14" s="33">
        <f>C13+B3</f>
        <v>102</v>
      </c>
      <c r="D14" s="35">
        <f t="shared" si="2"/>
        <v>85.423394181732746</v>
      </c>
      <c r="E14" s="34">
        <f t="shared" si="3"/>
        <v>102</v>
      </c>
      <c r="F14" s="12"/>
      <c r="G14" s="12">
        <f t="shared" si="0"/>
        <v>0.06</v>
      </c>
      <c r="H14" s="11">
        <v>3</v>
      </c>
      <c r="I14" s="33">
        <f>I13+H3</f>
        <v>103</v>
      </c>
      <c r="J14" s="35">
        <f t="shared" si="4"/>
        <v>86.260878438416398</v>
      </c>
      <c r="K14" s="34">
        <f t="shared" si="5"/>
        <v>103</v>
      </c>
      <c r="L14" s="31"/>
      <c r="M14" s="117">
        <f t="shared" si="6"/>
        <v>248.80600247106625</v>
      </c>
      <c r="N14" s="15">
        <f t="shared" si="7"/>
        <v>0.94783882653458917</v>
      </c>
      <c r="O14" s="117">
        <f t="shared" si="1"/>
        <v>251.24527700509631</v>
      </c>
      <c r="P14" s="15">
        <f t="shared" si="7"/>
        <v>0.92443133942175404</v>
      </c>
    </row>
    <row r="15" spans="1:16" x14ac:dyDescent="0.25">
      <c r="A15" s="11"/>
      <c r="B15" s="11"/>
      <c r="C15" s="11" t="s">
        <v>13</v>
      </c>
      <c r="D15" s="35">
        <f>SUM(D9:D14)</f>
        <v>94.902069446544488</v>
      </c>
      <c r="E15" s="33"/>
      <c r="F15" s="11"/>
      <c r="G15" s="29"/>
      <c r="H15" s="11"/>
      <c r="I15" s="11" t="s">
        <v>13</v>
      </c>
      <c r="J15" s="35">
        <f>SUM(J9:J14)</f>
        <v>100.478891335634</v>
      </c>
      <c r="K15" s="33"/>
      <c r="L15" s="11"/>
      <c r="M15" s="117">
        <f>SUM(M9:M14)</f>
        <v>262.49821753001027</v>
      </c>
      <c r="N15" s="117"/>
      <c r="O15" s="117">
        <f>SUM(O9:O14)</f>
        <v>271.78359959351235</v>
      </c>
      <c r="P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 x14ac:dyDescent="0.25">
      <c r="A17" s="12">
        <f>AVERAGE(G9:G14)</f>
        <v>3.5000000000000003E-2</v>
      </c>
      <c r="B17" s="11"/>
      <c r="C17" s="11"/>
      <c r="D17" s="11" t="s">
        <v>19</v>
      </c>
      <c r="E17" s="29">
        <f>IRR(E8:E14)*2</f>
        <v>5.8783374887432238E-2</v>
      </c>
      <c r="F17" s="29"/>
      <c r="I17" s="11"/>
      <c r="J17" s="11" t="s">
        <v>19</v>
      </c>
      <c r="K17" s="29">
        <f>IRR(K8:K14)*2</f>
        <v>5.8237118922325415E-2</v>
      </c>
      <c r="L17" s="29"/>
      <c r="M17" s="16" t="s">
        <v>49</v>
      </c>
      <c r="N17" s="29">
        <f>SUMPRODUCT(A9:A14,N9:N14)</f>
        <v>5.8752293143619884E-2</v>
      </c>
      <c r="O17" s="29"/>
      <c r="P17" s="29">
        <f>SUMPRODUCT(G9:G14,P9:P14)</f>
        <v>5.8192380852139694E-2</v>
      </c>
    </row>
    <row r="18" spans="1:17" x14ac:dyDescent="0.25">
      <c r="A18" s="11"/>
      <c r="B18" s="12"/>
      <c r="C18" s="14"/>
      <c r="D18" s="11"/>
      <c r="E18" s="17"/>
      <c r="F18" s="17"/>
      <c r="G18" s="17"/>
      <c r="H18" s="17"/>
      <c r="I18" s="17"/>
      <c r="J18" s="17"/>
      <c r="K18" s="17"/>
      <c r="L18" s="17"/>
      <c r="M18" s="16"/>
      <c r="N18" s="11"/>
      <c r="O18" s="11"/>
      <c r="P18" s="11"/>
    </row>
    <row r="19" spans="1:17" x14ac:dyDescent="0.25">
      <c r="A19" s="11"/>
      <c r="B19" s="12"/>
      <c r="C19" s="14"/>
      <c r="D19" s="11"/>
      <c r="E19" s="17"/>
      <c r="F19" s="17"/>
      <c r="G19" s="17"/>
      <c r="H19" s="17"/>
      <c r="I19" s="17"/>
      <c r="J19" s="11" t="s">
        <v>21</v>
      </c>
      <c r="K19" s="9">
        <f>K17-E17</f>
        <v>-5.4625596510682328E-4</v>
      </c>
      <c r="L19" s="17"/>
      <c r="M19" s="11" t="s">
        <v>21</v>
      </c>
      <c r="N19" s="29">
        <f>N17-E17</f>
        <v>-3.1081743812354234E-5</v>
      </c>
      <c r="O19" s="11"/>
      <c r="P19" s="29">
        <f>P17-K17</f>
        <v>-4.4738070185720846E-5</v>
      </c>
    </row>
    <row r="20" spans="1:1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4" spans="1:17" x14ac:dyDescent="0.25">
      <c r="N24" s="6"/>
      <c r="Q24" s="6"/>
    </row>
    <row r="25" spans="1:17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Q25" s="3"/>
    </row>
    <row r="26" spans="1:17" x14ac:dyDescent="0.25">
      <c r="N26" s="6"/>
    </row>
    <row r="31" spans="1:17" x14ac:dyDescent="0.25">
      <c r="M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X72"/>
  <sheetViews>
    <sheetView topLeftCell="D1" zoomScale="115" zoomScaleNormal="115" workbookViewId="0">
      <selection activeCell="T20" sqref="T20"/>
    </sheetView>
  </sheetViews>
  <sheetFormatPr defaultRowHeight="15" x14ac:dyDescent="0.25"/>
  <cols>
    <col min="8" max="12" width="11" customWidth="1"/>
    <col min="13" max="13" width="26.28515625" customWidth="1"/>
    <col min="17" max="17" width="15.28515625" customWidth="1"/>
    <col min="18" max="18" width="13.140625" customWidth="1"/>
    <col min="19" max="19" width="12" bestFit="1" customWidth="1"/>
  </cols>
  <sheetData>
    <row r="3" spans="8:19" x14ac:dyDescent="0.25">
      <c r="H3" s="11" t="s">
        <v>5</v>
      </c>
      <c r="I3" s="124">
        <v>100</v>
      </c>
      <c r="J3" s="11"/>
      <c r="K3" s="11" t="s">
        <v>3</v>
      </c>
      <c r="L3" s="12">
        <v>0.04</v>
      </c>
      <c r="M3" s="11"/>
      <c r="N3" s="11"/>
      <c r="P3" s="11"/>
      <c r="Q3" s="11"/>
      <c r="R3" s="11"/>
      <c r="S3" s="11"/>
    </row>
    <row r="4" spans="8:19" x14ac:dyDescent="0.25">
      <c r="H4" s="11"/>
      <c r="I4" s="11"/>
      <c r="J4" s="11"/>
      <c r="K4" s="11" t="s">
        <v>6</v>
      </c>
      <c r="L4" s="12">
        <v>0.05</v>
      </c>
      <c r="M4" s="11"/>
      <c r="N4" s="11"/>
      <c r="P4" s="11"/>
      <c r="Q4" s="11" t="s">
        <v>29</v>
      </c>
      <c r="R4" s="11"/>
      <c r="S4" s="11"/>
    </row>
    <row r="5" spans="8:19" x14ac:dyDescent="0.25">
      <c r="H5" s="11"/>
      <c r="I5" s="11"/>
      <c r="J5" s="11"/>
      <c r="K5" s="11"/>
      <c r="L5" s="11"/>
      <c r="M5" s="11"/>
      <c r="N5" s="11"/>
      <c r="P5" s="11"/>
      <c r="Q5" s="11" t="s">
        <v>30</v>
      </c>
      <c r="R5" s="12">
        <v>0.06</v>
      </c>
      <c r="S5" s="11"/>
    </row>
    <row r="6" spans="8:19" x14ac:dyDescent="0.25">
      <c r="H6" s="11"/>
      <c r="I6" s="11"/>
      <c r="J6" s="11"/>
      <c r="K6" s="11"/>
      <c r="L6" s="11"/>
      <c r="M6" s="11"/>
      <c r="N6" s="11"/>
      <c r="P6" s="11"/>
      <c r="Q6" s="11"/>
      <c r="R6" s="11"/>
      <c r="S6" s="11"/>
    </row>
    <row r="7" spans="8:19" x14ac:dyDescent="0.25">
      <c r="H7" s="13" t="s">
        <v>10</v>
      </c>
      <c r="I7" s="13" t="s">
        <v>11</v>
      </c>
      <c r="J7" s="13" t="s">
        <v>12</v>
      </c>
      <c r="K7" s="13" t="s">
        <v>14</v>
      </c>
      <c r="L7" s="13" t="s">
        <v>15</v>
      </c>
      <c r="M7" s="11" t="s">
        <v>128</v>
      </c>
      <c r="N7" s="11"/>
      <c r="P7" s="11"/>
      <c r="Q7" s="11" t="s">
        <v>31</v>
      </c>
      <c r="R7" s="125">
        <f>-PV(R5/2,6,I8,I3)</f>
        <v>94.582808556121805</v>
      </c>
      <c r="S7" s="11"/>
    </row>
    <row r="8" spans="8:19" x14ac:dyDescent="0.25">
      <c r="H8" s="11">
        <v>0.5</v>
      </c>
      <c r="I8" s="36">
        <f>I3*L3/2</f>
        <v>2</v>
      </c>
      <c r="J8" s="36">
        <f>I8/(1+$L$4/2)^(2*H8)</f>
        <v>1.9512195121951221</v>
      </c>
      <c r="K8" s="15">
        <f>J8/$J$14</f>
        <v>2.006479207239514E-2</v>
      </c>
      <c r="L8" s="16">
        <f>H8*K8</f>
        <v>1.003239603619757E-2</v>
      </c>
      <c r="M8" s="16">
        <f t="shared" ref="M8:M13" si="0">H8*(H8+0.5)*K8</f>
        <v>1.003239603619757E-2</v>
      </c>
      <c r="N8" s="11"/>
      <c r="P8" s="11"/>
      <c r="Q8" s="11"/>
      <c r="R8" s="11"/>
      <c r="S8" s="11"/>
    </row>
    <row r="9" spans="8:19" x14ac:dyDescent="0.25">
      <c r="H9" s="11">
        <v>1</v>
      </c>
      <c r="I9" s="36">
        <f>I8</f>
        <v>2</v>
      </c>
      <c r="J9" s="36">
        <f t="shared" ref="J9:J13" si="1">I9/(1+$L$4/2)^(2*H9)</f>
        <v>1.9036287923854849</v>
      </c>
      <c r="K9" s="15">
        <f t="shared" ref="K9:K13" si="2">J9/$J$14</f>
        <v>1.9575406899897698E-2</v>
      </c>
      <c r="L9" s="16">
        <f t="shared" ref="L9:L13" si="3">H9*K9</f>
        <v>1.9575406899897698E-2</v>
      </c>
      <c r="M9" s="16">
        <f t="shared" si="0"/>
        <v>2.9363110349846545E-2</v>
      </c>
      <c r="N9" s="11"/>
      <c r="P9" s="11"/>
      <c r="Q9" s="11" t="s">
        <v>33</v>
      </c>
      <c r="R9" s="12">
        <f>R5-L4</f>
        <v>9.999999999999995E-3</v>
      </c>
      <c r="S9" s="11"/>
    </row>
    <row r="10" spans="8:19" x14ac:dyDescent="0.25">
      <c r="H10" s="11">
        <v>1.5</v>
      </c>
      <c r="I10" s="36">
        <f t="shared" ref="I10:I12" si="4">I9</f>
        <v>2</v>
      </c>
      <c r="J10" s="36">
        <f t="shared" si="1"/>
        <v>1.8571988218394977</v>
      </c>
      <c r="K10" s="15">
        <f t="shared" si="2"/>
        <v>1.9097957951119706E-2</v>
      </c>
      <c r="L10" s="16">
        <f t="shared" si="3"/>
        <v>2.8646936926679557E-2</v>
      </c>
      <c r="M10" s="16">
        <f t="shared" si="0"/>
        <v>5.7293873853359115E-2</v>
      </c>
      <c r="N10" s="11"/>
      <c r="P10" s="11"/>
      <c r="Q10" s="11" t="s">
        <v>34</v>
      </c>
      <c r="R10" s="36">
        <f>R7-J14</f>
        <v>-2.6631287630883236</v>
      </c>
      <c r="S10" s="11"/>
    </row>
    <row r="11" spans="8:19" x14ac:dyDescent="0.25">
      <c r="H11" s="11">
        <v>2</v>
      </c>
      <c r="I11" s="36">
        <f t="shared" si="4"/>
        <v>2</v>
      </c>
      <c r="J11" s="36">
        <f t="shared" si="1"/>
        <v>1.8119012895995101</v>
      </c>
      <c r="K11" s="15">
        <f t="shared" si="2"/>
        <v>1.8632154098653375E-2</v>
      </c>
      <c r="L11" s="16">
        <f t="shared" si="3"/>
        <v>3.726430819730675E-2</v>
      </c>
      <c r="M11" s="16">
        <f t="shared" si="0"/>
        <v>9.3160770493266876E-2</v>
      </c>
      <c r="N11" s="11"/>
      <c r="P11" s="11"/>
      <c r="Q11" s="11" t="s">
        <v>35</v>
      </c>
      <c r="R11" s="28">
        <f>R10/J14</f>
        <v>-2.7385501507858311E-2</v>
      </c>
      <c r="S11" s="11"/>
    </row>
    <row r="12" spans="8:19" x14ac:dyDescent="0.25">
      <c r="H12" s="11">
        <v>2.5</v>
      </c>
      <c r="I12" s="36">
        <f t="shared" si="4"/>
        <v>2</v>
      </c>
      <c r="J12" s="36">
        <f t="shared" si="1"/>
        <v>1.7677085752190342</v>
      </c>
      <c r="K12" s="15">
        <f t="shared" si="2"/>
        <v>1.817771131575939E-2</v>
      </c>
      <c r="L12" s="16">
        <f t="shared" si="3"/>
        <v>4.5444278289398475E-2</v>
      </c>
      <c r="M12" s="16">
        <f t="shared" si="0"/>
        <v>0.13633283486819542</v>
      </c>
      <c r="N12" s="11"/>
      <c r="P12" s="11"/>
      <c r="Q12" s="11"/>
      <c r="R12" s="11"/>
      <c r="S12" s="11"/>
    </row>
    <row r="13" spans="8:19" x14ac:dyDescent="0.25">
      <c r="H13" s="19">
        <v>3</v>
      </c>
      <c r="I13" s="37">
        <f>I12+I3</f>
        <v>102</v>
      </c>
      <c r="J13" s="37">
        <f t="shared" si="1"/>
        <v>87.954280327971475</v>
      </c>
      <c r="K13" s="20">
        <f t="shared" si="2"/>
        <v>0.90445197766217467</v>
      </c>
      <c r="L13" s="21">
        <f t="shared" si="3"/>
        <v>2.713355932986524</v>
      </c>
      <c r="M13" s="21">
        <f t="shared" si="0"/>
        <v>9.4967457654528342</v>
      </c>
      <c r="N13" s="11"/>
      <c r="P13" s="11"/>
      <c r="Q13" s="11" t="s">
        <v>32</v>
      </c>
      <c r="R13" s="11"/>
      <c r="S13" s="11"/>
    </row>
    <row r="14" spans="8:19" x14ac:dyDescent="0.25">
      <c r="H14" s="11"/>
      <c r="I14" s="36" t="s">
        <v>13</v>
      </c>
      <c r="J14" s="125">
        <f>SUM(J8:J13)</f>
        <v>97.245937319210128</v>
      </c>
      <c r="K14" s="15">
        <f>SUM(K8:K13)</f>
        <v>1</v>
      </c>
      <c r="L14" s="16">
        <f>SUM(L8:L13)</f>
        <v>2.8543192593360041</v>
      </c>
      <c r="M14" s="16">
        <f>SUM(M8:M13)</f>
        <v>9.8229287510537002</v>
      </c>
      <c r="N14" s="11"/>
      <c r="P14" s="11"/>
      <c r="Q14" s="11" t="s">
        <v>36</v>
      </c>
      <c r="R14" s="11"/>
      <c r="S14" s="11"/>
    </row>
    <row r="15" spans="8:19" x14ac:dyDescent="0.25">
      <c r="H15" s="11"/>
      <c r="I15" s="36"/>
      <c r="J15" s="36"/>
      <c r="K15" s="11"/>
      <c r="L15" s="11"/>
      <c r="M15" s="11"/>
      <c r="N15" s="11"/>
      <c r="P15" s="11"/>
      <c r="Q15" s="11" t="s">
        <v>35</v>
      </c>
      <c r="R15" s="28">
        <f>-L18*R9</f>
        <v>-2.7847017164253689E-2</v>
      </c>
      <c r="S15" s="11"/>
    </row>
    <row r="16" spans="8:19" x14ac:dyDescent="0.25">
      <c r="H16" s="13" t="s">
        <v>6</v>
      </c>
      <c r="I16" s="38" t="s">
        <v>0</v>
      </c>
      <c r="J16" s="36"/>
      <c r="K16" s="11"/>
      <c r="L16" s="11"/>
      <c r="M16" s="11"/>
      <c r="N16" s="11"/>
      <c r="P16" s="11"/>
      <c r="Q16" s="11"/>
      <c r="R16" s="126">
        <f>J14*(1+R15)</f>
        <v>94.537928033528146</v>
      </c>
      <c r="S16" s="127">
        <f>R7-R16</f>
        <v>4.4880522593658156E-2</v>
      </c>
    </row>
    <row r="17" spans="8:23" x14ac:dyDescent="0.25">
      <c r="H17" s="12">
        <v>4.8000000000000001E-2</v>
      </c>
      <c r="I17" s="36">
        <f>-PV(H17/2,6,I8,I3)</f>
        <v>97.789362299806726</v>
      </c>
      <c r="J17" s="36"/>
      <c r="K17" s="22" t="s">
        <v>16</v>
      </c>
      <c r="L17" s="16">
        <f>L14</f>
        <v>2.8543192593360041</v>
      </c>
      <c r="M17" s="11"/>
      <c r="N17" s="11"/>
      <c r="S17" s="128"/>
    </row>
    <row r="18" spans="8:23" x14ac:dyDescent="0.25">
      <c r="H18" s="12">
        <v>0.05</v>
      </c>
      <c r="I18" s="36">
        <f>J14</f>
        <v>97.245937319210128</v>
      </c>
      <c r="J18" s="36"/>
      <c r="K18" s="22" t="s">
        <v>37</v>
      </c>
      <c r="L18" s="16">
        <f>L17/(1+$L$4/2)</f>
        <v>2.7847017164253702</v>
      </c>
      <c r="M18" s="11" t="str">
        <f ca="1">_xlfn.FORMULATEXT(L18)</f>
        <v>=L17/(1+$L$4/2)</v>
      </c>
      <c r="N18" s="11"/>
      <c r="Q18" s="11" t="s">
        <v>130</v>
      </c>
      <c r="S18" s="128"/>
    </row>
    <row r="19" spans="8:23" x14ac:dyDescent="0.25">
      <c r="H19" s="12">
        <v>5.1999999999999998E-2</v>
      </c>
      <c r="I19" s="36">
        <f>-PV(H19/2,6,I8,I3)</f>
        <v>96.706149203510194</v>
      </c>
      <c r="J19" s="36"/>
      <c r="K19" s="22" t="s">
        <v>17</v>
      </c>
      <c r="L19" s="16">
        <f>-(I17-I19)/(H17-H19)/I18</f>
        <v>2.7847258357459252</v>
      </c>
      <c r="M19" s="11" t="str">
        <f ca="1">_xlfn.FORMULATEXT(L19)</f>
        <v>=-(I17-I19)/(H17-H19)/I18</v>
      </c>
      <c r="N19" s="11"/>
      <c r="R19" s="28">
        <f>R15+0.5*L22*R9^2</f>
        <v>-2.7379536914352263E-2</v>
      </c>
      <c r="S19" s="128"/>
    </row>
    <row r="20" spans="8:23" x14ac:dyDescent="0.25">
      <c r="H20" s="11"/>
      <c r="I20" s="11"/>
      <c r="J20" s="11"/>
      <c r="K20" s="22" t="s">
        <v>7</v>
      </c>
      <c r="L20" s="16">
        <f>L18*I18/10000</f>
        <v>2.7080092856819841E-2</v>
      </c>
      <c r="M20" s="11" t="str">
        <f ca="1">_xlfn.FORMULATEXT(L20)</f>
        <v>=L18*I18/10000</v>
      </c>
      <c r="N20" s="11"/>
      <c r="R20">
        <f>J14*(1+R19)</f>
        <v>94.583388588608031</v>
      </c>
      <c r="S20" s="128">
        <f>R7-R20</f>
        <v>-5.8003248622640058E-4</v>
      </c>
    </row>
    <row r="21" spans="8:23" x14ac:dyDescent="0.25">
      <c r="H21" s="11"/>
      <c r="I21" s="11"/>
      <c r="J21" s="11"/>
      <c r="K21" s="22" t="s">
        <v>25</v>
      </c>
      <c r="L21" s="16">
        <f>M14</f>
        <v>9.8229287510537002</v>
      </c>
      <c r="M21" s="11"/>
      <c r="N21" s="11"/>
      <c r="R21">
        <v>1000</v>
      </c>
    </row>
    <row r="22" spans="8:23" x14ac:dyDescent="0.25">
      <c r="K22" s="22" t="s">
        <v>129</v>
      </c>
      <c r="L22" s="16">
        <f>L21/(1+L4/2)^2</f>
        <v>9.3496049980285072</v>
      </c>
      <c r="R22" s="3">
        <v>6.9000000000000006E-2</v>
      </c>
      <c r="S22" s="3">
        <v>6.9000000000000006E-2</v>
      </c>
    </row>
    <row r="23" spans="8:23" x14ac:dyDescent="0.25">
      <c r="K23" s="22"/>
      <c r="O23" s="3">
        <v>6.9000000000000006E-2</v>
      </c>
      <c r="P23" s="6">
        <v>0.08</v>
      </c>
      <c r="R23" t="s">
        <v>123</v>
      </c>
      <c r="S23" t="s">
        <v>12</v>
      </c>
      <c r="T23" t="s">
        <v>122</v>
      </c>
      <c r="U23" t="s">
        <v>121</v>
      </c>
      <c r="V23" t="s">
        <v>124</v>
      </c>
    </row>
    <row r="24" spans="8:23" x14ac:dyDescent="0.25">
      <c r="N24" t="s">
        <v>115</v>
      </c>
      <c r="O24">
        <f>4.1688</f>
        <v>4.1688000000000001</v>
      </c>
      <c r="P24">
        <v>7.0049999999999999</v>
      </c>
      <c r="Q24">
        <v>0.5</v>
      </c>
      <c r="R24">
        <f t="shared" ref="R24:R32" si="5">$R$21*$R$22/2</f>
        <v>34.5</v>
      </c>
      <c r="S24" s="118">
        <f t="shared" ref="S24:S33" si="6">R24/(1+$S$22/2)^(Q24*2)</f>
        <v>33.349444175930401</v>
      </c>
      <c r="T24">
        <f>S24/$S$34</f>
        <v>3.3349444175930401E-2</v>
      </c>
      <c r="U24">
        <f>Q24*T24</f>
        <v>1.6674722087965201E-2</v>
      </c>
      <c r="V24" s="120">
        <f>Q24*(Q24+1/2)</f>
        <v>0.5</v>
      </c>
      <c r="W24">
        <f>S24*V24</f>
        <v>16.674722087965201</v>
      </c>
    </row>
    <row r="25" spans="8:23" x14ac:dyDescent="0.25">
      <c r="N25" t="s">
        <v>8</v>
      </c>
      <c r="O25">
        <v>1000</v>
      </c>
      <c r="P25">
        <v>1000</v>
      </c>
      <c r="Q25">
        <v>1</v>
      </c>
      <c r="R25">
        <f t="shared" si="5"/>
        <v>34.5</v>
      </c>
      <c r="S25" s="118">
        <f t="shared" si="6"/>
        <v>32.237258749086905</v>
      </c>
      <c r="T25">
        <f t="shared" ref="T25:T33" si="7">S25/$S$34</f>
        <v>3.2237258749086908E-2</v>
      </c>
      <c r="U25">
        <f t="shared" ref="U25:U33" si="8">Q25*T25</f>
        <v>3.2237258749086908E-2</v>
      </c>
      <c r="V25" s="120">
        <f t="shared" ref="V25:V33" si="9">Q25*(Q25+1/2)</f>
        <v>1.5</v>
      </c>
      <c r="W25">
        <f t="shared" ref="W25:W33" si="10">S25*V25</f>
        <v>48.355888123630358</v>
      </c>
    </row>
    <row r="26" spans="8:23" x14ac:dyDescent="0.25">
      <c r="N26" t="s">
        <v>117</v>
      </c>
      <c r="O26">
        <v>0.01</v>
      </c>
      <c r="P26">
        <v>0.01</v>
      </c>
      <c r="Q26">
        <v>1.5</v>
      </c>
      <c r="R26">
        <f t="shared" si="5"/>
        <v>34.5</v>
      </c>
      <c r="S26" s="118">
        <f t="shared" si="6"/>
        <v>31.162164088049206</v>
      </c>
      <c r="T26">
        <f t="shared" si="7"/>
        <v>3.1162164088049206E-2</v>
      </c>
      <c r="U26">
        <f t="shared" si="8"/>
        <v>4.6743246132073812E-2</v>
      </c>
      <c r="V26" s="120">
        <f t="shared" si="9"/>
        <v>3</v>
      </c>
      <c r="W26">
        <f t="shared" si="10"/>
        <v>93.486492264147614</v>
      </c>
    </row>
    <row r="27" spans="8:23" x14ac:dyDescent="0.25">
      <c r="I27">
        <f>4.1688/7.005</f>
        <v>0.59511777301927193</v>
      </c>
      <c r="N27" t="s">
        <v>116</v>
      </c>
      <c r="O27">
        <f>O24*O25*O26</f>
        <v>41.688000000000002</v>
      </c>
      <c r="P27">
        <f>P24*P25*P26</f>
        <v>70.05</v>
      </c>
      <c r="Q27">
        <v>2</v>
      </c>
      <c r="R27">
        <f t="shared" si="5"/>
        <v>34.5</v>
      </c>
      <c r="S27" s="118">
        <f t="shared" si="6"/>
        <v>30.122923236393628</v>
      </c>
      <c r="T27">
        <f t="shared" si="7"/>
        <v>3.012292323639363E-2</v>
      </c>
      <c r="U27">
        <f t="shared" si="8"/>
        <v>6.0245846472787259E-2</v>
      </c>
      <c r="V27" s="120">
        <f t="shared" si="9"/>
        <v>5</v>
      </c>
      <c r="W27">
        <f t="shared" si="10"/>
        <v>150.61461618196813</v>
      </c>
    </row>
    <row r="28" spans="8:23" x14ac:dyDescent="0.25">
      <c r="N28" t="s">
        <v>118</v>
      </c>
      <c r="O28">
        <f>O25-O27</f>
        <v>958.31200000000001</v>
      </c>
      <c r="P28">
        <f>P25-P27</f>
        <v>929.95</v>
      </c>
      <c r="Q28">
        <v>2.5</v>
      </c>
      <c r="R28">
        <f t="shared" si="5"/>
        <v>34.5</v>
      </c>
      <c r="S28" s="118">
        <f t="shared" si="6"/>
        <v>29.11834048950568</v>
      </c>
      <c r="T28">
        <f t="shared" si="7"/>
        <v>2.9118340489505682E-2</v>
      </c>
      <c r="U28">
        <f t="shared" si="8"/>
        <v>7.279585122376421E-2</v>
      </c>
      <c r="V28" s="120">
        <f t="shared" si="9"/>
        <v>7.5</v>
      </c>
      <c r="W28">
        <f t="shared" si="10"/>
        <v>218.38755367129261</v>
      </c>
    </row>
    <row r="29" spans="8:23" x14ac:dyDescent="0.25">
      <c r="Q29">
        <v>3</v>
      </c>
      <c r="R29">
        <f t="shared" si="5"/>
        <v>34.5</v>
      </c>
      <c r="S29" s="118">
        <f t="shared" si="6"/>
        <v>28.147260018855178</v>
      </c>
      <c r="T29">
        <f t="shared" si="7"/>
        <v>2.8147260018855178E-2</v>
      </c>
      <c r="U29">
        <f t="shared" si="8"/>
        <v>8.4441780056565538E-2</v>
      </c>
      <c r="V29" s="120">
        <f t="shared" si="9"/>
        <v>10.5</v>
      </c>
      <c r="W29">
        <f t="shared" si="10"/>
        <v>295.54623019797936</v>
      </c>
    </row>
    <row r="30" spans="8:23" x14ac:dyDescent="0.25">
      <c r="N30" t="s">
        <v>119</v>
      </c>
      <c r="O30">
        <f>O24/(1+O23/2)</f>
        <v>4.0297728371193813</v>
      </c>
      <c r="P30">
        <f>P24/(1+P23/2)</f>
        <v>6.7355769230769225</v>
      </c>
      <c r="Q30">
        <v>3.5</v>
      </c>
      <c r="R30">
        <f t="shared" si="5"/>
        <v>34.5</v>
      </c>
      <c r="S30" s="118">
        <f t="shared" si="6"/>
        <v>27.20856454215097</v>
      </c>
      <c r="T30">
        <f t="shared" si="7"/>
        <v>2.7208564542150971E-2</v>
      </c>
      <c r="U30">
        <f t="shared" si="8"/>
        <v>9.5229975897528393E-2</v>
      </c>
      <c r="V30" s="120">
        <f t="shared" si="9"/>
        <v>14</v>
      </c>
      <c r="W30">
        <f t="shared" si="10"/>
        <v>380.91990359011356</v>
      </c>
    </row>
    <row r="31" spans="8:23" x14ac:dyDescent="0.25">
      <c r="N31" t="s">
        <v>8</v>
      </c>
      <c r="O31">
        <v>1000</v>
      </c>
      <c r="P31">
        <v>1000</v>
      </c>
      <c r="Q31">
        <v>4</v>
      </c>
      <c r="R31">
        <f t="shared" si="5"/>
        <v>34.5</v>
      </c>
      <c r="S31" s="118">
        <f t="shared" si="6"/>
        <v>26.301174037845307</v>
      </c>
      <c r="T31">
        <f t="shared" si="7"/>
        <v>2.6301174037845307E-2</v>
      </c>
      <c r="U31">
        <f t="shared" si="8"/>
        <v>0.10520469615138123</v>
      </c>
      <c r="V31" s="120">
        <f t="shared" si="9"/>
        <v>18</v>
      </c>
      <c r="W31">
        <f t="shared" si="10"/>
        <v>473.42113268121551</v>
      </c>
    </row>
    <row r="32" spans="8:23" x14ac:dyDescent="0.25">
      <c r="N32" t="s">
        <v>117</v>
      </c>
      <c r="O32">
        <v>0.01</v>
      </c>
      <c r="P32">
        <v>0.01</v>
      </c>
      <c r="Q32">
        <v>4.5</v>
      </c>
      <c r="R32">
        <f t="shared" si="5"/>
        <v>34.5</v>
      </c>
      <c r="S32" s="118">
        <f t="shared" si="6"/>
        <v>25.424044502508757</v>
      </c>
      <c r="T32">
        <f t="shared" si="7"/>
        <v>2.5424044502508757E-2</v>
      </c>
      <c r="U32">
        <f t="shared" si="8"/>
        <v>0.11440820026128941</v>
      </c>
      <c r="V32" s="120">
        <f t="shared" si="9"/>
        <v>22.5</v>
      </c>
      <c r="W32">
        <f t="shared" si="10"/>
        <v>572.04100130644701</v>
      </c>
    </row>
    <row r="33" spans="14:24" x14ac:dyDescent="0.25">
      <c r="N33" t="s">
        <v>116</v>
      </c>
      <c r="O33">
        <f>O30*O31*O32</f>
        <v>40.297728371193813</v>
      </c>
      <c r="P33">
        <f>P30*P31*P32</f>
        <v>67.355769230769226</v>
      </c>
      <c r="Q33">
        <v>5</v>
      </c>
      <c r="R33">
        <f>$R$21*$R$22/2+R21</f>
        <v>1034.5</v>
      </c>
      <c r="S33" s="118">
        <f t="shared" si="6"/>
        <v>736.92882615967403</v>
      </c>
      <c r="T33">
        <f t="shared" si="7"/>
        <v>0.73692882615967403</v>
      </c>
      <c r="U33">
        <f t="shared" si="8"/>
        <v>3.6846441307983699</v>
      </c>
      <c r="V33" s="120">
        <f t="shared" si="9"/>
        <v>27.5</v>
      </c>
      <c r="W33">
        <f t="shared" si="10"/>
        <v>20265.542719391036</v>
      </c>
      <c r="X33" s="119"/>
    </row>
    <row r="34" spans="14:24" x14ac:dyDescent="0.25">
      <c r="N34" t="s">
        <v>118</v>
      </c>
      <c r="O34">
        <f>O31-O33</f>
        <v>959.70227162880622</v>
      </c>
      <c r="P34">
        <f>P31-P33</f>
        <v>932.64423076923072</v>
      </c>
      <c r="S34" s="118">
        <f>SUM(S24:S33)</f>
        <v>1000</v>
      </c>
      <c r="T34">
        <f>SUM(T24:T33)</f>
        <v>1</v>
      </c>
      <c r="U34" s="118">
        <f>SUM(U23:U33)</f>
        <v>4.3126257078308115</v>
      </c>
      <c r="W34">
        <f>SUM(W24:W33)</f>
        <v>22514.990259495797</v>
      </c>
    </row>
    <row r="35" spans="14:24" x14ac:dyDescent="0.25">
      <c r="U35">
        <f>U34/(1+S22/2)</f>
        <v>4.1688020375358255</v>
      </c>
      <c r="W35">
        <f>W34/(S34*(1+S22/2)^2)</f>
        <v>21.038306281986586</v>
      </c>
      <c r="X35" t="s">
        <v>125</v>
      </c>
    </row>
    <row r="36" spans="14:24" x14ac:dyDescent="0.25">
      <c r="R36">
        <v>1000</v>
      </c>
      <c r="W36">
        <f>W34/S34</f>
        <v>22.514990259495796</v>
      </c>
      <c r="X36" s="118" t="s">
        <v>126</v>
      </c>
    </row>
    <row r="37" spans="14:24" x14ac:dyDescent="0.25">
      <c r="R37" s="6">
        <v>0.08</v>
      </c>
      <c r="S37" s="3">
        <v>6.5000000000000002E-2</v>
      </c>
      <c r="V37" t="s">
        <v>124</v>
      </c>
    </row>
    <row r="38" spans="14:24" x14ac:dyDescent="0.25">
      <c r="Q38">
        <v>0.5</v>
      </c>
      <c r="R38">
        <f>R36*R37/2</f>
        <v>40</v>
      </c>
      <c r="S38">
        <f>R38/(1+$S$37/2)^(Q38*2)</f>
        <v>38.7409200968523</v>
      </c>
      <c r="T38">
        <f>S38/$S$58</f>
        <v>3.4931780712088391E-2</v>
      </c>
      <c r="U38">
        <f>Q38*T38</f>
        <v>1.7465890356044195E-2</v>
      </c>
      <c r="V38">
        <f>Q38*(Q38+0.5)</f>
        <v>0.5</v>
      </c>
      <c r="W38">
        <f>V38*S38</f>
        <v>19.37046004842615</v>
      </c>
    </row>
    <row r="39" spans="14:24" x14ac:dyDescent="0.25">
      <c r="Q39">
        <v>1</v>
      </c>
      <c r="R39">
        <f>R38</f>
        <v>40</v>
      </c>
      <c r="S39">
        <f t="shared" ref="S39:S57" si="11">R39/(1+$S$37/2)^(Q39*2)</f>
        <v>37.521472248767367</v>
      </c>
      <c r="T39">
        <f t="shared" ref="T39:T57" si="12">S39/$S$58</f>
        <v>3.3832233135194574E-2</v>
      </c>
      <c r="U39">
        <f t="shared" ref="U39:U57" si="13">Q39*T39</f>
        <v>3.3832233135194574E-2</v>
      </c>
      <c r="V39">
        <f t="shared" ref="V39:V57" si="14">Q39*(Q39+0.5)</f>
        <v>1.5</v>
      </c>
      <c r="W39">
        <f t="shared" ref="W39:W57" si="15">V39*S39</f>
        <v>56.28220837315105</v>
      </c>
    </row>
    <row r="40" spans="14:24" x14ac:dyDescent="0.25">
      <c r="Q40">
        <v>1.5</v>
      </c>
      <c r="R40">
        <f t="shared" ref="R40:R56" si="16">R39</f>
        <v>40</v>
      </c>
      <c r="S40">
        <f t="shared" si="11"/>
        <v>36.340408957643938</v>
      </c>
      <c r="T40">
        <f t="shared" si="12"/>
        <v>3.2767296014716292E-2</v>
      </c>
      <c r="U40">
        <f t="shared" si="13"/>
        <v>4.9150944022074441E-2</v>
      </c>
      <c r="V40">
        <f t="shared" si="14"/>
        <v>3</v>
      </c>
      <c r="W40">
        <f t="shared" si="15"/>
        <v>109.02122687293181</v>
      </c>
    </row>
    <row r="41" spans="14:24" x14ac:dyDescent="0.25">
      <c r="Q41">
        <v>2</v>
      </c>
      <c r="R41">
        <f t="shared" si="16"/>
        <v>40</v>
      </c>
      <c r="S41">
        <f t="shared" si="11"/>
        <v>35.196521992875482</v>
      </c>
      <c r="T41">
        <f t="shared" si="12"/>
        <v>3.1735879917400761E-2</v>
      </c>
      <c r="U41">
        <f t="shared" si="13"/>
        <v>6.3471759834801522E-2</v>
      </c>
      <c r="V41">
        <f t="shared" si="14"/>
        <v>5</v>
      </c>
      <c r="W41">
        <f t="shared" si="15"/>
        <v>175.98260996437742</v>
      </c>
    </row>
    <row r="42" spans="14:24" x14ac:dyDescent="0.25">
      <c r="Q42">
        <v>2.5</v>
      </c>
      <c r="R42">
        <f t="shared" si="16"/>
        <v>40</v>
      </c>
      <c r="S42">
        <f t="shared" si="11"/>
        <v>34.088641155327345</v>
      </c>
      <c r="T42">
        <f t="shared" si="12"/>
        <v>3.0736929702083065E-2</v>
      </c>
      <c r="U42">
        <f t="shared" si="13"/>
        <v>7.6842324255207664E-2</v>
      </c>
      <c r="V42">
        <f t="shared" si="14"/>
        <v>7.5</v>
      </c>
      <c r="W42">
        <f t="shared" si="15"/>
        <v>255.66480866495507</v>
      </c>
    </row>
    <row r="43" spans="14:24" x14ac:dyDescent="0.25">
      <c r="Q43">
        <v>3</v>
      </c>
      <c r="R43">
        <f t="shared" si="16"/>
        <v>40</v>
      </c>
      <c r="S43">
        <f t="shared" si="11"/>
        <v>33.015633080220191</v>
      </c>
      <c r="T43">
        <f t="shared" si="12"/>
        <v>2.9769423440274157E-2</v>
      </c>
      <c r="U43">
        <f t="shared" si="13"/>
        <v>8.9308270320822475E-2</v>
      </c>
      <c r="V43">
        <f t="shared" si="14"/>
        <v>10.5</v>
      </c>
      <c r="W43">
        <f t="shared" si="15"/>
        <v>346.66414734231199</v>
      </c>
    </row>
    <row r="44" spans="14:24" x14ac:dyDescent="0.25">
      <c r="Q44">
        <v>3.5</v>
      </c>
      <c r="R44">
        <f t="shared" si="16"/>
        <v>40</v>
      </c>
      <c r="S44">
        <f t="shared" si="11"/>
        <v>31.9764000776951</v>
      </c>
      <c r="T44">
        <f t="shared" si="12"/>
        <v>2.8832371370725578E-2</v>
      </c>
      <c r="U44">
        <f t="shared" si="13"/>
        <v>0.10091329979753952</v>
      </c>
      <c r="V44">
        <f t="shared" si="14"/>
        <v>14</v>
      </c>
      <c r="W44">
        <f t="shared" si="15"/>
        <v>447.66960108773139</v>
      </c>
    </row>
    <row r="45" spans="14:24" x14ac:dyDescent="0.25">
      <c r="Q45">
        <v>4</v>
      </c>
      <c r="R45">
        <f t="shared" si="16"/>
        <v>40</v>
      </c>
      <c r="S45">
        <f t="shared" si="11"/>
        <v>30.969879009874187</v>
      </c>
      <c r="T45">
        <f t="shared" si="12"/>
        <v>2.7924814886901284E-2</v>
      </c>
      <c r="U45">
        <f t="shared" si="13"/>
        <v>0.11169925954760514</v>
      </c>
      <c r="V45">
        <f t="shared" si="14"/>
        <v>18</v>
      </c>
      <c r="W45">
        <f t="shared" si="15"/>
        <v>557.45782217773535</v>
      </c>
    </row>
    <row r="46" spans="14:24" x14ac:dyDescent="0.25">
      <c r="Q46">
        <v>4.5</v>
      </c>
      <c r="R46">
        <f t="shared" si="16"/>
        <v>40</v>
      </c>
      <c r="S46">
        <f t="shared" si="11"/>
        <v>29.995040203267976</v>
      </c>
      <c r="T46">
        <f t="shared" si="12"/>
        <v>2.7045825556320853E-2</v>
      </c>
      <c r="U46">
        <f t="shared" si="13"/>
        <v>0.12170621500344384</v>
      </c>
      <c r="V46">
        <f t="shared" si="14"/>
        <v>22.5</v>
      </c>
      <c r="W46">
        <f t="shared" si="15"/>
        <v>674.88840457352944</v>
      </c>
    </row>
    <row r="47" spans="14:24" x14ac:dyDescent="0.25">
      <c r="Q47">
        <v>5</v>
      </c>
      <c r="R47">
        <f t="shared" si="16"/>
        <v>40</v>
      </c>
      <c r="S47">
        <f t="shared" si="11"/>
        <v>29.050886395416928</v>
      </c>
      <c r="T47">
        <f t="shared" si="12"/>
        <v>2.6194504170770804E-2</v>
      </c>
      <c r="U47">
        <f t="shared" si="13"/>
        <v>0.13097252085385402</v>
      </c>
      <c r="V47">
        <f t="shared" si="14"/>
        <v>27.5</v>
      </c>
      <c r="W47">
        <f t="shared" si="15"/>
        <v>798.89937587396548</v>
      </c>
    </row>
    <row r="48" spans="14:24" x14ac:dyDescent="0.25">
      <c r="Q48">
        <v>5.5</v>
      </c>
      <c r="R48">
        <f t="shared" si="16"/>
        <v>40</v>
      </c>
      <c r="S48">
        <f t="shared" si="11"/>
        <v>28.136451714689521</v>
      </c>
      <c r="T48">
        <f t="shared" si="12"/>
        <v>2.5369979826412405E-2</v>
      </c>
      <c r="U48">
        <f t="shared" si="13"/>
        <v>0.13953488904526823</v>
      </c>
      <c r="V48">
        <f t="shared" si="14"/>
        <v>33</v>
      </c>
      <c r="W48">
        <f t="shared" si="15"/>
        <v>928.50290658475421</v>
      </c>
    </row>
    <row r="49" spans="17:24" x14ac:dyDescent="0.25">
      <c r="Q49">
        <v>6</v>
      </c>
      <c r="R49">
        <f t="shared" si="16"/>
        <v>40</v>
      </c>
      <c r="S49">
        <f t="shared" si="11"/>
        <v>27.250800692193241</v>
      </c>
      <c r="T49">
        <f t="shared" si="12"/>
        <v>2.4571409032844944E-2</v>
      </c>
      <c r="U49">
        <f t="shared" si="13"/>
        <v>0.14742845419706968</v>
      </c>
      <c r="V49">
        <f t="shared" si="14"/>
        <v>39</v>
      </c>
      <c r="W49">
        <f t="shared" si="15"/>
        <v>1062.7812269955364</v>
      </c>
    </row>
    <row r="50" spans="17:24" x14ac:dyDescent="0.25">
      <c r="Q50">
        <v>6.5</v>
      </c>
      <c r="R50">
        <f t="shared" si="16"/>
        <v>40</v>
      </c>
      <c r="S50">
        <f t="shared" si="11"/>
        <v>26.393027304787644</v>
      </c>
      <c r="T50">
        <f t="shared" si="12"/>
        <v>2.3797974850213021E-2</v>
      </c>
      <c r="U50">
        <f t="shared" si="13"/>
        <v>0.15468683652638462</v>
      </c>
      <c r="V50">
        <f t="shared" si="14"/>
        <v>45.5</v>
      </c>
      <c r="W50">
        <f t="shared" si="15"/>
        <v>1200.8827423678379</v>
      </c>
    </row>
    <row r="51" spans="17:24" x14ac:dyDescent="0.25">
      <c r="Q51">
        <v>7</v>
      </c>
      <c r="R51">
        <f t="shared" si="16"/>
        <v>40</v>
      </c>
      <c r="S51">
        <f t="shared" si="11"/>
        <v>25.562254048220481</v>
      </c>
      <c r="T51">
        <f t="shared" si="12"/>
        <v>2.3048886053475083E-2</v>
      </c>
      <c r="U51">
        <f t="shared" si="13"/>
        <v>0.16134220237432559</v>
      </c>
      <c r="V51">
        <f t="shared" si="14"/>
        <v>52.5</v>
      </c>
      <c r="W51">
        <f t="shared" si="15"/>
        <v>1342.0183375315753</v>
      </c>
    </row>
    <row r="52" spans="17:24" x14ac:dyDescent="0.25">
      <c r="Q52">
        <v>7.5</v>
      </c>
      <c r="R52">
        <f t="shared" si="16"/>
        <v>40</v>
      </c>
      <c r="S52">
        <f t="shared" si="11"/>
        <v>24.757631039438721</v>
      </c>
      <c r="T52">
        <f t="shared" si="12"/>
        <v>2.2323376322978285E-2</v>
      </c>
      <c r="U52">
        <f t="shared" si="13"/>
        <v>0.16742532242233715</v>
      </c>
      <c r="V52">
        <f t="shared" si="14"/>
        <v>60</v>
      </c>
      <c r="W52">
        <f t="shared" si="15"/>
        <v>1485.4578623663233</v>
      </c>
    </row>
    <row r="53" spans="17:24" x14ac:dyDescent="0.25">
      <c r="Q53">
        <v>8</v>
      </c>
      <c r="R53">
        <f t="shared" si="16"/>
        <v>40</v>
      </c>
      <c r="S53">
        <f t="shared" si="11"/>
        <v>23.978335147156145</v>
      </c>
      <c r="T53">
        <f t="shared" si="12"/>
        <v>2.1620703460511658E-2</v>
      </c>
      <c r="U53">
        <f t="shared" si="13"/>
        <v>0.17296562768409326</v>
      </c>
      <c r="V53">
        <f t="shared" si="14"/>
        <v>68</v>
      </c>
      <c r="W53">
        <f t="shared" si="15"/>
        <v>1630.5267900066178</v>
      </c>
    </row>
    <row r="54" spans="17:24" x14ac:dyDescent="0.25">
      <c r="Q54">
        <v>8.5</v>
      </c>
      <c r="R54">
        <f t="shared" si="16"/>
        <v>40</v>
      </c>
      <c r="S54">
        <f t="shared" si="11"/>
        <v>23.223569149788034</v>
      </c>
      <c r="T54">
        <f t="shared" si="12"/>
        <v>2.0940148630035505E-2</v>
      </c>
      <c r="U54">
        <f t="shared" si="13"/>
        <v>0.1779912633553018</v>
      </c>
      <c r="V54">
        <f t="shared" si="14"/>
        <v>76.5</v>
      </c>
      <c r="W54">
        <f t="shared" si="15"/>
        <v>1776.6030399587846</v>
      </c>
    </row>
    <row r="55" spans="17:24" x14ac:dyDescent="0.25">
      <c r="Q55">
        <v>9</v>
      </c>
      <c r="R55">
        <f t="shared" si="16"/>
        <v>40</v>
      </c>
      <c r="S55">
        <f t="shared" si="11"/>
        <v>22.492560919891559</v>
      </c>
      <c r="T55">
        <f t="shared" si="12"/>
        <v>2.0281015622310414E-2</v>
      </c>
      <c r="U55">
        <f t="shared" si="13"/>
        <v>0.18252914060079373</v>
      </c>
      <c r="V55">
        <f t="shared" si="14"/>
        <v>85.5</v>
      </c>
      <c r="W55">
        <f t="shared" si="15"/>
        <v>1923.1139586507284</v>
      </c>
    </row>
    <row r="56" spans="17:24" x14ac:dyDescent="0.25">
      <c r="Q56">
        <v>9.5</v>
      </c>
      <c r="R56">
        <f t="shared" si="16"/>
        <v>40</v>
      </c>
      <c r="S56">
        <f t="shared" si="11"/>
        <v>21.784562634277542</v>
      </c>
      <c r="T56">
        <f t="shared" si="12"/>
        <v>1.9642630142673527E-2</v>
      </c>
      <c r="U56">
        <f t="shared" si="13"/>
        <v>0.18660498635539852</v>
      </c>
      <c r="V56">
        <f t="shared" si="14"/>
        <v>95</v>
      </c>
      <c r="W56">
        <f t="shared" si="15"/>
        <v>2069.5334502563665</v>
      </c>
    </row>
    <row r="57" spans="17:24" x14ac:dyDescent="0.25">
      <c r="Q57">
        <v>10</v>
      </c>
      <c r="R57">
        <f>R56+R36</f>
        <v>1040</v>
      </c>
      <c r="S57">
        <f t="shared" si="11"/>
        <v>548.57010023362329</v>
      </c>
      <c r="T57">
        <f t="shared" si="12"/>
        <v>0.49463281715206947</v>
      </c>
      <c r="U57">
        <f t="shared" si="13"/>
        <v>4.9463281715206948</v>
      </c>
      <c r="V57">
        <f t="shared" si="14"/>
        <v>105</v>
      </c>
      <c r="W57">
        <f t="shared" si="15"/>
        <v>57599.860524530442</v>
      </c>
    </row>
    <row r="58" spans="17:24" x14ac:dyDescent="0.25">
      <c r="S58">
        <f>SUM(S38:S57)</f>
        <v>1109.0450961020069</v>
      </c>
      <c r="T58">
        <f>SUM(T38:T57)</f>
        <v>1</v>
      </c>
      <c r="U58">
        <f>SUM(U38:U57)</f>
        <v>7.2321996112082552</v>
      </c>
      <c r="W58">
        <f>SUM(W38:W57)</f>
        <v>74461.18150422808</v>
      </c>
    </row>
    <row r="59" spans="17:24" x14ac:dyDescent="0.25">
      <c r="U59">
        <f>U58/(1+S37/2)</f>
        <v>7.0045516815576319</v>
      </c>
      <c r="W59">
        <f>W58/(S58*(1+S37/2)^2)</f>
        <v>62.979701304327051</v>
      </c>
    </row>
    <row r="60" spans="17:24" x14ac:dyDescent="0.25">
      <c r="W60">
        <f>W58/S58</f>
        <v>67.139904198611006</v>
      </c>
    </row>
    <row r="63" spans="17:24" x14ac:dyDescent="0.25">
      <c r="R63">
        <v>1000</v>
      </c>
    </row>
    <row r="64" spans="17:24" x14ac:dyDescent="0.25">
      <c r="R64" s="3">
        <v>6.3E-2</v>
      </c>
      <c r="S64" s="6">
        <v>7.0000000000000007E-2</v>
      </c>
      <c r="X64" s="40">
        <f>1543947*(1-X66)</f>
        <v>40861.428908141446</v>
      </c>
    </row>
    <row r="65" spans="17:24" x14ac:dyDescent="0.25">
      <c r="Q65">
        <v>0.5</v>
      </c>
      <c r="R65">
        <f>R63*R64/2</f>
        <v>31.5</v>
      </c>
      <c r="S65">
        <f t="shared" ref="S65:S70" si="17">R65/(1+$S$64/2)^(Q65*2)</f>
        <v>30.434782608695656</v>
      </c>
      <c r="T65">
        <f>S65/$S$71</f>
        <v>3.1010964327846561E-2</v>
      </c>
      <c r="U65">
        <f>Q65*T65</f>
        <v>1.550548216392328E-2</v>
      </c>
    </row>
    <row r="66" spans="17:24" x14ac:dyDescent="0.25">
      <c r="Q66">
        <v>1</v>
      </c>
      <c r="R66">
        <f>R65</f>
        <v>31.5</v>
      </c>
      <c r="S66">
        <f t="shared" si="17"/>
        <v>29.405587061541695</v>
      </c>
      <c r="T66">
        <f t="shared" ref="T66:T70" si="18">S66/$S$71</f>
        <v>2.9962284374730974E-2</v>
      </c>
      <c r="U66">
        <f t="shared" ref="U66:U70" si="19">Q66*T66</f>
        <v>2.9962284374730974E-2</v>
      </c>
      <c r="X66">
        <f>S71/1008.1</f>
        <v>0.97353443550319962</v>
      </c>
    </row>
    <row r="67" spans="17:24" x14ac:dyDescent="0.25">
      <c r="Q67">
        <v>1.5</v>
      </c>
      <c r="R67">
        <f>R66</f>
        <v>31.5</v>
      </c>
      <c r="S67">
        <f t="shared" si="17"/>
        <v>28.411195228542706</v>
      </c>
      <c r="T67">
        <f t="shared" si="18"/>
        <v>2.8949067028725586E-2</v>
      </c>
      <c r="U67">
        <f t="shared" si="19"/>
        <v>4.342360054308838E-2</v>
      </c>
    </row>
    <row r="68" spans="17:24" x14ac:dyDescent="0.25">
      <c r="Q68">
        <v>2</v>
      </c>
      <c r="R68">
        <f>R67</f>
        <v>31.5</v>
      </c>
      <c r="S68">
        <f t="shared" si="17"/>
        <v>27.45043017250503</v>
      </c>
      <c r="T68">
        <f t="shared" si="18"/>
        <v>2.7970113071232448E-2</v>
      </c>
      <c r="U68">
        <f t="shared" si="19"/>
        <v>5.5940226142464897E-2</v>
      </c>
      <c r="X68">
        <f>1008.1-S71</f>
        <v>26.679935569224426</v>
      </c>
    </row>
    <row r="69" spans="17:24" x14ac:dyDescent="0.25">
      <c r="Q69">
        <v>2.5</v>
      </c>
      <c r="R69">
        <f>R68</f>
        <v>31.5</v>
      </c>
      <c r="S69">
        <f t="shared" si="17"/>
        <v>26.522154756043513</v>
      </c>
      <c r="T69">
        <f t="shared" si="18"/>
        <v>2.7024263836939569E-2</v>
      </c>
      <c r="U69">
        <f t="shared" si="19"/>
        <v>6.7560659592348929E-2</v>
      </c>
    </row>
    <row r="70" spans="17:24" x14ac:dyDescent="0.25">
      <c r="Q70">
        <v>3</v>
      </c>
      <c r="R70">
        <f>R69+R63</f>
        <v>1031.5</v>
      </c>
      <c r="S70">
        <f t="shared" si="17"/>
        <v>839.12591460344697</v>
      </c>
      <c r="T70">
        <f t="shared" si="18"/>
        <v>0.85501198214257079</v>
      </c>
      <c r="U70">
        <f t="shared" si="19"/>
        <v>2.5650359464277122</v>
      </c>
    </row>
    <row r="71" spans="17:24" x14ac:dyDescent="0.25">
      <c r="S71">
        <f>SUM(S64:S70)</f>
        <v>981.4200644307756</v>
      </c>
      <c r="T71">
        <f>SUM(T64:T70)</f>
        <v>0.99992867478204595</v>
      </c>
      <c r="U71">
        <f>SUM(U64:U70)</f>
        <v>2.7774281992442686</v>
      </c>
      <c r="V71" t="s">
        <v>120</v>
      </c>
    </row>
    <row r="72" spans="17:24" x14ac:dyDescent="0.25">
      <c r="U72">
        <f>U71/(1+S64/2)</f>
        <v>2.6835055065162017</v>
      </c>
      <c r="V72" t="s">
        <v>119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N24"/>
  <sheetViews>
    <sheetView zoomScale="115" zoomScaleNormal="115" workbookViewId="0">
      <selection activeCell="I21" sqref="I21"/>
    </sheetView>
  </sheetViews>
  <sheetFormatPr defaultRowHeight="15" x14ac:dyDescent="0.25"/>
  <cols>
    <col min="8" max="8" width="14.42578125" bestFit="1" customWidth="1"/>
    <col min="9" max="9" width="12" bestFit="1" customWidth="1"/>
    <col min="10" max="10" width="12.140625" bestFit="1" customWidth="1"/>
    <col min="11" max="12" width="11" customWidth="1"/>
    <col min="13" max="13" width="11.28515625" bestFit="1" customWidth="1"/>
  </cols>
  <sheetData>
    <row r="3" spans="8:14" x14ac:dyDescent="0.25">
      <c r="H3" s="11" t="s">
        <v>5</v>
      </c>
      <c r="I3" s="36">
        <v>100</v>
      </c>
      <c r="J3" s="11"/>
      <c r="K3" s="11" t="s">
        <v>3</v>
      </c>
      <c r="L3" s="24">
        <v>2.1250000000000002E-2</v>
      </c>
      <c r="M3" s="11"/>
      <c r="N3" s="11"/>
    </row>
    <row r="4" spans="8:14" x14ac:dyDescent="0.25">
      <c r="H4" s="11"/>
      <c r="I4" s="11"/>
      <c r="J4" s="11"/>
      <c r="K4" s="11" t="s">
        <v>6</v>
      </c>
      <c r="L4" s="24">
        <v>2.0920000000000001E-2</v>
      </c>
      <c r="M4" s="11"/>
      <c r="N4" s="11"/>
    </row>
    <row r="5" spans="8:14" x14ac:dyDescent="0.25">
      <c r="H5" s="11"/>
      <c r="I5" s="11"/>
      <c r="J5" s="11"/>
      <c r="K5" s="11"/>
      <c r="L5" s="11"/>
      <c r="M5" s="11"/>
      <c r="N5" s="11"/>
    </row>
    <row r="6" spans="8:14" x14ac:dyDescent="0.25">
      <c r="H6" s="11"/>
      <c r="I6" s="11"/>
      <c r="J6" s="11"/>
      <c r="K6" s="11"/>
      <c r="L6" s="11"/>
      <c r="M6" s="11"/>
      <c r="N6" s="11"/>
    </row>
    <row r="7" spans="8:14" x14ac:dyDescent="0.25">
      <c r="H7" s="13" t="s">
        <v>10</v>
      </c>
      <c r="I7" s="13" t="s">
        <v>11</v>
      </c>
      <c r="J7" s="13" t="s">
        <v>12</v>
      </c>
      <c r="K7" s="13" t="s">
        <v>14</v>
      </c>
      <c r="L7" s="13" t="s">
        <v>15</v>
      </c>
      <c r="M7" s="13" t="s">
        <v>28</v>
      </c>
      <c r="N7" s="11"/>
    </row>
    <row r="8" spans="8:14" x14ac:dyDescent="0.25">
      <c r="H8" s="11">
        <v>0.5</v>
      </c>
      <c r="I8" s="39">
        <f>I3*L3/2</f>
        <v>1.0625</v>
      </c>
      <c r="J8" s="39">
        <f>I8/(1+$L$4/2)^(2*H8)</f>
        <v>1.0515012964392456</v>
      </c>
      <c r="K8" s="15">
        <f>J8/$J$18</f>
        <v>1.0498646456678504E-2</v>
      </c>
      <c r="L8" s="16">
        <f>H8*K8</f>
        <v>5.2493232283392522E-3</v>
      </c>
      <c r="M8" s="39">
        <f>H8*(H8+0.5)*K8</f>
        <v>5.2493232283392522E-3</v>
      </c>
      <c r="N8" s="11"/>
    </row>
    <row r="9" spans="8:14" x14ac:dyDescent="0.25">
      <c r="H9" s="11">
        <v>1</v>
      </c>
      <c r="I9" s="39">
        <f>I8</f>
        <v>1.0625</v>
      </c>
      <c r="J9" s="39">
        <f t="shared" ref="J9:J17" si="0">I9/(1+$L$4/2)^(2*H9)</f>
        <v>1.0406164483890958</v>
      </c>
      <c r="K9" s="15">
        <f t="shared" ref="K9:K17" si="1">J9/$J$18</f>
        <v>1.0389967397698579E-2</v>
      </c>
      <c r="L9" s="16">
        <f t="shared" ref="L9:L17" si="2">H9*K9</f>
        <v>1.0389967397698579E-2</v>
      </c>
      <c r="M9" s="39">
        <f t="shared" ref="M9:M17" si="3">H9*(H9+0.5)*K9</f>
        <v>1.5584951096547868E-2</v>
      </c>
      <c r="N9" s="11"/>
    </row>
    <row r="10" spans="8:14" x14ac:dyDescent="0.25">
      <c r="H10" s="11">
        <v>1.5</v>
      </c>
      <c r="I10" s="39">
        <f t="shared" ref="I10:I16" si="4">I9</f>
        <v>1.0625</v>
      </c>
      <c r="J10" s="39">
        <f t="shared" si="0"/>
        <v>1.0298442772490706</v>
      </c>
      <c r="K10" s="15">
        <f t="shared" si="1"/>
        <v>1.0282413354015576E-2</v>
      </c>
      <c r="L10" s="16">
        <f t="shared" si="2"/>
        <v>1.5423620031023363E-2</v>
      </c>
      <c r="M10" s="39">
        <f t="shared" si="3"/>
        <v>3.0847240062046727E-2</v>
      </c>
      <c r="N10" s="11"/>
    </row>
    <row r="11" spans="8:14" x14ac:dyDescent="0.25">
      <c r="H11" s="11">
        <v>2</v>
      </c>
      <c r="I11" s="39">
        <f t="shared" si="4"/>
        <v>1.0625</v>
      </c>
      <c r="J11" s="39">
        <f t="shared" si="0"/>
        <v>1.0191836166192334</v>
      </c>
      <c r="K11" s="15">
        <f t="shared" si="1"/>
        <v>1.0175972679785025E-2</v>
      </c>
      <c r="L11" s="16">
        <f t="shared" si="2"/>
        <v>2.0351945359570051E-2</v>
      </c>
      <c r="M11" s="39">
        <f t="shared" si="3"/>
        <v>5.0879863398925126E-2</v>
      </c>
      <c r="N11" s="11"/>
    </row>
    <row r="12" spans="8:14" x14ac:dyDescent="0.25">
      <c r="H12" s="11">
        <v>2.5</v>
      </c>
      <c r="I12" s="39">
        <f t="shared" si="4"/>
        <v>1.0625</v>
      </c>
      <c r="J12" s="39">
        <f t="shared" si="0"/>
        <v>1.0086333121738946</v>
      </c>
      <c r="K12" s="15">
        <f t="shared" si="1"/>
        <v>1.0070633849716987E-2</v>
      </c>
      <c r="L12" s="16">
        <f t="shared" si="2"/>
        <v>2.5176584624292467E-2</v>
      </c>
      <c r="M12" s="39">
        <f t="shared" si="3"/>
        <v>7.55297538728774E-2</v>
      </c>
      <c r="N12" s="11"/>
    </row>
    <row r="13" spans="8:14" x14ac:dyDescent="0.25">
      <c r="H13" s="11">
        <v>3</v>
      </c>
      <c r="I13" s="39">
        <f t="shared" si="4"/>
        <v>1.0625</v>
      </c>
      <c r="J13" s="39">
        <f t="shared" si="0"/>
        <v>0.99819222153662146</v>
      </c>
      <c r="K13" s="15">
        <f t="shared" si="1"/>
        <v>9.966385457828103E-3</v>
      </c>
      <c r="L13" s="16">
        <f t="shared" si="2"/>
        <v>2.9899156373484309E-2</v>
      </c>
      <c r="M13" s="39">
        <f t="shared" si="3"/>
        <v>0.10464704730719508</v>
      </c>
      <c r="N13" s="11"/>
    </row>
    <row r="14" spans="8:14" x14ac:dyDescent="0.25">
      <c r="H14" s="11">
        <v>3.5</v>
      </c>
      <c r="I14" s="39">
        <f t="shared" si="4"/>
        <v>1.0625</v>
      </c>
      <c r="J14" s="39">
        <f t="shared" si="0"/>
        <v>0.9878592141565441</v>
      </c>
      <c r="K14" s="15">
        <f t="shared" si="1"/>
        <v>9.8632162162065832E-3</v>
      </c>
      <c r="L14" s="16">
        <f t="shared" si="2"/>
        <v>3.4521256756723039E-2</v>
      </c>
      <c r="M14" s="39">
        <f t="shared" si="3"/>
        <v>0.13808502702689215</v>
      </c>
      <c r="N14" s="11"/>
    </row>
    <row r="15" spans="8:14" x14ac:dyDescent="0.25">
      <c r="H15" s="11">
        <v>4</v>
      </c>
      <c r="I15" s="39">
        <f t="shared" si="4"/>
        <v>1.0625</v>
      </c>
      <c r="J15" s="39">
        <f t="shared" si="0"/>
        <v>0.97763317118593929</v>
      </c>
      <c r="K15" s="15">
        <f t="shared" si="1"/>
        <v>9.7611149537899424E-3</v>
      </c>
      <c r="L15" s="16">
        <f t="shared" si="2"/>
        <v>3.904445981515977E-2</v>
      </c>
      <c r="M15" s="39">
        <f t="shared" si="3"/>
        <v>0.17570006916821895</v>
      </c>
      <c r="N15" s="11"/>
    </row>
    <row r="16" spans="8:14" x14ac:dyDescent="0.25">
      <c r="H16" s="11">
        <v>4.5</v>
      </c>
      <c r="I16" s="39">
        <f t="shared" si="4"/>
        <v>1.0625</v>
      </c>
      <c r="J16" s="39">
        <f t="shared" si="0"/>
        <v>0.96751298535908337</v>
      </c>
      <c r="K16" s="15">
        <f t="shared" si="1"/>
        <v>9.6600706151554177E-3</v>
      </c>
      <c r="L16" s="16">
        <f t="shared" si="2"/>
        <v>4.347031776819938E-2</v>
      </c>
      <c r="M16" s="39">
        <f t="shared" si="3"/>
        <v>0.2173515888409969</v>
      </c>
      <c r="N16" s="11"/>
    </row>
    <row r="17" spans="8:14" x14ac:dyDescent="0.25">
      <c r="H17" s="11">
        <v>5</v>
      </c>
      <c r="I17" s="39">
        <f>I16+I3</f>
        <v>101.0625</v>
      </c>
      <c r="J17" s="39">
        <f t="shared" si="0"/>
        <v>91.074915054741396</v>
      </c>
      <c r="K17" s="15">
        <f t="shared" si="1"/>
        <v>0.9093315790191252</v>
      </c>
      <c r="L17" s="16">
        <f t="shared" si="2"/>
        <v>4.5466578950956258</v>
      </c>
      <c r="M17" s="39">
        <f t="shared" si="3"/>
        <v>25.006618423025945</v>
      </c>
      <c r="N17" s="11"/>
    </row>
    <row r="18" spans="8:14" x14ac:dyDescent="0.25">
      <c r="H18" s="12"/>
      <c r="I18" s="39" t="s">
        <v>24</v>
      </c>
      <c r="J18" s="39">
        <f>SUM(J8:J17)</f>
        <v>100.15589159785013</v>
      </c>
      <c r="K18" s="25">
        <f>SUM(K8:K17)</f>
        <v>0.99999999999999989</v>
      </c>
      <c r="L18" s="26">
        <f>SUM(L8:L17)</f>
        <v>4.7701845264501159</v>
      </c>
      <c r="M18" s="39">
        <f>SUM(M8:M17)</f>
        <v>25.820493287027983</v>
      </c>
      <c r="N18" s="11"/>
    </row>
    <row r="19" spans="8:14" x14ac:dyDescent="0.25">
      <c r="H19" s="12"/>
      <c r="I19" s="14"/>
      <c r="J19" s="11"/>
      <c r="K19" s="22"/>
      <c r="L19" s="16"/>
      <c r="M19" s="11"/>
      <c r="N19" s="11"/>
    </row>
    <row r="20" spans="8:14" x14ac:dyDescent="0.25">
      <c r="H20" s="11" t="s">
        <v>16</v>
      </c>
      <c r="I20" s="16">
        <f>L18</f>
        <v>4.7701845264501159</v>
      </c>
      <c r="J20" s="11"/>
      <c r="K20" s="22"/>
      <c r="L20" s="16"/>
      <c r="M20" s="11"/>
      <c r="N20" s="11"/>
    </row>
    <row r="21" spans="8:14" x14ac:dyDescent="0.25">
      <c r="H21" s="11" t="s">
        <v>26</v>
      </c>
      <c r="I21" s="16">
        <f>I20/(1+L4/2)</f>
        <v>4.7208049071216243</v>
      </c>
      <c r="J21" s="11"/>
      <c r="K21" s="11"/>
      <c r="L21" s="11"/>
      <c r="M21" s="11"/>
      <c r="N21" s="11"/>
    </row>
    <row r="22" spans="8:14" x14ac:dyDescent="0.25">
      <c r="H22" s="11" t="s">
        <v>25</v>
      </c>
      <c r="I22" s="16">
        <f>M18</f>
        <v>25.820493287027983</v>
      </c>
      <c r="J22" s="11"/>
      <c r="K22" s="11"/>
      <c r="L22" s="11"/>
      <c r="M22" s="11"/>
      <c r="N22" s="11"/>
    </row>
    <row r="23" spans="8:14" x14ac:dyDescent="0.25">
      <c r="H23" s="11" t="s">
        <v>27</v>
      </c>
      <c r="I23" s="16">
        <f>I22/(1+L4/2)^2</f>
        <v>25.288687077648515</v>
      </c>
      <c r="J23" s="11"/>
      <c r="K23" s="11"/>
      <c r="L23" s="11"/>
      <c r="M23" s="11"/>
      <c r="N23" s="11"/>
    </row>
    <row r="24" spans="8:14" x14ac:dyDescent="0.25">
      <c r="H24" s="11"/>
      <c r="I24" s="11"/>
      <c r="J24" s="11"/>
      <c r="K24" s="11"/>
      <c r="L24" s="11"/>
      <c r="M24" s="11"/>
      <c r="N2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zoomScale="115" zoomScaleNormal="115" workbookViewId="0">
      <selection activeCell="N21" sqref="N21:O23"/>
    </sheetView>
  </sheetViews>
  <sheetFormatPr defaultRowHeight="15" x14ac:dyDescent="0.25"/>
  <cols>
    <col min="1" max="1" width="11" bestFit="1" customWidth="1"/>
    <col min="4" max="4" width="9.5703125" bestFit="1" customWidth="1"/>
    <col min="5" max="5" width="10.85546875" bestFit="1" customWidth="1"/>
    <col min="6" max="7" width="10.85546875" customWidth="1"/>
    <col min="8" max="8" width="4.140625" customWidth="1"/>
    <col min="9" max="9" width="11" bestFit="1" customWidth="1"/>
    <col min="10" max="12" width="10.140625" customWidth="1"/>
    <col min="13" max="13" width="10.85546875" bestFit="1" customWidth="1"/>
    <col min="14" max="14" width="10.140625" customWidth="1"/>
  </cols>
  <sheetData>
    <row r="3" spans="1:17" x14ac:dyDescent="0.25">
      <c r="A3" s="11" t="s">
        <v>5</v>
      </c>
      <c r="B3" s="132">
        <v>100</v>
      </c>
      <c r="C3" s="11"/>
      <c r="D3" s="11" t="s">
        <v>3</v>
      </c>
      <c r="E3" s="12">
        <v>0.04</v>
      </c>
      <c r="F3" s="12"/>
      <c r="G3" s="12"/>
      <c r="H3" s="12"/>
      <c r="I3" s="11" t="s">
        <v>5</v>
      </c>
      <c r="J3" s="132">
        <v>100</v>
      </c>
      <c r="K3" s="11"/>
      <c r="L3" s="11" t="s">
        <v>3</v>
      </c>
      <c r="M3" s="12">
        <v>0.04</v>
      </c>
      <c r="N3" s="3"/>
      <c r="O3" s="23" t="s">
        <v>23</v>
      </c>
    </row>
    <row r="4" spans="1:17" x14ac:dyDescent="0.25">
      <c r="A4" s="11"/>
      <c r="B4" s="11"/>
      <c r="C4" s="11"/>
      <c r="D4" s="11"/>
      <c r="E4" s="12"/>
      <c r="F4" s="12"/>
      <c r="G4" s="12"/>
      <c r="H4" s="12"/>
      <c r="I4" s="11"/>
      <c r="J4" s="11"/>
      <c r="K4" s="11"/>
      <c r="L4" s="11"/>
      <c r="M4" s="12"/>
      <c r="N4" s="12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 t="s">
        <v>22</v>
      </c>
      <c r="J5" s="10">
        <v>0.1</v>
      </c>
      <c r="K5" s="11"/>
      <c r="L5" s="11"/>
      <c r="M5" s="11"/>
      <c r="N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 t="s">
        <v>39</v>
      </c>
      <c r="K6" s="11"/>
      <c r="L6" s="11"/>
      <c r="M6" s="11"/>
      <c r="N6" s="11"/>
    </row>
    <row r="7" spans="1:17" x14ac:dyDescent="0.25">
      <c r="A7" s="19" t="s">
        <v>38</v>
      </c>
      <c r="B7" s="19" t="s">
        <v>10</v>
      </c>
      <c r="C7" s="19" t="s">
        <v>11</v>
      </c>
      <c r="D7" s="19" t="s">
        <v>12</v>
      </c>
      <c r="E7" s="19" t="s">
        <v>20</v>
      </c>
      <c r="F7" s="19" t="s">
        <v>122</v>
      </c>
      <c r="G7" s="19" t="s">
        <v>132</v>
      </c>
      <c r="H7" s="11"/>
      <c r="I7" s="19" t="s">
        <v>18</v>
      </c>
      <c r="J7" s="19" t="s">
        <v>10</v>
      </c>
      <c r="K7" s="19" t="s">
        <v>11</v>
      </c>
      <c r="L7" s="19" t="s">
        <v>12</v>
      </c>
      <c r="M7" s="19" t="s">
        <v>20</v>
      </c>
      <c r="N7" s="19" t="s">
        <v>122</v>
      </c>
      <c r="O7" s="19" t="s">
        <v>132</v>
      </c>
    </row>
    <row r="8" spans="1:17" x14ac:dyDescent="0.25">
      <c r="A8" s="11"/>
      <c r="B8" s="11"/>
      <c r="C8" s="11"/>
      <c r="D8" s="11"/>
      <c r="E8" s="35">
        <f>-D15</f>
        <v>-94.902069446544488</v>
      </c>
      <c r="F8" s="35"/>
      <c r="G8" s="35"/>
      <c r="H8" s="14"/>
      <c r="I8" s="11"/>
      <c r="J8" s="11"/>
      <c r="K8" s="11"/>
      <c r="L8" s="11"/>
      <c r="M8" s="35">
        <f>-L15</f>
        <v>-72.527635291662776</v>
      </c>
      <c r="N8" s="35"/>
      <c r="O8" s="35"/>
    </row>
    <row r="9" spans="1:17" x14ac:dyDescent="0.25">
      <c r="A9" s="30">
        <v>0.01</v>
      </c>
      <c r="B9" s="11">
        <v>0.5</v>
      </c>
      <c r="C9" s="33">
        <f>B3*E3/2</f>
        <v>2</v>
      </c>
      <c r="D9" s="35">
        <f>C9/(1+A9/2)^(B9*2)</f>
        <v>1.9900497512437814</v>
      </c>
      <c r="E9" s="34">
        <f>C9</f>
        <v>2</v>
      </c>
      <c r="F9" s="133">
        <f>D9/$D$15</f>
        <v>2.0969508492801804E-2</v>
      </c>
      <c r="G9" s="133">
        <f>B9*F9</f>
        <v>1.0484754246400902E-2</v>
      </c>
      <c r="H9" s="31"/>
      <c r="I9" s="30">
        <f t="shared" ref="I9:I14" si="0">A9+$J$5</f>
        <v>0.11</v>
      </c>
      <c r="J9" s="11">
        <v>0.5</v>
      </c>
      <c r="K9" s="33">
        <f>J3*M3/2</f>
        <v>2</v>
      </c>
      <c r="L9" s="35">
        <f>K9/(1+I9/2)^(J9*2)</f>
        <v>1.8957345971563981</v>
      </c>
      <c r="M9" s="34">
        <f>K9</f>
        <v>2</v>
      </c>
      <c r="N9" s="133">
        <f>L9/$L$15</f>
        <v>2.6138100181163873E-2</v>
      </c>
      <c r="O9" s="133">
        <f>J9*N9</f>
        <v>1.3069050090581937E-2</v>
      </c>
    </row>
    <row r="10" spans="1:17" x14ac:dyDescent="0.25">
      <c r="A10" s="30">
        <v>0.02</v>
      </c>
      <c r="B10" s="11">
        <v>1</v>
      </c>
      <c r="C10" s="33">
        <f>C9</f>
        <v>2</v>
      </c>
      <c r="D10" s="35">
        <f t="shared" ref="D10:D14" si="1">C10/(1+A10/2)^(B10*2)</f>
        <v>1.9605920988138417</v>
      </c>
      <c r="E10" s="34">
        <f t="shared" ref="E10:E14" si="2">C10</f>
        <v>2</v>
      </c>
      <c r="F10" s="133">
        <f>D10/$D$15</f>
        <v>2.0659107965165974E-2</v>
      </c>
      <c r="G10" s="133">
        <f>B10*F10</f>
        <v>2.0659107965165974E-2</v>
      </c>
      <c r="H10" s="31"/>
      <c r="I10" s="30">
        <f t="shared" si="0"/>
        <v>0.12000000000000001</v>
      </c>
      <c r="J10" s="11">
        <v>1</v>
      </c>
      <c r="K10" s="33">
        <f>K9</f>
        <v>2</v>
      </c>
      <c r="L10" s="35">
        <f t="shared" ref="L10:L14" si="3">K10/(1+I10/2)^(J10*2)</f>
        <v>1.7799928800284797</v>
      </c>
      <c r="M10" s="34">
        <f t="shared" ref="M10:M14" si="4">K10</f>
        <v>2</v>
      </c>
      <c r="N10" s="133">
        <f>L10/$L$15</f>
        <v>2.4542270996019831E-2</v>
      </c>
      <c r="O10" s="133">
        <f>J10*N10</f>
        <v>2.4542270996019831E-2</v>
      </c>
    </row>
    <row r="11" spans="1:17" x14ac:dyDescent="0.25">
      <c r="A11" s="30">
        <v>0.03</v>
      </c>
      <c r="B11" s="11">
        <v>1.5</v>
      </c>
      <c r="C11" s="33">
        <f t="shared" ref="C11:C13" si="5">C10</f>
        <v>2</v>
      </c>
      <c r="D11" s="35">
        <f t="shared" si="1"/>
        <v>1.9126339874820504</v>
      </c>
      <c r="E11" s="34">
        <f t="shared" si="2"/>
        <v>2</v>
      </c>
      <c r="F11" s="133">
        <f>D11/$D$15</f>
        <v>2.0153764808673431E-2</v>
      </c>
      <c r="G11" s="133">
        <f>B11*F11</f>
        <v>3.0230647213010147E-2</v>
      </c>
      <c r="H11" s="31"/>
      <c r="I11" s="30">
        <f t="shared" si="0"/>
        <v>0.13</v>
      </c>
      <c r="J11" s="11">
        <v>1.5</v>
      </c>
      <c r="K11" s="33">
        <f t="shared" ref="K11:K13" si="6">K10</f>
        <v>2</v>
      </c>
      <c r="L11" s="35">
        <f t="shared" si="3"/>
        <v>1.6556981836059599</v>
      </c>
      <c r="M11" s="34">
        <f t="shared" si="4"/>
        <v>2</v>
      </c>
      <c r="N11" s="133">
        <f>L11/$L$15</f>
        <v>2.2828514633735569E-2</v>
      </c>
      <c r="O11" s="133">
        <f>J11*N11</f>
        <v>3.4242771950603351E-2</v>
      </c>
    </row>
    <row r="12" spans="1:17" x14ac:dyDescent="0.25">
      <c r="A12" s="30">
        <v>0.04</v>
      </c>
      <c r="B12" s="11">
        <v>2</v>
      </c>
      <c r="C12" s="33">
        <f t="shared" si="5"/>
        <v>2</v>
      </c>
      <c r="D12" s="35">
        <f t="shared" si="1"/>
        <v>1.8476908520530284</v>
      </c>
      <c r="E12" s="34">
        <f t="shared" si="2"/>
        <v>2</v>
      </c>
      <c r="F12" s="133">
        <f>D12/$D$15</f>
        <v>1.9469447429634586E-2</v>
      </c>
      <c r="G12" s="133">
        <f>B12*F12</f>
        <v>3.8938894859269171E-2</v>
      </c>
      <c r="H12" s="31"/>
      <c r="I12" s="30">
        <f t="shared" si="0"/>
        <v>0.14000000000000001</v>
      </c>
      <c r="J12" s="11">
        <v>2</v>
      </c>
      <c r="K12" s="33">
        <f t="shared" si="6"/>
        <v>2</v>
      </c>
      <c r="L12" s="35">
        <f t="shared" si="3"/>
        <v>1.5257904240950504</v>
      </c>
      <c r="M12" s="34">
        <f t="shared" si="4"/>
        <v>2</v>
      </c>
      <c r="N12" s="133">
        <f>L12/$L$15</f>
        <v>2.1037366211641036E-2</v>
      </c>
      <c r="O12" s="133">
        <f>J12*N12</f>
        <v>4.2074732423282073E-2</v>
      </c>
    </row>
    <row r="13" spans="1:17" x14ac:dyDescent="0.25">
      <c r="A13" s="30">
        <v>0.05</v>
      </c>
      <c r="B13" s="11">
        <v>2.5</v>
      </c>
      <c r="C13" s="33">
        <f t="shared" si="5"/>
        <v>2</v>
      </c>
      <c r="D13" s="35">
        <f t="shared" si="1"/>
        <v>1.7677085752190342</v>
      </c>
      <c r="E13" s="34">
        <f t="shared" si="2"/>
        <v>2</v>
      </c>
      <c r="F13" s="133">
        <f>D13/$D$15</f>
        <v>1.8626659940379191E-2</v>
      </c>
      <c r="G13" s="133">
        <f>B13*F13</f>
        <v>4.656664985094798E-2</v>
      </c>
      <c r="H13" s="31"/>
      <c r="I13" s="30">
        <f t="shared" si="0"/>
        <v>0.15000000000000002</v>
      </c>
      <c r="J13" s="11">
        <v>2.5</v>
      </c>
      <c r="K13" s="33">
        <f t="shared" si="6"/>
        <v>2</v>
      </c>
      <c r="L13" s="35">
        <f t="shared" si="3"/>
        <v>1.3931172647002323</v>
      </c>
      <c r="M13" s="34">
        <f t="shared" si="4"/>
        <v>2</v>
      </c>
      <c r="N13" s="133">
        <f>L13/$L$15</f>
        <v>1.9208088876715032E-2</v>
      </c>
      <c r="O13" s="133">
        <f>J13*N13</f>
        <v>4.802022219178758E-2</v>
      </c>
    </row>
    <row r="14" spans="1:17" x14ac:dyDescent="0.25">
      <c r="A14" s="30">
        <v>0.06</v>
      </c>
      <c r="B14" s="11">
        <v>3</v>
      </c>
      <c r="C14" s="33">
        <f>C13+B3</f>
        <v>102</v>
      </c>
      <c r="D14" s="35">
        <f t="shared" si="1"/>
        <v>85.423394181732746</v>
      </c>
      <c r="E14" s="34">
        <f t="shared" si="2"/>
        <v>102</v>
      </c>
      <c r="F14" s="133">
        <f>D14/$D$15</f>
        <v>0.90012151136334495</v>
      </c>
      <c r="G14" s="133">
        <f>B14*F14</f>
        <v>2.7003645340900349</v>
      </c>
      <c r="H14" s="31"/>
      <c r="I14" s="30">
        <f t="shared" si="0"/>
        <v>0.16</v>
      </c>
      <c r="J14" s="11">
        <v>3</v>
      </c>
      <c r="K14" s="33">
        <f>K13+J3</f>
        <v>102</v>
      </c>
      <c r="L14" s="35">
        <f t="shared" si="3"/>
        <v>64.277301942076662</v>
      </c>
      <c r="M14" s="34">
        <f t="shared" si="4"/>
        <v>102</v>
      </c>
      <c r="N14" s="133">
        <f>L14/$L$15</f>
        <v>0.88624565910072473</v>
      </c>
      <c r="O14" s="133">
        <f>J14*N14</f>
        <v>2.6587369773021741</v>
      </c>
      <c r="Q14" s="4"/>
    </row>
    <row r="15" spans="1:17" x14ac:dyDescent="0.25">
      <c r="A15" s="11"/>
      <c r="B15" s="11"/>
      <c r="C15" s="11" t="s">
        <v>13</v>
      </c>
      <c r="D15" s="35">
        <f>SUM(D9:D14)</f>
        <v>94.902069446544488</v>
      </c>
      <c r="E15" s="33"/>
      <c r="F15" s="133">
        <f>SUM(F9:F14)</f>
        <v>1</v>
      </c>
      <c r="G15" s="133"/>
      <c r="H15" s="11"/>
      <c r="I15" s="29"/>
      <c r="J15" s="11"/>
      <c r="K15" s="11" t="s">
        <v>13</v>
      </c>
      <c r="L15" s="35">
        <f>SUM(L9:L14)</f>
        <v>72.527635291662776</v>
      </c>
      <c r="M15" s="33"/>
      <c r="N15" s="133">
        <f>SUM(N9:N14)</f>
        <v>1</v>
      </c>
      <c r="O15" s="133">
        <f>SUM(O9:O14)</f>
        <v>2.820686024954449</v>
      </c>
    </row>
    <row r="16" spans="1:17" x14ac:dyDescent="0.25">
      <c r="A16" s="11"/>
      <c r="B16" s="11"/>
      <c r="C16" s="11"/>
      <c r="D16" s="11"/>
      <c r="E16" s="11"/>
      <c r="F16" s="11" t="s">
        <v>133</v>
      </c>
      <c r="G16" s="11">
        <f>SUM(G9:G14)/(1+E17/2)</f>
        <v>2.7659486888760285</v>
      </c>
      <c r="H16" s="11"/>
      <c r="I16" s="11"/>
      <c r="J16" s="11"/>
      <c r="K16" s="11"/>
      <c r="L16" s="11"/>
      <c r="M16" s="11"/>
      <c r="N16" s="11" t="s">
        <v>133</v>
      </c>
      <c r="O16" s="11">
        <f>SUM(O9:O14)/(1+M17/2)</f>
        <v>2.6134378165810896</v>
      </c>
    </row>
    <row r="17" spans="1:15" x14ac:dyDescent="0.25">
      <c r="A17" s="11"/>
      <c r="B17" s="11"/>
      <c r="C17" s="11"/>
      <c r="D17" s="11" t="s">
        <v>19</v>
      </c>
      <c r="E17" s="29">
        <f>IRR(E8:E14)*2</f>
        <v>5.8783374887432238E-2</v>
      </c>
      <c r="F17" s="29"/>
      <c r="G17" s="29"/>
      <c r="H17" s="29"/>
      <c r="I17" s="11"/>
      <c r="J17" s="11"/>
      <c r="K17" s="11"/>
      <c r="L17" s="11" t="s">
        <v>19</v>
      </c>
      <c r="M17" s="29">
        <f>IRR(M8:M14)*2</f>
        <v>0.1586019816951163</v>
      </c>
      <c r="N17" s="29"/>
      <c r="O17" s="2"/>
    </row>
    <row r="18" spans="1:15" x14ac:dyDescent="0.25">
      <c r="A18" s="11"/>
      <c r="B18" s="12"/>
      <c r="C18" s="14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x14ac:dyDescent="0.25">
      <c r="A19" s="11"/>
      <c r="B19" s="12"/>
      <c r="C19" s="14"/>
      <c r="D19" s="11"/>
      <c r="E19" s="17"/>
      <c r="F19" s="17"/>
      <c r="G19" s="17"/>
      <c r="H19" s="17"/>
      <c r="I19" s="17"/>
      <c r="J19" s="17"/>
      <c r="K19" s="17"/>
      <c r="L19" s="11" t="s">
        <v>21</v>
      </c>
      <c r="M19" s="9">
        <f>M17-E17</f>
        <v>9.9818606807684063E-2</v>
      </c>
      <c r="N19" s="17"/>
      <c r="O19" s="2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5" x14ac:dyDescent="0.25">
      <c r="K21" t="s">
        <v>135</v>
      </c>
      <c r="L21" t="s">
        <v>134</v>
      </c>
      <c r="M21" s="134">
        <f>L15-D15</f>
        <v>-22.374434154881712</v>
      </c>
      <c r="N21" t="s">
        <v>137</v>
      </c>
      <c r="O21" s="135">
        <f>M21/$D$15</f>
        <v>-0.23576339573379446</v>
      </c>
    </row>
    <row r="22" spans="1:15" x14ac:dyDescent="0.25">
      <c r="L22" t="s">
        <v>131</v>
      </c>
      <c r="O22" s="135"/>
    </row>
    <row r="23" spans="1:15" x14ac:dyDescent="0.25">
      <c r="K23" t="s">
        <v>136</v>
      </c>
      <c r="L23" t="s">
        <v>134</v>
      </c>
      <c r="M23" s="134">
        <f>-D15*G16*J5</f>
        <v>-26.249425455729153</v>
      </c>
      <c r="N23" t="s">
        <v>137</v>
      </c>
      <c r="O23" s="135">
        <f>M23/$D$15</f>
        <v>-0.27659486888760287</v>
      </c>
    </row>
    <row r="25" spans="1: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31" spans="1:15" x14ac:dyDescent="0.25">
      <c r="O31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tabSelected="1" zoomScale="115" zoomScaleNormal="115" workbookViewId="0">
      <selection activeCell="J15" sqref="J15"/>
    </sheetView>
  </sheetViews>
  <sheetFormatPr defaultRowHeight="15" x14ac:dyDescent="0.25"/>
  <cols>
    <col min="1" max="1" width="11" bestFit="1" customWidth="1"/>
    <col min="4" max="4" width="9.5703125" bestFit="1" customWidth="1"/>
    <col min="5" max="5" width="10.85546875" bestFit="1" customWidth="1"/>
    <col min="6" max="7" width="10.85546875" customWidth="1"/>
    <col min="8" max="8" width="4.140625" customWidth="1"/>
    <col min="9" max="9" width="11" bestFit="1" customWidth="1"/>
    <col min="10" max="12" width="10.140625" customWidth="1"/>
    <col min="13" max="13" width="10.85546875" bestFit="1" customWidth="1"/>
    <col min="14" max="14" width="10.140625" customWidth="1"/>
  </cols>
  <sheetData>
    <row r="3" spans="1:17" x14ac:dyDescent="0.25">
      <c r="A3" s="11" t="s">
        <v>5</v>
      </c>
      <c r="B3" s="132">
        <v>100</v>
      </c>
      <c r="C3" s="11"/>
      <c r="D3" s="11" t="s">
        <v>3</v>
      </c>
      <c r="E3" s="12">
        <v>0.04</v>
      </c>
      <c r="F3" s="12"/>
      <c r="G3" s="12"/>
      <c r="H3" s="12"/>
      <c r="I3" s="11" t="s">
        <v>5</v>
      </c>
      <c r="J3" s="132">
        <v>100</v>
      </c>
      <c r="K3" s="11"/>
      <c r="L3" s="11" t="s">
        <v>3</v>
      </c>
      <c r="M3" s="12">
        <v>0.04</v>
      </c>
      <c r="N3" s="3"/>
      <c r="O3" s="23" t="s">
        <v>23</v>
      </c>
    </row>
    <row r="4" spans="1:17" x14ac:dyDescent="0.25">
      <c r="A4" s="11"/>
      <c r="B4" s="11"/>
      <c r="C4" s="11"/>
      <c r="D4" s="11"/>
      <c r="E4" s="12"/>
      <c r="F4" s="12"/>
      <c r="G4" s="12"/>
      <c r="H4" s="12"/>
      <c r="I4" s="11"/>
      <c r="J4" s="11"/>
      <c r="K4" s="11"/>
      <c r="L4" s="11"/>
      <c r="M4" s="12"/>
      <c r="N4" s="12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 t="s">
        <v>22</v>
      </c>
      <c r="J5" s="10"/>
      <c r="K5" s="11"/>
      <c r="L5" s="11"/>
      <c r="M5" s="11"/>
      <c r="N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 t="s">
        <v>39</v>
      </c>
      <c r="K6" s="11"/>
      <c r="L6" s="11"/>
      <c r="M6" s="11"/>
      <c r="N6" s="11"/>
    </row>
    <row r="7" spans="1:17" x14ac:dyDescent="0.25">
      <c r="A7" s="19" t="s">
        <v>38</v>
      </c>
      <c r="B7" s="19" t="s">
        <v>10</v>
      </c>
      <c r="C7" s="19" t="s">
        <v>11</v>
      </c>
      <c r="D7" s="19" t="s">
        <v>12</v>
      </c>
      <c r="E7" s="19" t="s">
        <v>20</v>
      </c>
      <c r="F7" s="19" t="s">
        <v>122</v>
      </c>
      <c r="G7" s="19" t="s">
        <v>132</v>
      </c>
      <c r="H7" s="11"/>
      <c r="I7" s="19" t="s">
        <v>18</v>
      </c>
      <c r="J7" s="19" t="s">
        <v>10</v>
      </c>
      <c r="K7" s="19" t="s">
        <v>11</v>
      </c>
      <c r="L7" s="19" t="s">
        <v>12</v>
      </c>
      <c r="M7" s="19" t="s">
        <v>20</v>
      </c>
      <c r="N7" s="19" t="s">
        <v>122</v>
      </c>
      <c r="O7" s="19" t="s">
        <v>132</v>
      </c>
    </row>
    <row r="8" spans="1:17" x14ac:dyDescent="0.25">
      <c r="A8" s="11"/>
      <c r="B8" s="11"/>
      <c r="C8" s="11"/>
      <c r="D8" s="11"/>
      <c r="E8" s="35">
        <f>-D15</f>
        <v>-94.902069446544488</v>
      </c>
      <c r="F8" s="35"/>
      <c r="G8" s="35"/>
      <c r="H8" s="14"/>
      <c r="I8" s="11"/>
      <c r="J8" s="11"/>
      <c r="K8" s="11"/>
      <c r="L8" s="11"/>
      <c r="M8" s="35">
        <f>-L15</f>
        <v>-64.757914881326371</v>
      </c>
      <c r="N8" s="35"/>
      <c r="O8" s="35"/>
    </row>
    <row r="9" spans="1:17" x14ac:dyDescent="0.25">
      <c r="A9" s="30">
        <v>0.01</v>
      </c>
      <c r="B9" s="11">
        <v>0.5</v>
      </c>
      <c r="C9" s="33">
        <f>B3*E3/2</f>
        <v>2</v>
      </c>
      <c r="D9" s="35">
        <f>C9/(1+A9/2)^(B9*2)</f>
        <v>1.9900497512437814</v>
      </c>
      <c r="E9" s="34">
        <f>C9</f>
        <v>2</v>
      </c>
      <c r="F9" s="133">
        <f>D9/$D$15</f>
        <v>2.0969508492801804E-2</v>
      </c>
      <c r="G9" s="133">
        <f>B9*F9</f>
        <v>1.0484754246400902E-2</v>
      </c>
      <c r="H9" s="31"/>
      <c r="I9" s="30">
        <v>0.01</v>
      </c>
      <c r="J9" s="11">
        <v>3</v>
      </c>
      <c r="K9" s="33">
        <f>J3*M3/2</f>
        <v>2</v>
      </c>
      <c r="L9" s="35">
        <f>K9/(1+I9/2)^(J9*2)</f>
        <v>1.9410361559393168</v>
      </c>
      <c r="M9" s="34">
        <f>K9</f>
        <v>2</v>
      </c>
      <c r="N9" s="133">
        <f>L9/$L$15</f>
        <v>2.9973728454605247E-2</v>
      </c>
      <c r="O9" s="133">
        <f>J9*N9</f>
        <v>8.9921185363815742E-2</v>
      </c>
    </row>
    <row r="10" spans="1:17" x14ac:dyDescent="0.25">
      <c r="A10" s="30">
        <v>0.02</v>
      </c>
      <c r="B10" s="11">
        <v>1</v>
      </c>
      <c r="C10" s="33">
        <f>C9</f>
        <v>2</v>
      </c>
      <c r="D10" s="35">
        <f t="shared" ref="D10:D14" si="0">C10/(1+A10/2)^(B10*2)</f>
        <v>1.9605920988138417</v>
      </c>
      <c r="E10" s="34">
        <f t="shared" ref="E10:E14" si="1">C10</f>
        <v>2</v>
      </c>
      <c r="F10" s="133">
        <f>D10/$D$15</f>
        <v>2.0659107965165974E-2</v>
      </c>
      <c r="G10" s="133">
        <f>B10*F10</f>
        <v>2.0659107965165974E-2</v>
      </c>
      <c r="H10" s="31"/>
      <c r="I10" s="30">
        <v>0.03</v>
      </c>
      <c r="J10" s="11">
        <v>3</v>
      </c>
      <c r="K10" s="33">
        <f>K9</f>
        <v>2</v>
      </c>
      <c r="L10" s="35">
        <f t="shared" ref="L10:L14" si="2">K10/(1+I10/2)^(J10*2)</f>
        <v>1.8290843850357441</v>
      </c>
      <c r="M10" s="34">
        <f t="shared" ref="M10:M14" si="3">K10</f>
        <v>2</v>
      </c>
      <c r="N10" s="133">
        <f>L10/$L$15</f>
        <v>2.8244954896828833E-2</v>
      </c>
      <c r="O10" s="133">
        <f>J10*N10</f>
        <v>8.4734864690486494E-2</v>
      </c>
    </row>
    <row r="11" spans="1:17" x14ac:dyDescent="0.25">
      <c r="A11" s="30">
        <v>0.03</v>
      </c>
      <c r="B11" s="11">
        <v>1.5</v>
      </c>
      <c r="C11" s="33">
        <f t="shared" ref="C11:C13" si="4">C10</f>
        <v>2</v>
      </c>
      <c r="D11" s="35">
        <f t="shared" si="0"/>
        <v>1.9126339874820504</v>
      </c>
      <c r="E11" s="34">
        <f t="shared" si="1"/>
        <v>2</v>
      </c>
      <c r="F11" s="133">
        <f>D11/$D$15</f>
        <v>2.0153764808673431E-2</v>
      </c>
      <c r="G11" s="133">
        <f>B11*F11</f>
        <v>3.0230647213010147E-2</v>
      </c>
      <c r="H11" s="31"/>
      <c r="I11" s="30">
        <v>4.5999999999999999E-2</v>
      </c>
      <c r="J11" s="11">
        <v>5</v>
      </c>
      <c r="K11" s="33">
        <f t="shared" ref="K11:K13" si="5">K10</f>
        <v>2</v>
      </c>
      <c r="L11" s="35">
        <f t="shared" si="2"/>
        <v>1.5932123290891544</v>
      </c>
      <c r="M11" s="34">
        <f t="shared" si="3"/>
        <v>2</v>
      </c>
      <c r="N11" s="133">
        <f>L11/$L$15</f>
        <v>2.4602588455925934E-2</v>
      </c>
      <c r="O11" s="133">
        <f>J11*N11</f>
        <v>0.12301294227962967</v>
      </c>
    </row>
    <row r="12" spans="1:17" x14ac:dyDescent="0.25">
      <c r="A12" s="30">
        <v>0.04</v>
      </c>
      <c r="B12" s="11">
        <v>2</v>
      </c>
      <c r="C12" s="33">
        <f t="shared" si="4"/>
        <v>2</v>
      </c>
      <c r="D12" s="35">
        <f t="shared" si="0"/>
        <v>1.8476908520530284</v>
      </c>
      <c r="E12" s="34">
        <f t="shared" si="1"/>
        <v>2</v>
      </c>
      <c r="F12" s="133">
        <f>D12/$D$15</f>
        <v>1.9469447429634586E-2</v>
      </c>
      <c r="G12" s="133">
        <f>B12*F12</f>
        <v>3.8938894859269171E-2</v>
      </c>
      <c r="H12" s="31"/>
      <c r="I12" s="30">
        <v>7.0000000000000007E-2</v>
      </c>
      <c r="J12" s="11">
        <v>5</v>
      </c>
      <c r="K12" s="33">
        <f t="shared" si="5"/>
        <v>2</v>
      </c>
      <c r="L12" s="35">
        <f t="shared" si="2"/>
        <v>1.4178376274195443</v>
      </c>
      <c r="M12" s="34">
        <f t="shared" si="3"/>
        <v>2</v>
      </c>
      <c r="N12" s="133">
        <f>L12/$L$15</f>
        <v>2.1894429893517045E-2</v>
      </c>
      <c r="O12" s="133">
        <f>J12*N12</f>
        <v>0.10947214946758523</v>
      </c>
    </row>
    <row r="13" spans="1:17" x14ac:dyDescent="0.25">
      <c r="A13" s="30">
        <v>0.05</v>
      </c>
      <c r="B13" s="11">
        <v>2.5</v>
      </c>
      <c r="C13" s="33">
        <f t="shared" si="4"/>
        <v>2</v>
      </c>
      <c r="D13" s="35">
        <f t="shared" si="0"/>
        <v>1.7677085752190342</v>
      </c>
      <c r="E13" s="34">
        <f t="shared" si="1"/>
        <v>2</v>
      </c>
      <c r="F13" s="133">
        <f>D13/$D$15</f>
        <v>1.8626659940379191E-2</v>
      </c>
      <c r="G13" s="133">
        <f>B13*F13</f>
        <v>4.656664985094798E-2</v>
      </c>
      <c r="H13" s="31"/>
      <c r="I13" s="30">
        <v>0.09</v>
      </c>
      <c r="J13" s="11">
        <v>6</v>
      </c>
      <c r="K13" s="33">
        <f t="shared" si="5"/>
        <v>2</v>
      </c>
      <c r="L13" s="35">
        <f t="shared" si="2"/>
        <v>1.1793277297315417</v>
      </c>
      <c r="M13" s="34">
        <f t="shared" si="3"/>
        <v>2</v>
      </c>
      <c r="N13" s="133">
        <f>L13/$L$15</f>
        <v>1.821132956323171E-2</v>
      </c>
      <c r="O13" s="133">
        <f>J13*N13</f>
        <v>0.10926797737939026</v>
      </c>
    </row>
    <row r="14" spans="1:17" x14ac:dyDescent="0.25">
      <c r="A14" s="30">
        <v>0.06</v>
      </c>
      <c r="B14" s="11">
        <v>3</v>
      </c>
      <c r="C14" s="33">
        <f>C13+B3</f>
        <v>102</v>
      </c>
      <c r="D14" s="35">
        <f t="shared" si="0"/>
        <v>85.423394181732746</v>
      </c>
      <c r="E14" s="34">
        <f t="shared" si="1"/>
        <v>102</v>
      </c>
      <c r="F14" s="133">
        <f>D14/$D$15</f>
        <v>0.90012151136334495</v>
      </c>
      <c r="G14" s="133">
        <f>B14*F14</f>
        <v>2.7003645340900349</v>
      </c>
      <c r="H14" s="31"/>
      <c r="I14" s="30">
        <v>0.1</v>
      </c>
      <c r="J14" s="11">
        <v>6</v>
      </c>
      <c r="K14" s="33">
        <f>K13+J3</f>
        <v>102</v>
      </c>
      <c r="L14" s="35">
        <f t="shared" si="2"/>
        <v>56.797416654111068</v>
      </c>
      <c r="M14" s="34">
        <f t="shared" si="3"/>
        <v>102</v>
      </c>
      <c r="N14" s="133">
        <f>L14/$L$15</f>
        <v>0.87707296873589125</v>
      </c>
      <c r="O14" s="133">
        <f>J14*N14</f>
        <v>5.2624378124153477</v>
      </c>
      <c r="Q14" s="4"/>
    </row>
    <row r="15" spans="1:17" x14ac:dyDescent="0.25">
      <c r="A15" s="11"/>
      <c r="B15" s="11"/>
      <c r="C15" s="11" t="s">
        <v>13</v>
      </c>
      <c r="D15" s="35">
        <f>SUM(D9:D14)</f>
        <v>94.902069446544488</v>
      </c>
      <c r="E15" s="33"/>
      <c r="F15" s="133">
        <f>SUM(F9:F14)</f>
        <v>1</v>
      </c>
      <c r="G15" s="133"/>
      <c r="H15" s="11"/>
      <c r="I15" s="29"/>
      <c r="J15" s="11"/>
      <c r="K15" s="11" t="s">
        <v>13</v>
      </c>
      <c r="L15" s="35">
        <f>SUM(L9:L14)</f>
        <v>64.757914881326371</v>
      </c>
      <c r="M15" s="33"/>
      <c r="N15" s="133">
        <f>SUM(N9:N14)</f>
        <v>1</v>
      </c>
      <c r="O15" s="133">
        <f>SUM(O9:O14)</f>
        <v>5.778846931596255</v>
      </c>
    </row>
    <row r="16" spans="1:17" x14ac:dyDescent="0.25">
      <c r="A16" s="11"/>
      <c r="B16" s="11"/>
      <c r="C16" s="11"/>
      <c r="D16" s="11"/>
      <c r="E16" s="11"/>
      <c r="F16" s="11" t="s">
        <v>133</v>
      </c>
      <c r="G16" s="11">
        <f>SUM(G9:G14)/(1+E17/2)</f>
        <v>2.7659486888760285</v>
      </c>
      <c r="H16" s="11"/>
      <c r="I16" s="11"/>
      <c r="J16" s="11"/>
      <c r="K16" s="11"/>
      <c r="L16" s="11"/>
      <c r="M16" s="11"/>
      <c r="N16" s="11" t="s">
        <v>133</v>
      </c>
      <c r="O16" s="11">
        <f>SUM(O9:O14)/(1+M17/2)</f>
        <v>5.2477524087639207</v>
      </c>
    </row>
    <row r="17" spans="1:15" x14ac:dyDescent="0.25">
      <c r="A17" s="11"/>
      <c r="B17" s="11"/>
      <c r="C17" s="11"/>
      <c r="D17" s="11" t="s">
        <v>19</v>
      </c>
      <c r="E17" s="29">
        <f>IRR(E8:E14)*2</f>
        <v>5.8783374887432238E-2</v>
      </c>
      <c r="F17" s="29"/>
      <c r="G17" s="29"/>
      <c r="H17" s="29"/>
      <c r="I17" s="11"/>
      <c r="J17" s="11"/>
      <c r="K17" s="11"/>
      <c r="L17" s="11" t="s">
        <v>19</v>
      </c>
      <c r="M17" s="29">
        <f>IRR(M8:M14)*2</f>
        <v>0.20240837656341748</v>
      </c>
      <c r="N17" s="29"/>
      <c r="O17" s="2"/>
    </row>
    <row r="18" spans="1:15" x14ac:dyDescent="0.25">
      <c r="A18" s="11"/>
      <c r="B18" s="12"/>
      <c r="C18" s="14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x14ac:dyDescent="0.25">
      <c r="A19" s="11"/>
      <c r="B19" s="12"/>
      <c r="C19" s="14"/>
      <c r="D19" s="11"/>
      <c r="E19" s="17"/>
      <c r="F19" s="17"/>
      <c r="G19" s="17"/>
      <c r="H19" s="17"/>
      <c r="I19" s="17"/>
      <c r="J19" s="17"/>
      <c r="K19" s="17"/>
      <c r="L19" s="11" t="s">
        <v>21</v>
      </c>
      <c r="M19" s="9">
        <f>M17-E17</f>
        <v>0.14362500167598524</v>
      </c>
      <c r="N19" s="17"/>
      <c r="O19" s="2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5" x14ac:dyDescent="0.25">
      <c r="K21" t="s">
        <v>135</v>
      </c>
      <c r="L21" t="s">
        <v>134</v>
      </c>
      <c r="M21" s="134">
        <f>L15-D15</f>
        <v>-30.144154565218116</v>
      </c>
      <c r="N21" t="s">
        <v>137</v>
      </c>
      <c r="O21" s="135">
        <f>M21/$D$15</f>
        <v>-0.31763432284474491</v>
      </c>
    </row>
    <row r="22" spans="1:15" x14ac:dyDescent="0.25">
      <c r="L22" t="s">
        <v>131</v>
      </c>
      <c r="O22" s="135"/>
    </row>
    <row r="23" spans="1:15" x14ac:dyDescent="0.25">
      <c r="K23" t="s">
        <v>136</v>
      </c>
      <c r="L23" t="s">
        <v>134</v>
      </c>
      <c r="M23" s="134">
        <f>-D15*G16*M19</f>
        <v>-37.700737750727491</v>
      </c>
      <c r="N23" t="s">
        <v>137</v>
      </c>
      <c r="O23" s="135">
        <f>M23/$D$15</f>
        <v>-0.39725938507550879</v>
      </c>
    </row>
    <row r="25" spans="1: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31" spans="1:15" x14ac:dyDescent="0.25">
      <c r="O3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>
      <selection activeCell="J44" sqref="J44"/>
    </sheetView>
  </sheetViews>
  <sheetFormatPr defaultRowHeight="15" x14ac:dyDescent="0.25"/>
  <cols>
    <col min="3" max="3" width="12.5703125" bestFit="1" customWidth="1"/>
    <col min="9" max="9" width="11.28515625" bestFit="1" customWidth="1"/>
    <col min="10" max="10" width="12" bestFit="1" customWidth="1"/>
    <col min="18" max="18" width="10.140625" bestFit="1" customWidth="1"/>
    <col min="19" max="19" width="12" bestFit="1" customWidth="1"/>
    <col min="20" max="20" width="18" bestFit="1" customWidth="1"/>
  </cols>
  <sheetData>
    <row r="1" spans="1:21" x14ac:dyDescent="0.25">
      <c r="A1" t="s">
        <v>5</v>
      </c>
      <c r="B1" t="s">
        <v>3</v>
      </c>
      <c r="C1" t="s">
        <v>1</v>
      </c>
      <c r="D1" t="s">
        <v>6</v>
      </c>
      <c r="E1" t="s">
        <v>40</v>
      </c>
      <c r="F1" t="s">
        <v>41</v>
      </c>
      <c r="G1" t="s">
        <v>42</v>
      </c>
    </row>
    <row r="2" spans="1:21" x14ac:dyDescent="0.25">
      <c r="A2">
        <v>1</v>
      </c>
      <c r="B2">
        <v>0</v>
      </c>
      <c r="C2">
        <v>0.5</v>
      </c>
      <c r="D2" s="5">
        <v>5.5399999999999998E-2</v>
      </c>
      <c r="E2">
        <v>0.973047</v>
      </c>
      <c r="F2">
        <v>0.48652299999999998</v>
      </c>
      <c r="G2">
        <v>0.47341</v>
      </c>
      <c r="H2">
        <f>G2/SUM($G$2:$G$4)</f>
        <v>4.8216730092123274E-3</v>
      </c>
      <c r="J2">
        <f>A2/(1+D2/2)</f>
        <v>0.97304660893256778</v>
      </c>
    </row>
    <row r="3" spans="1:21" x14ac:dyDescent="0.25">
      <c r="A3">
        <v>1</v>
      </c>
      <c r="B3">
        <v>0</v>
      </c>
      <c r="C3">
        <v>1</v>
      </c>
      <c r="D3" s="5">
        <v>5.45E-2</v>
      </c>
      <c r="E3">
        <v>0.94764899999999996</v>
      </c>
      <c r="F3">
        <v>0.97347300000000003</v>
      </c>
      <c r="G3">
        <v>0.92251099999999997</v>
      </c>
      <c r="H3">
        <f>G3/SUM($G$2:$G$4)</f>
        <v>9.3957592560391066E-3</v>
      </c>
      <c r="J3">
        <f>A3/(1+D3/2)^2</f>
        <v>0.94764941780861878</v>
      </c>
    </row>
    <row r="4" spans="1:21" x14ac:dyDescent="0.25">
      <c r="A4">
        <v>100</v>
      </c>
      <c r="B4" s="3">
        <v>6.5000000000000002E-2</v>
      </c>
      <c r="C4">
        <v>1</v>
      </c>
      <c r="D4" s="5">
        <v>5.4514310000000003E-2</v>
      </c>
      <c r="E4">
        <v>101.0072</v>
      </c>
      <c r="F4">
        <v>0.95822700000000005</v>
      </c>
      <c r="G4">
        <v>96.787841999999998</v>
      </c>
      <c r="H4">
        <f>G4/SUM($G$2:$G$4)</f>
        <v>0.98578256773474859</v>
      </c>
      <c r="J4" s="1">
        <f>-PV(D4/2,2,6.5/2,100)</f>
        <v>101.00720415926246</v>
      </c>
    </row>
    <row r="6" spans="1:21" x14ac:dyDescent="0.25">
      <c r="H6">
        <f>SUMPRODUCT(D2:D4,H2:H4)</f>
        <v>5.451844605425258E-2</v>
      </c>
    </row>
    <row r="7" spans="1:21" x14ac:dyDescent="0.25">
      <c r="O7" s="11"/>
      <c r="P7" s="11"/>
      <c r="Q7" s="11"/>
    </row>
    <row r="8" spans="1:21" x14ac:dyDescent="0.25">
      <c r="A8" t="s">
        <v>5</v>
      </c>
      <c r="B8" t="s">
        <v>3</v>
      </c>
      <c r="C8" t="s">
        <v>1</v>
      </c>
      <c r="D8" t="s">
        <v>6</v>
      </c>
      <c r="E8" t="s">
        <v>40</v>
      </c>
      <c r="F8" t="s">
        <v>41</v>
      </c>
      <c r="G8" t="s">
        <v>42</v>
      </c>
      <c r="O8" s="11"/>
      <c r="P8" s="11"/>
      <c r="Q8" s="11"/>
    </row>
    <row r="9" spans="1:21" x14ac:dyDescent="0.25">
      <c r="A9">
        <v>1</v>
      </c>
      <c r="B9">
        <v>0</v>
      </c>
      <c r="C9">
        <v>0.5</v>
      </c>
      <c r="D9">
        <v>5.4514310000000004</v>
      </c>
      <c r="E9">
        <v>0.97346600000000005</v>
      </c>
      <c r="F9">
        <v>0.48673300000000003</v>
      </c>
      <c r="G9">
        <v>0.47381800000000002</v>
      </c>
      <c r="M9" t="s">
        <v>1</v>
      </c>
      <c r="N9" t="s">
        <v>6</v>
      </c>
      <c r="O9" s="11" t="s">
        <v>50</v>
      </c>
      <c r="P9" s="11"/>
      <c r="Q9" s="11"/>
      <c r="R9" s="40">
        <v>12110553</v>
      </c>
      <c r="S9">
        <f>R9/R11</f>
        <v>0.5477272775583677</v>
      </c>
      <c r="T9">
        <v>12</v>
      </c>
      <c r="U9">
        <f>-T9*S9</f>
        <v>-6.5727273307004124</v>
      </c>
    </row>
    <row r="10" spans="1:21" x14ac:dyDescent="0.25">
      <c r="A10">
        <v>1</v>
      </c>
      <c r="B10">
        <v>0</v>
      </c>
      <c r="C10">
        <v>1</v>
      </c>
      <c r="D10">
        <v>5.4514310000000004</v>
      </c>
      <c r="E10">
        <v>0.94763600000000003</v>
      </c>
      <c r="F10">
        <v>0.97346600000000005</v>
      </c>
      <c r="G10">
        <v>0.92249199999999998</v>
      </c>
      <c r="M10" t="s">
        <v>51</v>
      </c>
      <c r="N10">
        <v>4.1029999999999998</v>
      </c>
      <c r="O10">
        <v>66</v>
      </c>
      <c r="R10" s="40">
        <v>10000000</v>
      </c>
      <c r="S10">
        <f>R10/R11</f>
        <v>0.4522727224416323</v>
      </c>
      <c r="T10">
        <v>1101</v>
      </c>
      <c r="U10">
        <f>T10*S10</f>
        <v>497.95226740823716</v>
      </c>
    </row>
    <row r="11" spans="1:21" x14ac:dyDescent="0.25">
      <c r="A11">
        <v>100</v>
      </c>
      <c r="B11" s="3">
        <v>6.5000000000000002E-2</v>
      </c>
      <c r="C11">
        <v>1</v>
      </c>
      <c r="D11">
        <v>5.4514310000000004</v>
      </c>
      <c r="E11">
        <v>101.0072</v>
      </c>
      <c r="F11">
        <v>0.95822099999999999</v>
      </c>
      <c r="G11">
        <v>96.787178999999995</v>
      </c>
      <c r="M11" t="s">
        <v>52</v>
      </c>
      <c r="N11">
        <v>0.82299999999999995</v>
      </c>
      <c r="O11" t="s">
        <v>53</v>
      </c>
      <c r="R11" s="40">
        <f>SUM(R9:R10)</f>
        <v>22110553</v>
      </c>
      <c r="U11">
        <f>SUM(U9:U10)</f>
        <v>491.37954007753677</v>
      </c>
    </row>
    <row r="12" spans="1:21" x14ac:dyDescent="0.25">
      <c r="M12" t="s">
        <v>54</v>
      </c>
      <c r="N12">
        <v>2.363</v>
      </c>
      <c r="O12" t="s">
        <v>55</v>
      </c>
    </row>
    <row r="13" spans="1:21" x14ac:dyDescent="0.25">
      <c r="R13">
        <f>648/0.04</f>
        <v>16200</v>
      </c>
      <c r="S13">
        <f>R13*0.199</f>
        <v>3223.8</v>
      </c>
      <c r="T13" s="41">
        <f>10000000*0.241*R13</f>
        <v>39042000000</v>
      </c>
    </row>
    <row r="14" spans="1:21" x14ac:dyDescent="0.25">
      <c r="A14" t="s">
        <v>47</v>
      </c>
      <c r="R14">
        <f>0.04*R13</f>
        <v>648</v>
      </c>
      <c r="S14">
        <f>S13-12</f>
        <v>3211.8</v>
      </c>
      <c r="T14" s="41">
        <f>T13-(10000000*1101)</f>
        <v>28032000000</v>
      </c>
    </row>
    <row r="15" spans="1:21" x14ac:dyDescent="0.25">
      <c r="A15" t="s">
        <v>1</v>
      </c>
      <c r="B15" t="s">
        <v>43</v>
      </c>
      <c r="C15" t="s">
        <v>0</v>
      </c>
      <c r="D15" t="s">
        <v>42</v>
      </c>
      <c r="E15" t="s">
        <v>41</v>
      </c>
      <c r="F15" t="s">
        <v>44</v>
      </c>
      <c r="G15" t="s">
        <v>45</v>
      </c>
      <c r="H15" t="s">
        <v>5</v>
      </c>
      <c r="J15" t="s">
        <v>46</v>
      </c>
      <c r="T15" s="41">
        <f>-T14/S14</f>
        <v>-8727816.1778441984</v>
      </c>
    </row>
    <row r="16" spans="1:21" x14ac:dyDescent="0.25">
      <c r="A16">
        <v>10</v>
      </c>
      <c r="B16" s="3">
        <v>0.06</v>
      </c>
      <c r="C16">
        <f>1/(1+B16/2)^(2*A16)</f>
        <v>0.55367575418633497</v>
      </c>
      <c r="D16">
        <f>A16/(1+B16/2)^(2*A16+1)</f>
        <v>5.3754927590906316</v>
      </c>
      <c r="E16">
        <f>D16/C16</f>
        <v>9.7087378640776709</v>
      </c>
      <c r="F16">
        <f>(A16^2+A16/2)/(1+B16/2)^(2*A16+2)</f>
        <v>54.798712592671478</v>
      </c>
      <c r="G16">
        <f>F16/C16</f>
        <v>98.972570459044206</v>
      </c>
      <c r="H16">
        <v>25174</v>
      </c>
      <c r="I16">
        <f>C16*H16</f>
        <v>13938.233435886796</v>
      </c>
      <c r="J16" s="27">
        <f>2*((1/C16)^(1/(2*A16))-1)</f>
        <v>6.0000000000000053E-2</v>
      </c>
      <c r="K16" s="27">
        <v>6.0899999999999954E-2</v>
      </c>
      <c r="T16" s="42">
        <f>T15*12</f>
        <v>-104733794.13413039</v>
      </c>
    </row>
    <row r="17" spans="1:20" x14ac:dyDescent="0.25">
      <c r="A17">
        <v>20</v>
      </c>
      <c r="B17" s="3">
        <v>6.5000000000000002E-2</v>
      </c>
      <c r="C17">
        <f>1/(1+B17/2)^(2*A17)</f>
        <v>0.27822591981354239</v>
      </c>
      <c r="D17">
        <f>A17/(1+B17/2)^(2*A17+1)</f>
        <v>5.3893640641848402</v>
      </c>
      <c r="E17">
        <f>D17/C17</f>
        <v>19.37046004842615</v>
      </c>
      <c r="F17">
        <f>(A17^2+A17/2)/(1+B17/2)^(2*A17+2)</f>
        <v>107.00432282400892</v>
      </c>
      <c r="G17">
        <f>F17/C17</f>
        <v>384.5950905498654</v>
      </c>
      <c r="H17">
        <v>100000</v>
      </c>
      <c r="I17">
        <f t="shared" ref="I17:I18" si="0">C17*H17</f>
        <v>27822.591981354239</v>
      </c>
      <c r="J17" s="27">
        <f>2*((1/C17)^(1/(2*A17))-1)</f>
        <v>6.4999999999999947E-2</v>
      </c>
      <c r="K17" s="27">
        <v>6.6056249999999928E-2</v>
      </c>
      <c r="T17" s="42">
        <f>10000000*1101</f>
        <v>11010000000</v>
      </c>
    </row>
    <row r="18" spans="1:20" x14ac:dyDescent="0.25">
      <c r="A18">
        <v>30</v>
      </c>
      <c r="B18" s="3">
        <v>6.4000000000000001E-2</v>
      </c>
      <c r="C18">
        <f>1/(1+B18/2)^(2*A18)</f>
        <v>0.1510838915046426</v>
      </c>
      <c r="D18">
        <f>A18/(1+B18/2)^(2*A18+1)</f>
        <v>4.3919735902512391</v>
      </c>
      <c r="E18">
        <f>D18/C18</f>
        <v>29.069767441860471</v>
      </c>
      <c r="F18">
        <f>(A18^2+A18/2)/(1+B18/2)^(2*A18+2)</f>
        <v>129.80154506071977</v>
      </c>
      <c r="G18">
        <f>F18/C18</f>
        <v>859.13556877591509</v>
      </c>
      <c r="H18">
        <v>91898</v>
      </c>
      <c r="I18">
        <f t="shared" si="0"/>
        <v>13884.307461493647</v>
      </c>
      <c r="J18" s="27">
        <f>2*((1/C18)^(1/(2*A18))-1)</f>
        <v>6.4000000000000057E-2</v>
      </c>
      <c r="K18" s="27">
        <v>6.5023999999999971E-2</v>
      </c>
      <c r="T18" s="42">
        <f>SUM(T16:T17)</f>
        <v>10905266205.86587</v>
      </c>
    </row>
    <row r="19" spans="1:20" x14ac:dyDescent="0.25">
      <c r="J19" s="27">
        <f>(I16/SUM(I16,I18))*J16+(I18/SUM(I16,I18))*J18</f>
        <v>6.1996123576592704E-2</v>
      </c>
      <c r="K19" s="27">
        <v>6.4137216003826672E-2</v>
      </c>
      <c r="M19" t="s">
        <v>56</v>
      </c>
      <c r="O19" t="e">
        <f>(#REF!-#REF!)/(#REF!-#REF!)</f>
        <v>#REF!</v>
      </c>
      <c r="T19" s="42">
        <f>T18/648</f>
        <v>16829114.515225109</v>
      </c>
    </row>
    <row r="20" spans="1:20" x14ac:dyDescent="0.25">
      <c r="N20" s="40">
        <v>1101</v>
      </c>
      <c r="P20" t="e">
        <f>(O19-O21)/(#REF!-#REF!)/#REF!</f>
        <v>#REF!</v>
      </c>
    </row>
    <row r="21" spans="1:20" x14ac:dyDescent="0.25">
      <c r="M21" t="s">
        <v>57</v>
      </c>
      <c r="O21" t="e">
        <f>(#REF!-#REF!)/(#REF!-#REF!)</f>
        <v>#REF!</v>
      </c>
    </row>
    <row r="22" spans="1:20" x14ac:dyDescent="0.25">
      <c r="D22">
        <v>219.38</v>
      </c>
    </row>
    <row r="23" spans="1:20" x14ac:dyDescent="0.25">
      <c r="D23">
        <f>D22/300</f>
        <v>0.73126666666666662</v>
      </c>
      <c r="E23">
        <f>D23*3.9</f>
        <v>2.8519399999999999</v>
      </c>
    </row>
    <row r="24" spans="1:20" x14ac:dyDescent="0.25">
      <c r="D24">
        <f>285/300</f>
        <v>0.95</v>
      </c>
      <c r="E24">
        <f>D24*3</f>
        <v>2.8499999999999996</v>
      </c>
    </row>
    <row r="25" spans="1:20" x14ac:dyDescent="0.25">
      <c r="E25">
        <f>E23-E24</f>
        <v>1.9400000000002748E-3</v>
      </c>
    </row>
    <row r="26" spans="1:20" x14ac:dyDescent="0.25">
      <c r="M26">
        <v>100</v>
      </c>
    </row>
    <row r="27" spans="1:20" x14ac:dyDescent="0.25">
      <c r="M27">
        <f>M26^-1</f>
        <v>0.01</v>
      </c>
    </row>
    <row r="80" spans="2:2" x14ac:dyDescent="0.25">
      <c r="B80" s="3"/>
    </row>
    <row r="94" spans="2:2" x14ac:dyDescent="0.25">
      <c r="B94" s="6"/>
    </row>
    <row r="96" spans="2:2" x14ac:dyDescent="0.25">
      <c r="B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3</vt:i4>
      </vt:variant>
    </vt:vector>
  </HeadingPairs>
  <TitlesOfParts>
    <vt:vector size="11" baseType="lpstr">
      <vt:lpstr>Regression</vt:lpstr>
      <vt:lpstr>Polynomial</vt:lpstr>
      <vt:lpstr>Coupon</vt:lpstr>
      <vt:lpstr>Duration</vt:lpstr>
      <vt:lpstr>Convexity</vt:lpstr>
      <vt:lpstr>Yield</vt:lpstr>
      <vt:lpstr>Yield (2)</vt:lpstr>
      <vt:lpstr>scratch</vt:lpstr>
      <vt:lpstr>CF</vt:lpstr>
      <vt:lpstr>NCF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2022-12-23T05:16:47Z</dcterms:created>
  <dcterms:modified xsi:type="dcterms:W3CDTF">2025-05-19T04:55:46Z</dcterms:modified>
</cp:coreProperties>
</file>