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Teaching\Investments\LN_202401\Lec05 Portfolio\Lec05_SM\"/>
    </mc:Choice>
  </mc:AlternateContent>
  <bookViews>
    <workbookView xWindow="0" yWindow="0" windowWidth="23040" windowHeight="10410"/>
  </bookViews>
  <sheets>
    <sheet name="RawData" sheetId="1" r:id="rId1"/>
    <sheet name="Port" sheetId="2" r:id="rId2"/>
    <sheet name="Port_Rf" sheetId="7" r:id="rId3"/>
    <sheet name="Matrix" sheetId="3" r:id="rId4"/>
    <sheet name="Port_Random" sheetId="4" r:id="rId5"/>
    <sheet name="Port10" sheetId="6" r:id="rId6"/>
    <sheet name="BL" sheetId="8" r:id="rId7"/>
    <sheet name="Benninga" sheetId="9" r:id="rId8"/>
  </sheets>
  <externalReferences>
    <externalReference r:id="rId9"/>
  </externalReferences>
  <definedNames>
    <definedName name="solver_adj" localSheetId="6" hidden="1">BL!$D$64</definedName>
    <definedName name="solver_adj" localSheetId="4" hidden="1">Port_Random!$AC$4:$AC$7</definedName>
    <definedName name="solver_cvg" localSheetId="6" hidden="1">0.0001</definedName>
    <definedName name="solver_cvg" localSheetId="4" hidden="1">0.0001</definedName>
    <definedName name="solver_drv" localSheetId="6" hidden="1">1</definedName>
    <definedName name="solver_drv" localSheetId="4" hidden="1">1</definedName>
    <definedName name="solver_eng" localSheetId="6" hidden="1">1</definedName>
    <definedName name="solver_eng" localSheetId="4" hidden="1">1</definedName>
    <definedName name="solver_est" localSheetId="4" hidden="1">1</definedName>
    <definedName name="solver_itr" localSheetId="6" hidden="1">2147483647</definedName>
    <definedName name="solver_itr" localSheetId="4" hidden="1">2147483647</definedName>
    <definedName name="solver_lhs1" localSheetId="4" hidden="1">Port_Random!$AC$8</definedName>
    <definedName name="solver_lhs2" localSheetId="4" hidden="1">Port_Random!$AC$9</definedName>
    <definedName name="solver_lhs3" localSheetId="4" hidden="1">Port_Random!$Z$9</definedName>
    <definedName name="solver_lin" localSheetId="6" hidden="1">2</definedName>
    <definedName name="solver_mip" localSheetId="6" hidden="1">2147483647</definedName>
    <definedName name="solver_mip" localSheetId="4" hidden="1">2147483647</definedName>
    <definedName name="solver_mni" localSheetId="6" hidden="1">30</definedName>
    <definedName name="solver_mni" localSheetId="4" hidden="1">30</definedName>
    <definedName name="solver_mrt" localSheetId="6" hidden="1">0.075</definedName>
    <definedName name="solver_mrt" localSheetId="4" hidden="1">0.075</definedName>
    <definedName name="solver_msl" localSheetId="6" hidden="1">2</definedName>
    <definedName name="solver_msl" localSheetId="4" hidden="1">2</definedName>
    <definedName name="solver_neg" localSheetId="6" hidden="1">1</definedName>
    <definedName name="solver_neg" localSheetId="4" hidden="1">1</definedName>
    <definedName name="solver_nod" localSheetId="6" hidden="1">2147483647</definedName>
    <definedName name="solver_nod" localSheetId="4" hidden="1">2147483647</definedName>
    <definedName name="solver_num" localSheetId="6" hidden="1">0</definedName>
    <definedName name="solver_num" localSheetId="4" hidden="1">2</definedName>
    <definedName name="solver_nwt" localSheetId="4" hidden="1">1</definedName>
    <definedName name="solver_opt" localSheetId="6" hidden="1">BL!$C$55</definedName>
    <definedName name="solver_opt" localSheetId="4" hidden="1">Port_Random!$AC$11</definedName>
    <definedName name="solver_pre" localSheetId="6" hidden="1">0.000001</definedName>
    <definedName name="solver_pre" localSheetId="4" hidden="1">0.000001</definedName>
    <definedName name="solver_rbv" localSheetId="6" hidden="1">1</definedName>
    <definedName name="solver_rbv" localSheetId="4" hidden="1">1</definedName>
    <definedName name="solver_rel1" localSheetId="4" hidden="1">2</definedName>
    <definedName name="solver_rel2" localSheetId="4" hidden="1">2</definedName>
    <definedName name="solver_rel3" localSheetId="4" hidden="1">2</definedName>
    <definedName name="solver_rhs1" localSheetId="4" hidden="1">1</definedName>
    <definedName name="solver_rhs2" localSheetId="4" hidden="1">0.05</definedName>
    <definedName name="solver_rhs3" localSheetId="4" hidden="1">0.2</definedName>
    <definedName name="solver_rlx" localSheetId="6" hidden="1">2</definedName>
    <definedName name="solver_rlx" localSheetId="4" hidden="1">2</definedName>
    <definedName name="solver_rsd" localSheetId="6" hidden="1">0</definedName>
    <definedName name="solver_rsd" localSheetId="4" hidden="1">0</definedName>
    <definedName name="solver_scl" localSheetId="6" hidden="1">1</definedName>
    <definedName name="solver_scl" localSheetId="4" hidden="1">1</definedName>
    <definedName name="solver_sho" localSheetId="6" hidden="1">2</definedName>
    <definedName name="solver_sho" localSheetId="4" hidden="1">2</definedName>
    <definedName name="solver_ssz" localSheetId="6" hidden="1">100</definedName>
    <definedName name="solver_ssz" localSheetId="4" hidden="1">100</definedName>
    <definedName name="solver_tim" localSheetId="6" hidden="1">2147483647</definedName>
    <definedName name="solver_tim" localSheetId="4" hidden="1">2147483647</definedName>
    <definedName name="solver_tol" localSheetId="6" hidden="1">0.01</definedName>
    <definedName name="solver_tol" localSheetId="4" hidden="1">0.01</definedName>
    <definedName name="solver_typ" localSheetId="6" hidden="1">3</definedName>
    <definedName name="solver_typ" localSheetId="4" hidden="1">2</definedName>
    <definedName name="solver_val" localSheetId="6" hidden="1">0.1691</definedName>
    <definedName name="solver_val" localSheetId="4" hidden="1">0</definedName>
    <definedName name="solver_ver" localSheetId="6" hidden="1">2</definedName>
    <definedName name="solver_ver" localSheetId="4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9" i="9" l="1" a="1"/>
  <c r="G99" i="9" s="1"/>
  <c r="G98" i="9" a="1"/>
  <c r="G98" i="9" s="1"/>
  <c r="G97" i="9" a="1"/>
  <c r="G97" i="9" s="1"/>
  <c r="G96" i="9" a="1"/>
  <c r="G96" i="9" s="1"/>
  <c r="G95" i="9" a="1"/>
  <c r="G95" i="9" s="1"/>
  <c r="G94" i="9" a="1"/>
  <c r="G94" i="9" s="1"/>
  <c r="G93" i="9" a="1"/>
  <c r="G93" i="9" s="1"/>
  <c r="G92" i="9" a="1"/>
  <c r="G92" i="9" s="1"/>
  <c r="G91" i="9" a="1"/>
  <c r="G91" i="9" s="1"/>
  <c r="G90" i="9" a="1"/>
  <c r="G90" i="9" s="1"/>
  <c r="H39" i="9" a="1"/>
  <c r="H39" i="9" s="1"/>
  <c r="H42" i="9" s="1" a="1"/>
  <c r="H42" i="9" s="1"/>
  <c r="B74" i="9" s="1"/>
  <c r="D74" i="9" s="1"/>
  <c r="B25" i="9" a="1"/>
  <c r="B25" i="9" s="1"/>
  <c r="B42" i="9" a="1"/>
  <c r="B42" i="9" s="1"/>
  <c r="Z11" i="9" a="1"/>
  <c r="Z11" i="9" s="1"/>
  <c r="D48" i="8" a="1"/>
  <c r="G48" i="8" s="1"/>
  <c r="G49" i="8" s="1"/>
  <c r="B42" i="8" a="1"/>
  <c r="D42" i="8" s="1"/>
  <c r="B40" i="8"/>
  <c r="B34" i="8"/>
  <c r="B33" i="8"/>
  <c r="B32" i="8"/>
  <c r="B31" i="8"/>
  <c r="B30" i="8"/>
  <c r="B29" i="8"/>
  <c r="B28" i="8"/>
  <c r="B12" i="8"/>
  <c r="I34" i="8" s="1"/>
  <c r="B11" i="8"/>
  <c r="H33" i="8" s="1"/>
  <c r="B10" i="8"/>
  <c r="G32" i="8" s="1"/>
  <c r="B9" i="8"/>
  <c r="F31" i="8" s="1"/>
  <c r="B8" i="8"/>
  <c r="E30" i="8" s="1"/>
  <c r="B7" i="8"/>
  <c r="D29" i="8" s="1"/>
  <c r="B6" i="8"/>
  <c r="D8" i="8" s="1"/>
  <c r="E81" i="9"/>
  <c r="E79" i="9"/>
  <c r="B56" i="9"/>
  <c r="E74" i="9"/>
  <c r="E82" i="9"/>
  <c r="C42" i="9"/>
  <c r="I39" i="9"/>
  <c r="E76" i="9"/>
  <c r="E83" i="9"/>
  <c r="B24" i="9"/>
  <c r="E77" i="9"/>
  <c r="E75" i="9"/>
  <c r="I42" i="9"/>
  <c r="E80" i="9"/>
  <c r="C100" i="9"/>
  <c r="E78" i="9"/>
  <c r="N99" i="9" l="1"/>
  <c r="K96" i="9"/>
  <c r="N98" i="9"/>
  <c r="F7" i="8"/>
  <c r="M91" i="9"/>
  <c r="J94" i="9"/>
  <c r="L96" i="9"/>
  <c r="N95" i="9"/>
  <c r="M99" i="9"/>
  <c r="N93" i="9"/>
  <c r="M95" i="9"/>
  <c r="N97" i="9"/>
  <c r="L99" i="9"/>
  <c r="B90" i="9"/>
  <c r="M93" i="9"/>
  <c r="L95" i="9"/>
  <c r="K99" i="9"/>
  <c r="C27" i="8" a="1"/>
  <c r="F27" i="8" s="1"/>
  <c r="N94" i="9"/>
  <c r="N96" i="9"/>
  <c r="M98" i="9"/>
  <c r="B105" i="9"/>
  <c r="N91" i="9"/>
  <c r="M94" i="9"/>
  <c r="M96" i="9"/>
  <c r="L98" i="9"/>
  <c r="J99" i="9"/>
  <c r="I99" i="9"/>
  <c r="P99" i="9"/>
  <c r="H99" i="9"/>
  <c r="O99" i="9"/>
  <c r="K98" i="9"/>
  <c r="J98" i="9"/>
  <c r="I98" i="9"/>
  <c r="P98" i="9"/>
  <c r="H98" i="9"/>
  <c r="O98" i="9"/>
  <c r="L97" i="9"/>
  <c r="K97" i="9"/>
  <c r="J97" i="9"/>
  <c r="M97" i="9"/>
  <c r="I97" i="9"/>
  <c r="P97" i="9"/>
  <c r="H97" i="9"/>
  <c r="O97" i="9"/>
  <c r="J96" i="9"/>
  <c r="I96" i="9"/>
  <c r="P96" i="9"/>
  <c r="H96" i="9"/>
  <c r="O96" i="9"/>
  <c r="K95" i="9"/>
  <c r="J95" i="9"/>
  <c r="I95" i="9"/>
  <c r="P95" i="9"/>
  <c r="H95" i="9"/>
  <c r="O95" i="9"/>
  <c r="L94" i="9"/>
  <c r="K94" i="9"/>
  <c r="I94" i="9"/>
  <c r="P94" i="9"/>
  <c r="H94" i="9"/>
  <c r="O94" i="9"/>
  <c r="L93" i="9"/>
  <c r="K93" i="9"/>
  <c r="J93" i="9"/>
  <c r="I93" i="9"/>
  <c r="P93" i="9"/>
  <c r="H93" i="9"/>
  <c r="O93" i="9"/>
  <c r="N92" i="9"/>
  <c r="M92" i="9"/>
  <c r="L92" i="9"/>
  <c r="K92" i="9"/>
  <c r="J92" i="9"/>
  <c r="P92" i="9"/>
  <c r="I92" i="9"/>
  <c r="H92" i="9"/>
  <c r="O92" i="9"/>
  <c r="K91" i="9"/>
  <c r="J91" i="9"/>
  <c r="I91" i="9"/>
  <c r="L91" i="9"/>
  <c r="P91" i="9"/>
  <c r="H91" i="9"/>
  <c r="O91" i="9"/>
  <c r="K90" i="9"/>
  <c r="M90" i="9"/>
  <c r="J90" i="9"/>
  <c r="I90" i="9"/>
  <c r="P90" i="9"/>
  <c r="H90" i="9"/>
  <c r="N90" i="9"/>
  <c r="L90" i="9"/>
  <c r="O90" i="9"/>
  <c r="H44" i="9"/>
  <c r="B57" i="9" s="1" a="1"/>
  <c r="B58" i="9" s="1"/>
  <c r="H51" i="9"/>
  <c r="H43" i="9"/>
  <c r="H49" i="9"/>
  <c r="H48" i="9"/>
  <c r="H47" i="9"/>
  <c r="H46" i="9"/>
  <c r="H45" i="9"/>
  <c r="H50" i="9"/>
  <c r="B32" i="9"/>
  <c r="B31" i="9"/>
  <c r="B27" i="9"/>
  <c r="B34" i="9"/>
  <c r="B26" i="9"/>
  <c r="B30" i="9"/>
  <c r="B29" i="9"/>
  <c r="B28" i="9"/>
  <c r="B33" i="9"/>
  <c r="B47" i="9"/>
  <c r="B46" i="9"/>
  <c r="B49" i="9"/>
  <c r="B48" i="9"/>
  <c r="B45" i="9"/>
  <c r="B44" i="9"/>
  <c r="B51" i="9"/>
  <c r="B43" i="9"/>
  <c r="B50" i="9"/>
  <c r="AE20" i="9"/>
  <c r="AG19" i="9"/>
  <c r="AF15" i="9"/>
  <c r="AA18" i="9"/>
  <c r="AG14" i="9"/>
  <c r="AC17" i="9"/>
  <c r="AI14" i="9"/>
  <c r="AA14" i="9"/>
  <c r="AG11" i="9"/>
  <c r="AF19" i="9"/>
  <c r="AB17" i="9"/>
  <c r="AH14" i="9"/>
  <c r="AD12" i="9"/>
  <c r="AG18" i="9"/>
  <c r="AE15" i="9"/>
  <c r="AI13" i="9"/>
  <c r="AE11" i="9"/>
  <c r="AD19" i="9"/>
  <c r="AH17" i="9"/>
  <c r="Z17" i="9"/>
  <c r="AD15" i="9"/>
  <c r="AF14" i="9"/>
  <c r="Z13" i="9"/>
  <c r="AD11" i="9"/>
  <c r="AI20" i="9"/>
  <c r="AA20" i="9"/>
  <c r="AC19" i="9"/>
  <c r="AE18" i="9"/>
  <c r="AG17" i="9"/>
  <c r="AI16" i="9"/>
  <c r="AA16" i="9"/>
  <c r="AC15" i="9"/>
  <c r="AE14" i="9"/>
  <c r="AG13" i="9"/>
  <c r="AI12" i="9"/>
  <c r="AA12" i="9"/>
  <c r="AH20" i="9"/>
  <c r="Z20" i="9"/>
  <c r="AB19" i="9"/>
  <c r="AD18" i="9"/>
  <c r="AF17" i="9"/>
  <c r="AH16" i="9"/>
  <c r="Z16" i="9"/>
  <c r="AB15" i="9"/>
  <c r="AD14" i="9"/>
  <c r="AF13" i="9"/>
  <c r="AH12" i="9"/>
  <c r="Z12" i="9"/>
  <c r="AB11" i="9"/>
  <c r="AE16" i="9"/>
  <c r="AC13" i="9"/>
  <c r="Z18" i="9"/>
  <c r="AB13" i="9"/>
  <c r="AE19" i="9"/>
  <c r="AI17" i="9"/>
  <c r="AC16" i="9"/>
  <c r="AA13" i="9"/>
  <c r="AB20" i="9"/>
  <c r="AF18" i="9"/>
  <c r="AB16" i="9"/>
  <c r="AB12" i="9"/>
  <c r="AC11" i="9"/>
  <c r="AG20" i="9"/>
  <c r="AI19" i="9"/>
  <c r="AA19" i="9"/>
  <c r="AC18" i="9"/>
  <c r="AE17" i="9"/>
  <c r="AG16" i="9"/>
  <c r="AI15" i="9"/>
  <c r="AA15" i="9"/>
  <c r="AC14" i="9"/>
  <c r="AE13" i="9"/>
  <c r="AG12" i="9"/>
  <c r="AI11" i="9"/>
  <c r="AA11" i="9"/>
  <c r="AI18" i="9"/>
  <c r="AG15" i="9"/>
  <c r="AE12" i="9"/>
  <c r="AD20" i="9"/>
  <c r="AH18" i="9"/>
  <c r="AD16" i="9"/>
  <c r="Z14" i="9"/>
  <c r="AF11" i="9"/>
  <c r="AC20" i="9"/>
  <c r="AA17" i="9"/>
  <c r="AC12" i="9"/>
  <c r="AH13" i="9"/>
  <c r="AF20" i="9"/>
  <c r="AH19" i="9"/>
  <c r="Z19" i="9"/>
  <c r="AB18" i="9"/>
  <c r="AD17" i="9"/>
  <c r="AF16" i="9"/>
  <c r="AH15" i="9"/>
  <c r="Z15" i="9"/>
  <c r="AB14" i="9"/>
  <c r="AD13" i="9"/>
  <c r="AF12" i="9"/>
  <c r="AH11" i="9"/>
  <c r="D6" i="8"/>
  <c r="D9" i="8"/>
  <c r="C28" i="8"/>
  <c r="F6" i="8"/>
  <c r="F11" i="8"/>
  <c r="D10" i="8"/>
  <c r="D7" i="8"/>
  <c r="F10" i="8"/>
  <c r="D48" i="8"/>
  <c r="D49" i="8" s="1"/>
  <c r="D43" i="8"/>
  <c r="E59" i="8"/>
  <c r="E42" i="8"/>
  <c r="H48" i="8"/>
  <c r="H49" i="8" s="1"/>
  <c r="F9" i="8"/>
  <c r="D12" i="8"/>
  <c r="F42" i="8"/>
  <c r="I48" i="8"/>
  <c r="I49" i="8" s="1"/>
  <c r="F12" i="8"/>
  <c r="G42" i="8"/>
  <c r="B61" i="8"/>
  <c r="H42" i="8"/>
  <c r="B42" i="8"/>
  <c r="B43" i="8" s="1"/>
  <c r="E48" i="8"/>
  <c r="E49" i="8" s="1"/>
  <c r="F8" i="8"/>
  <c r="D11" i="8"/>
  <c r="C42" i="8"/>
  <c r="F48" i="8"/>
  <c r="F49" i="8" s="1"/>
  <c r="F34" i="8" l="1"/>
  <c r="G27" i="8"/>
  <c r="C27" i="8"/>
  <c r="H27" i="8"/>
  <c r="H30" i="8" s="1"/>
  <c r="I27" i="8"/>
  <c r="I28" i="8" s="1"/>
  <c r="F29" i="8"/>
  <c r="E27" i="8"/>
  <c r="E33" i="8" s="1"/>
  <c r="F30" i="8"/>
  <c r="D27" i="8"/>
  <c r="D32" i="8" s="1"/>
  <c r="AA25" i="9" a="1"/>
  <c r="AA28" i="9" s="1"/>
  <c r="C33" i="8"/>
  <c r="B59" i="9"/>
  <c r="B106" i="9"/>
  <c r="B91" i="9"/>
  <c r="B75" i="9"/>
  <c r="D75" i="9" s="1"/>
  <c r="I74" i="9" s="1" a="1"/>
  <c r="B93" i="9"/>
  <c r="D93" i="9" s="1"/>
  <c r="B108" i="9"/>
  <c r="B77" i="9"/>
  <c r="D77" i="9" s="1"/>
  <c r="B66" i="9"/>
  <c r="B57" i="9"/>
  <c r="H53" i="9" a="1"/>
  <c r="H53" i="9" s="1"/>
  <c r="F28" i="8"/>
  <c r="B78" i="9"/>
  <c r="D78" i="9" s="1"/>
  <c r="B109" i="9"/>
  <c r="B94" i="9"/>
  <c r="D94" i="9" s="1"/>
  <c r="B62" i="9"/>
  <c r="F33" i="8"/>
  <c r="C33" i="9"/>
  <c r="B79" i="9"/>
  <c r="D79" i="9" s="1"/>
  <c r="B110" i="9"/>
  <c r="B95" i="9"/>
  <c r="D95" i="9" s="1"/>
  <c r="B65" i="9"/>
  <c r="G29" i="8"/>
  <c r="F32" i="8"/>
  <c r="B81" i="9"/>
  <c r="D81" i="9" s="1"/>
  <c r="B97" i="9"/>
  <c r="D97" i="9" s="1"/>
  <c r="C90" i="9" s="1" a="1"/>
  <c r="B112" i="9"/>
  <c r="B60" i="9"/>
  <c r="B111" i="9"/>
  <c r="B96" i="9"/>
  <c r="D96" i="9" s="1"/>
  <c r="B80" i="9"/>
  <c r="D80" i="9" s="1"/>
  <c r="B61" i="9"/>
  <c r="D31" i="8"/>
  <c r="D34" i="8"/>
  <c r="B53" i="9" a="1"/>
  <c r="B53" i="9" s="1"/>
  <c r="B114" i="9"/>
  <c r="B99" i="9"/>
  <c r="D99" i="9" s="1"/>
  <c r="B83" i="9"/>
  <c r="D83" i="9" s="1"/>
  <c r="B63" i="9"/>
  <c r="D28" i="8"/>
  <c r="C29" i="8"/>
  <c r="C28" i="9"/>
  <c r="B82" i="9"/>
  <c r="D82" i="9" s="1"/>
  <c r="B113" i="9"/>
  <c r="B98" i="9"/>
  <c r="D98" i="9" s="1"/>
  <c r="B92" i="9"/>
  <c r="D92" i="9" s="1"/>
  <c r="B107" i="9"/>
  <c r="B76" i="9"/>
  <c r="D76" i="9" s="1"/>
  <c r="B64" i="9"/>
  <c r="C30" i="9"/>
  <c r="C25" i="9"/>
  <c r="B35" i="9"/>
  <c r="C29" i="9"/>
  <c r="C31" i="9"/>
  <c r="C34" i="9"/>
  <c r="C32" i="9"/>
  <c r="C27" i="9"/>
  <c r="C26" i="9"/>
  <c r="H34" i="8"/>
  <c r="B60" i="8"/>
  <c r="C54" i="8"/>
  <c r="E43" i="8"/>
  <c r="F59" i="8"/>
  <c r="G34" i="8"/>
  <c r="C31" i="8"/>
  <c r="C30" i="8"/>
  <c r="G33" i="8"/>
  <c r="C49" i="8"/>
  <c r="H59" i="8"/>
  <c r="G43" i="8"/>
  <c r="G31" i="8"/>
  <c r="C43" i="8"/>
  <c r="D59" i="8"/>
  <c r="I59" i="8"/>
  <c r="H43" i="8"/>
  <c r="G59" i="8"/>
  <c r="F43" i="8"/>
  <c r="I30" i="8" l="1"/>
  <c r="I29" i="8"/>
  <c r="I33" i="8"/>
  <c r="I31" i="8"/>
  <c r="H32" i="8"/>
  <c r="I32" i="8"/>
  <c r="E31" i="8"/>
  <c r="E34" i="8"/>
  <c r="E32" i="8"/>
  <c r="C32" i="8"/>
  <c r="C34" i="8"/>
  <c r="G30" i="8"/>
  <c r="G28" i="8"/>
  <c r="R90" i="9" a="1"/>
  <c r="R94" i="9" s="1"/>
  <c r="D30" i="8"/>
  <c r="D33" i="8"/>
  <c r="H28" i="8"/>
  <c r="H29" i="8"/>
  <c r="H31" i="8"/>
  <c r="D105" i="9" a="1"/>
  <c r="D110" i="9" s="1"/>
  <c r="C63" i="9"/>
  <c r="C58" i="9"/>
  <c r="E29" i="8"/>
  <c r="E28" i="8"/>
  <c r="AA32" i="9"/>
  <c r="AA33" i="9"/>
  <c r="AA29" i="9"/>
  <c r="AA26" i="9"/>
  <c r="AA31" i="9"/>
  <c r="AA30" i="9"/>
  <c r="AA25" i="9"/>
  <c r="AA34" i="9"/>
  <c r="AA27" i="9"/>
  <c r="C61" i="9"/>
  <c r="D60" i="8" a="1"/>
  <c r="I60" i="8" s="1"/>
  <c r="I74" i="9"/>
  <c r="I76" i="9"/>
  <c r="I80" i="9"/>
  <c r="I81" i="9"/>
  <c r="I75" i="9"/>
  <c r="I79" i="9"/>
  <c r="I82" i="9"/>
  <c r="I78" i="9"/>
  <c r="I77" i="9"/>
  <c r="I83" i="9"/>
  <c r="C57" i="9"/>
  <c r="B67" i="9"/>
  <c r="C59" i="9"/>
  <c r="C90" i="9"/>
  <c r="C97" i="9"/>
  <c r="C98" i="9"/>
  <c r="C96" i="9"/>
  <c r="C94" i="9"/>
  <c r="C92" i="9"/>
  <c r="C99" i="9"/>
  <c r="C91" i="9"/>
  <c r="C95" i="9"/>
  <c r="C93" i="9"/>
  <c r="C65" i="9"/>
  <c r="C62" i="9"/>
  <c r="C66" i="9"/>
  <c r="C64" i="9"/>
  <c r="C60" i="9"/>
  <c r="C35" i="9"/>
  <c r="D50" i="8"/>
  <c r="G50" i="8"/>
  <c r="G51" i="8" s="1"/>
  <c r="F50" i="8"/>
  <c r="F51" i="8" s="1"/>
  <c r="H50" i="8"/>
  <c r="H51" i="8" s="1"/>
  <c r="E50" i="8"/>
  <c r="E51" i="8" s="1"/>
  <c r="I50" i="8"/>
  <c r="I51" i="8" s="1"/>
  <c r="B62" i="8"/>
  <c r="AB30" i="9" l="1"/>
  <c r="R90" i="9"/>
  <c r="R95" i="9"/>
  <c r="D108" i="9"/>
  <c r="R91" i="9"/>
  <c r="D109" i="9"/>
  <c r="D112" i="9"/>
  <c r="R96" i="9"/>
  <c r="R99" i="9"/>
  <c r="R97" i="9"/>
  <c r="D114" i="9"/>
  <c r="R98" i="9"/>
  <c r="D107" i="9"/>
  <c r="D105" i="9"/>
  <c r="R105" i="9" s="1" a="1"/>
  <c r="R111" i="9" s="1"/>
  <c r="R93" i="9"/>
  <c r="D106" i="9"/>
  <c r="R92" i="9"/>
  <c r="D113" i="9"/>
  <c r="D111" i="9"/>
  <c r="AB33" i="9"/>
  <c r="AA35" i="9"/>
  <c r="AB34" i="9"/>
  <c r="E60" i="8"/>
  <c r="D60" i="8"/>
  <c r="AB28" i="9"/>
  <c r="F60" i="8"/>
  <c r="AB32" i="9"/>
  <c r="AB26" i="9"/>
  <c r="G60" i="8"/>
  <c r="AB25" i="9"/>
  <c r="AB29" i="9"/>
  <c r="AB31" i="9"/>
  <c r="H60" i="8"/>
  <c r="AB27" i="9"/>
  <c r="C67" i="9"/>
  <c r="I84" i="9"/>
  <c r="J74" i="9" s="1"/>
  <c r="C59" i="8" a="1"/>
  <c r="C59" i="8" s="1"/>
  <c r="C52" i="8" a="1"/>
  <c r="C52" i="8" s="1"/>
  <c r="C50" i="8"/>
  <c r="C56" i="8" a="1"/>
  <c r="C56" i="8" s="1"/>
  <c r="C53" i="8" a="1"/>
  <c r="C53" i="8" s="1"/>
  <c r="K53" i="8" s="1"/>
  <c r="D51" i="8"/>
  <c r="J79" i="9" l="1"/>
  <c r="R100" i="9"/>
  <c r="S99" i="9" s="1"/>
  <c r="R110" i="9"/>
  <c r="R106" i="9"/>
  <c r="R108" i="9"/>
  <c r="R107" i="9"/>
  <c r="R105" i="9"/>
  <c r="C60" i="8" a="1"/>
  <c r="C60" i="8" s="1"/>
  <c r="R109" i="9"/>
  <c r="R114" i="9"/>
  <c r="R113" i="9"/>
  <c r="J78" i="9"/>
  <c r="R112" i="9"/>
  <c r="J77" i="9"/>
  <c r="S91" i="9"/>
  <c r="AB35" i="9"/>
  <c r="J80" i="9"/>
  <c r="J82" i="9"/>
  <c r="J76" i="9"/>
  <c r="S95" i="9"/>
  <c r="S90" i="9"/>
  <c r="S93" i="9"/>
  <c r="S96" i="9"/>
  <c r="J75" i="9"/>
  <c r="J81" i="9"/>
  <c r="J83" i="9"/>
  <c r="C61" i="8"/>
  <c r="C55" i="8"/>
  <c r="C57" i="8" s="1"/>
  <c r="S97" i="9" l="1"/>
  <c r="S94" i="9"/>
  <c r="R115" i="9"/>
  <c r="S111" i="9" s="1"/>
  <c r="S98" i="9"/>
  <c r="S92" i="9"/>
  <c r="C62" i="8"/>
  <c r="S110" i="9"/>
  <c r="J84" i="9"/>
  <c r="B57" i="8"/>
  <c r="I57" i="8"/>
  <c r="G57" i="8"/>
  <c r="F57" i="8"/>
  <c r="E57" i="8"/>
  <c r="D57" i="8"/>
  <c r="H57" i="8"/>
  <c r="S100" i="9" l="1"/>
  <c r="B122" i="9" a="1"/>
  <c r="B122" i="9" s="1"/>
  <c r="S109" i="9"/>
  <c r="S106" i="9"/>
  <c r="S113" i="9"/>
  <c r="S105" i="9"/>
  <c r="S107" i="9"/>
  <c r="S114" i="9"/>
  <c r="S112" i="9"/>
  <c r="S108" i="9"/>
  <c r="J59" i="8"/>
  <c r="J61" i="8"/>
  <c r="J60" i="8"/>
  <c r="F6" i="3" a="1"/>
  <c r="F6" i="3" s="1"/>
  <c r="S115" i="9" l="1"/>
  <c r="B128" i="9"/>
  <c r="B126" i="9"/>
  <c r="B127" i="9"/>
  <c r="B130" i="9"/>
  <c r="B131" i="9"/>
  <c r="B124" i="9"/>
  <c r="B123" i="9"/>
  <c r="B129" i="9"/>
  <c r="B125" i="9"/>
  <c r="J62" i="8"/>
  <c r="F7" i="3"/>
  <c r="F9" i="3"/>
  <c r="F8" i="3"/>
  <c r="D13" i="7"/>
  <c r="E5" i="7"/>
  <c r="D11" i="7"/>
  <c r="D12" i="7"/>
  <c r="D3" i="7" l="1"/>
  <c r="K14" i="4"/>
  <c r="K16" i="4" s="1"/>
  <c r="K15" i="4" l="1"/>
  <c r="K17" i="4" s="1"/>
  <c r="AA4" i="4" a="1"/>
  <c r="AA4" i="4" s="1"/>
  <c r="Z4" i="4" a="1"/>
  <c r="Z4" i="4" s="1"/>
  <c r="Y4" i="4" a="1"/>
  <c r="Y4" i="4" s="1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U37" i="4"/>
  <c r="S37" i="4" a="1"/>
  <c r="S37" i="4" s="1"/>
  <c r="U36" i="4"/>
  <c r="S36" i="4" a="1"/>
  <c r="S36" i="4" s="1"/>
  <c r="U35" i="4"/>
  <c r="S35" i="4" a="1"/>
  <c r="S35" i="4" s="1"/>
  <c r="U34" i="4"/>
  <c r="S34" i="4" a="1"/>
  <c r="S34" i="4" s="1"/>
  <c r="Y15" i="4"/>
  <c r="Q33" i="4"/>
  <c r="P33" i="4"/>
  <c r="O33" i="4"/>
  <c r="Q32" i="4"/>
  <c r="P32" i="4"/>
  <c r="O32" i="4"/>
  <c r="Q31" i="4"/>
  <c r="P31" i="4"/>
  <c r="O31" i="4"/>
  <c r="Q30" i="4"/>
  <c r="P30" i="4"/>
  <c r="O30" i="4"/>
  <c r="Q29" i="4"/>
  <c r="P29" i="4"/>
  <c r="O29" i="4"/>
  <c r="Q28" i="4"/>
  <c r="P28" i="4"/>
  <c r="O28" i="4"/>
  <c r="Q27" i="4"/>
  <c r="P27" i="4"/>
  <c r="O27" i="4"/>
  <c r="Q26" i="4"/>
  <c r="P26" i="4"/>
  <c r="O26" i="4"/>
  <c r="Q25" i="4"/>
  <c r="P25" i="4"/>
  <c r="O25" i="4"/>
  <c r="Q24" i="4"/>
  <c r="P24" i="4"/>
  <c r="O24" i="4"/>
  <c r="Q23" i="4"/>
  <c r="P23" i="4"/>
  <c r="O23" i="4"/>
  <c r="Q22" i="4"/>
  <c r="P22" i="4"/>
  <c r="O22" i="4"/>
  <c r="Q21" i="4"/>
  <c r="P21" i="4"/>
  <c r="O21" i="4"/>
  <c r="Q20" i="4"/>
  <c r="P20" i="4"/>
  <c r="O20" i="4"/>
  <c r="Q19" i="4"/>
  <c r="P19" i="4"/>
  <c r="O19" i="4"/>
  <c r="Q18" i="4"/>
  <c r="P18" i="4"/>
  <c r="O18" i="4"/>
  <c r="Q17" i="4"/>
  <c r="P17" i="4"/>
  <c r="O17" i="4"/>
  <c r="Q16" i="4"/>
  <c r="P16" i="4"/>
  <c r="O16" i="4"/>
  <c r="Q15" i="4"/>
  <c r="P15" i="4"/>
  <c r="O15" i="4"/>
  <c r="Q14" i="4"/>
  <c r="P14" i="4"/>
  <c r="O14" i="4"/>
  <c r="Q13" i="4"/>
  <c r="P13" i="4"/>
  <c r="O13" i="4"/>
  <c r="Q12" i="4"/>
  <c r="P12" i="4"/>
  <c r="O12" i="4"/>
  <c r="Q11" i="4"/>
  <c r="P11" i="4"/>
  <c r="O11" i="4"/>
  <c r="Q10" i="4"/>
  <c r="P10" i="4"/>
  <c r="O10" i="4"/>
  <c r="Q9" i="4"/>
  <c r="P9" i="4"/>
  <c r="O9" i="4"/>
  <c r="Q8" i="4"/>
  <c r="P8" i="4"/>
  <c r="O8" i="4"/>
  <c r="Q7" i="4"/>
  <c r="P7" i="4"/>
  <c r="O7" i="4"/>
  <c r="Q6" i="4"/>
  <c r="P6" i="4"/>
  <c r="O6" i="4"/>
  <c r="Q5" i="4"/>
  <c r="P5" i="4"/>
  <c r="O5" i="4"/>
  <c r="Q4" i="4"/>
  <c r="P4" i="4"/>
  <c r="O4" i="4"/>
  <c r="AA7" i="4" l="1"/>
  <c r="AA6" i="4"/>
  <c r="AA5" i="4"/>
  <c r="AA8" i="4" s="1"/>
  <c r="AA9" i="4"/>
  <c r="AA10" i="4" a="1"/>
  <c r="AA10" i="4" s="1"/>
  <c r="AA11" i="4" s="1"/>
  <c r="O38" i="4" a="1"/>
  <c r="O38" i="4" s="1"/>
  <c r="Z7" i="4"/>
  <c r="Z6" i="4"/>
  <c r="Z5" i="4"/>
  <c r="Y7" i="4"/>
  <c r="Y6" i="4"/>
  <c r="Y5" i="4"/>
  <c r="R33" i="4"/>
  <c r="S33" i="4" s="1" a="1"/>
  <c r="S33" i="4" s="1"/>
  <c r="R6" i="4"/>
  <c r="T6" i="4" s="1"/>
  <c r="R14" i="4"/>
  <c r="T14" i="4" s="1"/>
  <c r="R22" i="4"/>
  <c r="S22" i="4" s="1" a="1"/>
  <c r="S22" i="4" s="1"/>
  <c r="R10" i="4"/>
  <c r="S10" i="4" s="1" a="1"/>
  <c r="S10" i="4" s="1"/>
  <c r="R18" i="4"/>
  <c r="S18" i="4" s="1" a="1"/>
  <c r="S18" i="4" s="1"/>
  <c r="R26" i="4"/>
  <c r="S26" i="4" s="1" a="1"/>
  <c r="S26" i="4" s="1"/>
  <c r="R11" i="4"/>
  <c r="T11" i="4" s="1"/>
  <c r="R19" i="4"/>
  <c r="T19" i="4" s="1"/>
  <c r="R27" i="4"/>
  <c r="T27" i="4" s="1"/>
  <c r="R30" i="4"/>
  <c r="S30" i="4" s="1" a="1"/>
  <c r="S30" i="4" s="1"/>
  <c r="R5" i="4"/>
  <c r="T5" i="4" s="1"/>
  <c r="R13" i="4"/>
  <c r="S13" i="4" s="1" a="1"/>
  <c r="S13" i="4" s="1"/>
  <c r="R21" i="4"/>
  <c r="T21" i="4" s="1"/>
  <c r="R29" i="4"/>
  <c r="T29" i="4" s="1"/>
  <c r="R8" i="4"/>
  <c r="T8" i="4" s="1"/>
  <c r="R16" i="4"/>
  <c r="S16" i="4" s="1" a="1"/>
  <c r="S16" i="4" s="1"/>
  <c r="R24" i="4"/>
  <c r="S24" i="4" s="1" a="1"/>
  <c r="S24" i="4" s="1"/>
  <c r="R32" i="4"/>
  <c r="S32" i="4" s="1" a="1"/>
  <c r="S32" i="4" s="1"/>
  <c r="R9" i="4"/>
  <c r="T9" i="4" s="1"/>
  <c r="R17" i="4"/>
  <c r="T17" i="4" s="1"/>
  <c r="R25" i="4"/>
  <c r="T25" i="4" s="1"/>
  <c r="R4" i="4"/>
  <c r="T4" i="4" s="1"/>
  <c r="R12" i="4"/>
  <c r="T12" i="4" s="1"/>
  <c r="R20" i="4"/>
  <c r="T20" i="4" s="1"/>
  <c r="R28" i="4"/>
  <c r="T28" i="4" s="1"/>
  <c r="R7" i="4"/>
  <c r="T7" i="4" s="1"/>
  <c r="R15" i="4"/>
  <c r="T15" i="4" s="1"/>
  <c r="R23" i="4"/>
  <c r="T23" i="4" s="1"/>
  <c r="R31" i="4"/>
  <c r="S31" i="4" s="1" a="1"/>
  <c r="S31" i="4" s="1"/>
  <c r="M110" i="6"/>
  <c r="M109" i="6"/>
  <c r="M108" i="6"/>
  <c r="AF100" i="6"/>
  <c r="V62" i="6"/>
  <c r="U62" i="6"/>
  <c r="T62" i="6"/>
  <c r="S62" i="6"/>
  <c r="R62" i="6"/>
  <c r="Q62" i="6"/>
  <c r="P62" i="6"/>
  <c r="O62" i="6"/>
  <c r="N62" i="6"/>
  <c r="M62" i="6"/>
  <c r="V61" i="6"/>
  <c r="U61" i="6"/>
  <c r="T61" i="6"/>
  <c r="S61" i="6"/>
  <c r="R61" i="6"/>
  <c r="Q61" i="6"/>
  <c r="P61" i="6"/>
  <c r="O61" i="6"/>
  <c r="N61" i="6"/>
  <c r="M61" i="6"/>
  <c r="V60" i="6"/>
  <c r="U60" i="6"/>
  <c r="T60" i="6"/>
  <c r="S60" i="6"/>
  <c r="R60" i="6"/>
  <c r="Q60" i="6"/>
  <c r="P60" i="6"/>
  <c r="O60" i="6"/>
  <c r="N60" i="6"/>
  <c r="M60" i="6"/>
  <c r="V59" i="6"/>
  <c r="U59" i="6"/>
  <c r="T59" i="6"/>
  <c r="S59" i="6"/>
  <c r="R59" i="6"/>
  <c r="Q59" i="6"/>
  <c r="P59" i="6"/>
  <c r="O59" i="6"/>
  <c r="N59" i="6"/>
  <c r="M59" i="6"/>
  <c r="V58" i="6"/>
  <c r="U58" i="6"/>
  <c r="T58" i="6"/>
  <c r="S58" i="6"/>
  <c r="R58" i="6"/>
  <c r="Q58" i="6"/>
  <c r="P58" i="6"/>
  <c r="O58" i="6"/>
  <c r="N58" i="6"/>
  <c r="M58" i="6"/>
  <c r="V57" i="6"/>
  <c r="U57" i="6"/>
  <c r="T57" i="6"/>
  <c r="S57" i="6"/>
  <c r="R57" i="6"/>
  <c r="Q57" i="6"/>
  <c r="P57" i="6"/>
  <c r="O57" i="6"/>
  <c r="N57" i="6"/>
  <c r="M57" i="6"/>
  <c r="V56" i="6"/>
  <c r="U56" i="6"/>
  <c r="T56" i="6"/>
  <c r="S56" i="6"/>
  <c r="R56" i="6"/>
  <c r="Q56" i="6"/>
  <c r="P56" i="6"/>
  <c r="O56" i="6"/>
  <c r="N56" i="6"/>
  <c r="M56" i="6"/>
  <c r="V55" i="6"/>
  <c r="U55" i="6"/>
  <c r="T55" i="6"/>
  <c r="S55" i="6"/>
  <c r="R55" i="6"/>
  <c r="Q55" i="6"/>
  <c r="P55" i="6"/>
  <c r="O55" i="6"/>
  <c r="N55" i="6"/>
  <c r="M55" i="6"/>
  <c r="V54" i="6"/>
  <c r="U54" i="6"/>
  <c r="T54" i="6"/>
  <c r="S54" i="6"/>
  <c r="R54" i="6"/>
  <c r="Q54" i="6"/>
  <c r="P54" i="6"/>
  <c r="O54" i="6"/>
  <c r="N54" i="6"/>
  <c r="M54" i="6"/>
  <c r="V53" i="6"/>
  <c r="U53" i="6"/>
  <c r="T53" i="6"/>
  <c r="S53" i="6"/>
  <c r="R53" i="6"/>
  <c r="Q53" i="6"/>
  <c r="P53" i="6"/>
  <c r="O53" i="6"/>
  <c r="N53" i="6"/>
  <c r="M53" i="6"/>
  <c r="V52" i="6"/>
  <c r="U52" i="6"/>
  <c r="T52" i="6"/>
  <c r="S52" i="6"/>
  <c r="R52" i="6"/>
  <c r="Q52" i="6"/>
  <c r="P52" i="6"/>
  <c r="O52" i="6"/>
  <c r="N52" i="6"/>
  <c r="M52" i="6"/>
  <c r="V51" i="6"/>
  <c r="U51" i="6"/>
  <c r="T51" i="6"/>
  <c r="S51" i="6"/>
  <c r="R51" i="6"/>
  <c r="Q51" i="6"/>
  <c r="P51" i="6"/>
  <c r="O51" i="6"/>
  <c r="N51" i="6"/>
  <c r="M51" i="6"/>
  <c r="V50" i="6"/>
  <c r="U50" i="6"/>
  <c r="T50" i="6"/>
  <c r="S50" i="6"/>
  <c r="R50" i="6"/>
  <c r="Q50" i="6"/>
  <c r="P50" i="6"/>
  <c r="O50" i="6"/>
  <c r="N50" i="6"/>
  <c r="M50" i="6"/>
  <c r="V49" i="6"/>
  <c r="U49" i="6"/>
  <c r="T49" i="6"/>
  <c r="S49" i="6"/>
  <c r="R49" i="6"/>
  <c r="Q49" i="6"/>
  <c r="P49" i="6"/>
  <c r="O49" i="6"/>
  <c r="N49" i="6"/>
  <c r="M49" i="6"/>
  <c r="V48" i="6"/>
  <c r="U48" i="6"/>
  <c r="T48" i="6"/>
  <c r="S48" i="6"/>
  <c r="R48" i="6"/>
  <c r="Q48" i="6"/>
  <c r="P48" i="6"/>
  <c r="O48" i="6"/>
  <c r="N48" i="6"/>
  <c r="M48" i="6"/>
  <c r="V47" i="6"/>
  <c r="U47" i="6"/>
  <c r="T47" i="6"/>
  <c r="S47" i="6"/>
  <c r="R47" i="6"/>
  <c r="Q47" i="6"/>
  <c r="P47" i="6"/>
  <c r="O47" i="6"/>
  <c r="N47" i="6"/>
  <c r="M47" i="6"/>
  <c r="V46" i="6"/>
  <c r="U46" i="6"/>
  <c r="T46" i="6"/>
  <c r="S46" i="6"/>
  <c r="R46" i="6"/>
  <c r="Q46" i="6"/>
  <c r="P46" i="6"/>
  <c r="O46" i="6"/>
  <c r="N46" i="6"/>
  <c r="M46" i="6"/>
  <c r="V45" i="6"/>
  <c r="U45" i="6"/>
  <c r="T45" i="6"/>
  <c r="S45" i="6"/>
  <c r="R45" i="6"/>
  <c r="Q45" i="6"/>
  <c r="P45" i="6"/>
  <c r="O45" i="6"/>
  <c r="N45" i="6"/>
  <c r="M45" i="6"/>
  <c r="V44" i="6"/>
  <c r="U44" i="6"/>
  <c r="T44" i="6"/>
  <c r="S44" i="6"/>
  <c r="R44" i="6"/>
  <c r="Q44" i="6"/>
  <c r="P44" i="6"/>
  <c r="O44" i="6"/>
  <c r="N44" i="6"/>
  <c r="M44" i="6"/>
  <c r="V43" i="6"/>
  <c r="U43" i="6"/>
  <c r="T43" i="6"/>
  <c r="S43" i="6"/>
  <c r="R43" i="6"/>
  <c r="Q43" i="6"/>
  <c r="P43" i="6"/>
  <c r="O43" i="6"/>
  <c r="N43" i="6"/>
  <c r="M43" i="6"/>
  <c r="V42" i="6"/>
  <c r="U42" i="6"/>
  <c r="T42" i="6"/>
  <c r="S42" i="6"/>
  <c r="R42" i="6"/>
  <c r="Q42" i="6"/>
  <c r="P42" i="6"/>
  <c r="O42" i="6"/>
  <c r="N42" i="6"/>
  <c r="M42" i="6"/>
  <c r="V41" i="6"/>
  <c r="U41" i="6"/>
  <c r="T41" i="6"/>
  <c r="S41" i="6"/>
  <c r="R41" i="6"/>
  <c r="Q41" i="6"/>
  <c r="P41" i="6"/>
  <c r="O41" i="6"/>
  <c r="N41" i="6"/>
  <c r="M41" i="6"/>
  <c r="V40" i="6"/>
  <c r="U40" i="6"/>
  <c r="T40" i="6"/>
  <c r="S40" i="6"/>
  <c r="R40" i="6"/>
  <c r="Q40" i="6"/>
  <c r="P40" i="6"/>
  <c r="O40" i="6"/>
  <c r="N40" i="6"/>
  <c r="M40" i="6"/>
  <c r="V39" i="6"/>
  <c r="U39" i="6"/>
  <c r="T39" i="6"/>
  <c r="S39" i="6"/>
  <c r="R39" i="6"/>
  <c r="Q39" i="6"/>
  <c r="P39" i="6"/>
  <c r="O39" i="6"/>
  <c r="N39" i="6"/>
  <c r="M39" i="6"/>
  <c r="V38" i="6"/>
  <c r="U38" i="6"/>
  <c r="T38" i="6"/>
  <c r="S38" i="6"/>
  <c r="R38" i="6"/>
  <c r="Q38" i="6"/>
  <c r="P38" i="6"/>
  <c r="O38" i="6"/>
  <c r="N38" i="6"/>
  <c r="M38" i="6"/>
  <c r="V37" i="6"/>
  <c r="U37" i="6"/>
  <c r="T37" i="6"/>
  <c r="S37" i="6"/>
  <c r="R37" i="6"/>
  <c r="Q37" i="6"/>
  <c r="P37" i="6"/>
  <c r="O37" i="6"/>
  <c r="N37" i="6"/>
  <c r="M37" i="6"/>
  <c r="V36" i="6"/>
  <c r="U36" i="6"/>
  <c r="T36" i="6"/>
  <c r="S36" i="6"/>
  <c r="R36" i="6"/>
  <c r="Q36" i="6"/>
  <c r="P36" i="6"/>
  <c r="O36" i="6"/>
  <c r="N36" i="6"/>
  <c r="M36" i="6"/>
  <c r="V35" i="6"/>
  <c r="U35" i="6"/>
  <c r="T35" i="6"/>
  <c r="S35" i="6"/>
  <c r="R35" i="6"/>
  <c r="Q35" i="6"/>
  <c r="P35" i="6"/>
  <c r="O35" i="6"/>
  <c r="N35" i="6"/>
  <c r="M35" i="6"/>
  <c r="V34" i="6"/>
  <c r="U34" i="6"/>
  <c r="T34" i="6"/>
  <c r="S34" i="6"/>
  <c r="R34" i="6"/>
  <c r="Q34" i="6"/>
  <c r="P34" i="6"/>
  <c r="O34" i="6"/>
  <c r="N34" i="6"/>
  <c r="M34" i="6"/>
  <c r="V33" i="6"/>
  <c r="U33" i="6"/>
  <c r="T33" i="6"/>
  <c r="S33" i="6"/>
  <c r="R33" i="6"/>
  <c r="Q33" i="6"/>
  <c r="P33" i="6"/>
  <c r="O33" i="6"/>
  <c r="N33" i="6"/>
  <c r="M33" i="6"/>
  <c r="V32" i="6"/>
  <c r="U32" i="6"/>
  <c r="T32" i="6"/>
  <c r="S32" i="6"/>
  <c r="R32" i="6"/>
  <c r="Q32" i="6"/>
  <c r="P32" i="6"/>
  <c r="O32" i="6"/>
  <c r="N32" i="6"/>
  <c r="M32" i="6"/>
  <c r="V31" i="6"/>
  <c r="U31" i="6"/>
  <c r="T31" i="6"/>
  <c r="S31" i="6"/>
  <c r="R31" i="6"/>
  <c r="Q31" i="6"/>
  <c r="P31" i="6"/>
  <c r="O31" i="6"/>
  <c r="N31" i="6"/>
  <c r="M31" i="6"/>
  <c r="V30" i="6"/>
  <c r="U30" i="6"/>
  <c r="T30" i="6"/>
  <c r="S30" i="6"/>
  <c r="R30" i="6"/>
  <c r="Q30" i="6"/>
  <c r="P30" i="6"/>
  <c r="O30" i="6"/>
  <c r="N30" i="6"/>
  <c r="M30" i="6"/>
  <c r="V29" i="6"/>
  <c r="U29" i="6"/>
  <c r="T29" i="6"/>
  <c r="S29" i="6"/>
  <c r="R29" i="6"/>
  <c r="Q29" i="6"/>
  <c r="P29" i="6"/>
  <c r="O29" i="6"/>
  <c r="N29" i="6"/>
  <c r="M29" i="6"/>
  <c r="V28" i="6"/>
  <c r="U28" i="6"/>
  <c r="T28" i="6"/>
  <c r="S28" i="6"/>
  <c r="R28" i="6"/>
  <c r="Q28" i="6"/>
  <c r="P28" i="6"/>
  <c r="O28" i="6"/>
  <c r="N28" i="6"/>
  <c r="M28" i="6"/>
  <c r="V27" i="6"/>
  <c r="U27" i="6"/>
  <c r="T27" i="6"/>
  <c r="S27" i="6"/>
  <c r="R27" i="6"/>
  <c r="Q27" i="6"/>
  <c r="P27" i="6"/>
  <c r="O27" i="6"/>
  <c r="N27" i="6"/>
  <c r="M27" i="6"/>
  <c r="V26" i="6"/>
  <c r="U26" i="6"/>
  <c r="T26" i="6"/>
  <c r="S26" i="6"/>
  <c r="R26" i="6"/>
  <c r="Q26" i="6"/>
  <c r="P26" i="6"/>
  <c r="O26" i="6"/>
  <c r="N26" i="6"/>
  <c r="M26" i="6"/>
  <c r="V25" i="6"/>
  <c r="U25" i="6"/>
  <c r="T25" i="6"/>
  <c r="S25" i="6"/>
  <c r="R25" i="6"/>
  <c r="Q25" i="6"/>
  <c r="P25" i="6"/>
  <c r="O25" i="6"/>
  <c r="N25" i="6"/>
  <c r="M25" i="6"/>
  <c r="V24" i="6"/>
  <c r="U24" i="6"/>
  <c r="T24" i="6"/>
  <c r="S24" i="6"/>
  <c r="R24" i="6"/>
  <c r="Q24" i="6"/>
  <c r="P24" i="6"/>
  <c r="O24" i="6"/>
  <c r="N24" i="6"/>
  <c r="M24" i="6"/>
  <c r="V23" i="6"/>
  <c r="U23" i="6"/>
  <c r="T23" i="6"/>
  <c r="S23" i="6"/>
  <c r="R23" i="6"/>
  <c r="Q23" i="6"/>
  <c r="P23" i="6"/>
  <c r="O23" i="6"/>
  <c r="N23" i="6"/>
  <c r="M23" i="6"/>
  <c r="V22" i="6"/>
  <c r="U22" i="6"/>
  <c r="T22" i="6"/>
  <c r="S22" i="6"/>
  <c r="R22" i="6"/>
  <c r="Q22" i="6"/>
  <c r="P22" i="6"/>
  <c r="O22" i="6"/>
  <c r="N22" i="6"/>
  <c r="M22" i="6"/>
  <c r="V21" i="6"/>
  <c r="U21" i="6"/>
  <c r="T21" i="6"/>
  <c r="S21" i="6"/>
  <c r="R21" i="6"/>
  <c r="Q21" i="6"/>
  <c r="P21" i="6"/>
  <c r="O21" i="6"/>
  <c r="N21" i="6"/>
  <c r="M21" i="6"/>
  <c r="V20" i="6"/>
  <c r="U20" i="6"/>
  <c r="T20" i="6"/>
  <c r="S20" i="6"/>
  <c r="R20" i="6"/>
  <c r="Q20" i="6"/>
  <c r="P20" i="6"/>
  <c r="O20" i="6"/>
  <c r="N20" i="6"/>
  <c r="M20" i="6"/>
  <c r="V19" i="6"/>
  <c r="U19" i="6"/>
  <c r="T19" i="6"/>
  <c r="S19" i="6"/>
  <c r="R19" i="6"/>
  <c r="Q19" i="6"/>
  <c r="P19" i="6"/>
  <c r="O19" i="6"/>
  <c r="N19" i="6"/>
  <c r="M19" i="6"/>
  <c r="V18" i="6"/>
  <c r="U18" i="6"/>
  <c r="T18" i="6"/>
  <c r="S18" i="6"/>
  <c r="R18" i="6"/>
  <c r="Q18" i="6"/>
  <c r="P18" i="6"/>
  <c r="O18" i="6"/>
  <c r="N18" i="6"/>
  <c r="M18" i="6"/>
  <c r="V17" i="6"/>
  <c r="U17" i="6"/>
  <c r="T17" i="6"/>
  <c r="S17" i="6"/>
  <c r="R17" i="6"/>
  <c r="Q17" i="6"/>
  <c r="P17" i="6"/>
  <c r="O17" i="6"/>
  <c r="N17" i="6"/>
  <c r="M17" i="6"/>
  <c r="V16" i="6"/>
  <c r="U16" i="6"/>
  <c r="T16" i="6"/>
  <c r="S16" i="6"/>
  <c r="R16" i="6"/>
  <c r="Q16" i="6"/>
  <c r="P16" i="6"/>
  <c r="O16" i="6"/>
  <c r="N16" i="6"/>
  <c r="M16" i="6"/>
  <c r="V15" i="6"/>
  <c r="U15" i="6"/>
  <c r="T15" i="6"/>
  <c r="S15" i="6"/>
  <c r="R15" i="6"/>
  <c r="Q15" i="6"/>
  <c r="P15" i="6"/>
  <c r="O15" i="6"/>
  <c r="N15" i="6"/>
  <c r="M15" i="6"/>
  <c r="V14" i="6"/>
  <c r="U14" i="6"/>
  <c r="T14" i="6"/>
  <c r="S14" i="6"/>
  <c r="R14" i="6"/>
  <c r="Q14" i="6"/>
  <c r="P14" i="6"/>
  <c r="O14" i="6"/>
  <c r="N14" i="6"/>
  <c r="M14" i="6"/>
  <c r="V13" i="6"/>
  <c r="U13" i="6"/>
  <c r="T13" i="6"/>
  <c r="S13" i="6"/>
  <c r="R13" i="6"/>
  <c r="Q13" i="6"/>
  <c r="P13" i="6"/>
  <c r="O13" i="6"/>
  <c r="N13" i="6"/>
  <c r="M13" i="6"/>
  <c r="V12" i="6"/>
  <c r="U12" i="6"/>
  <c r="T12" i="6"/>
  <c r="S12" i="6"/>
  <c r="R12" i="6"/>
  <c r="Q12" i="6"/>
  <c r="P12" i="6"/>
  <c r="O12" i="6"/>
  <c r="N12" i="6"/>
  <c r="M12" i="6"/>
  <c r="V11" i="6"/>
  <c r="U11" i="6"/>
  <c r="T11" i="6"/>
  <c r="S11" i="6"/>
  <c r="R11" i="6"/>
  <c r="Q11" i="6"/>
  <c r="P11" i="6"/>
  <c r="O11" i="6"/>
  <c r="N11" i="6"/>
  <c r="M11" i="6"/>
  <c r="V10" i="6"/>
  <c r="U10" i="6"/>
  <c r="T10" i="6"/>
  <c r="S10" i="6"/>
  <c r="R10" i="6"/>
  <c r="Q10" i="6"/>
  <c r="P10" i="6"/>
  <c r="O10" i="6"/>
  <c r="N10" i="6"/>
  <c r="M10" i="6"/>
  <c r="V9" i="6"/>
  <c r="U9" i="6"/>
  <c r="T9" i="6"/>
  <c r="S9" i="6"/>
  <c r="R9" i="6"/>
  <c r="Q9" i="6"/>
  <c r="P9" i="6"/>
  <c r="O9" i="6"/>
  <c r="N9" i="6"/>
  <c r="M9" i="6"/>
  <c r="V8" i="6"/>
  <c r="U8" i="6"/>
  <c r="T8" i="6"/>
  <c r="S8" i="6"/>
  <c r="R8" i="6"/>
  <c r="Q8" i="6"/>
  <c r="P8" i="6"/>
  <c r="O8" i="6"/>
  <c r="N8" i="6"/>
  <c r="M8" i="6"/>
  <c r="V7" i="6"/>
  <c r="U7" i="6"/>
  <c r="T7" i="6"/>
  <c r="S7" i="6"/>
  <c r="R7" i="6"/>
  <c r="Q7" i="6"/>
  <c r="P7" i="6"/>
  <c r="O7" i="6"/>
  <c r="N7" i="6"/>
  <c r="M7" i="6"/>
  <c r="V6" i="6"/>
  <c r="U6" i="6"/>
  <c r="T6" i="6"/>
  <c r="S6" i="6"/>
  <c r="R6" i="6"/>
  <c r="Q6" i="6"/>
  <c r="P6" i="6"/>
  <c r="O6" i="6"/>
  <c r="N6" i="6"/>
  <c r="M6" i="6"/>
  <c r="V5" i="6"/>
  <c r="U5" i="6"/>
  <c r="T5" i="6"/>
  <c r="S5" i="6"/>
  <c r="R5" i="6"/>
  <c r="Q5" i="6"/>
  <c r="P5" i="6"/>
  <c r="O5" i="6"/>
  <c r="N5" i="6"/>
  <c r="M5" i="6"/>
  <c r="V4" i="6"/>
  <c r="U4" i="6"/>
  <c r="T4" i="6"/>
  <c r="S4" i="6"/>
  <c r="R4" i="6"/>
  <c r="Q4" i="6"/>
  <c r="P4" i="6"/>
  <c r="O4" i="6"/>
  <c r="N4" i="6"/>
  <c r="M4" i="6"/>
  <c r="W74" i="6"/>
  <c r="W69" i="6"/>
  <c r="W73" i="6"/>
  <c r="W78" i="6"/>
  <c r="W66" i="6"/>
  <c r="N110" i="6"/>
  <c r="W70" i="6"/>
  <c r="N108" i="6"/>
  <c r="W83" i="6"/>
  <c r="W65" i="6"/>
  <c r="W71" i="6"/>
  <c r="W64" i="6"/>
  <c r="N109" i="6"/>
  <c r="W75" i="6"/>
  <c r="Q38" i="4" l="1"/>
  <c r="N74" i="6"/>
  <c r="R75" i="6"/>
  <c r="P64" i="6"/>
  <c r="P69" i="6" s="1"/>
  <c r="T24" i="4"/>
  <c r="O75" i="6"/>
  <c r="R38" i="4"/>
  <c r="T73" i="6"/>
  <c r="T65" i="6"/>
  <c r="T70" i="6" s="1"/>
  <c r="M73" i="6"/>
  <c r="S64" i="6"/>
  <c r="S69" i="6" s="1"/>
  <c r="V75" i="6"/>
  <c r="R74" i="6"/>
  <c r="P65" i="6"/>
  <c r="P66" i="6" s="1"/>
  <c r="P71" i="6" s="1"/>
  <c r="N75" i="6"/>
  <c r="T64" i="6"/>
  <c r="T69" i="6" s="1"/>
  <c r="V74" i="6"/>
  <c r="P73" i="6"/>
  <c r="Y10" i="4" a="1"/>
  <c r="Y10" i="4" s="1"/>
  <c r="P38" i="4"/>
  <c r="U38" i="4" s="1"/>
  <c r="Z10" i="4" a="1"/>
  <c r="Z10" i="4" s="1"/>
  <c r="Y8" i="4"/>
  <c r="Z8" i="4"/>
  <c r="Z9" i="4"/>
  <c r="Y9" i="4"/>
  <c r="AA15" i="4" a="1"/>
  <c r="AA15" i="4" s="1"/>
  <c r="S14" i="4" a="1"/>
  <c r="S14" i="4" s="1"/>
  <c r="S6" i="4" a="1"/>
  <c r="S6" i="4" s="1"/>
  <c r="T31" i="4"/>
  <c r="S28" i="4" a="1"/>
  <c r="S28" i="4" s="1"/>
  <c r="T22" i="4"/>
  <c r="T33" i="4"/>
  <c r="T32" i="4"/>
  <c r="S8" i="4" a="1"/>
  <c r="S8" i="4" s="1"/>
  <c r="S5" i="4" a="1"/>
  <c r="S5" i="4" s="1"/>
  <c r="T10" i="4"/>
  <c r="T30" i="4"/>
  <c r="T13" i="4"/>
  <c r="S27" i="4" a="1"/>
  <c r="S27" i="4" s="1"/>
  <c r="S29" i="4" a="1"/>
  <c r="S29" i="4" s="1"/>
  <c r="S23" i="4" a="1"/>
  <c r="S23" i="4" s="1"/>
  <c r="S20" i="4" a="1"/>
  <c r="S20" i="4" s="1"/>
  <c r="S25" i="4" a="1"/>
  <c r="S25" i="4" s="1"/>
  <c r="S19" i="4" a="1"/>
  <c r="S19" i="4" s="1"/>
  <c r="S12" i="4" a="1"/>
  <c r="S12" i="4" s="1"/>
  <c r="T16" i="4"/>
  <c r="S17" i="4" a="1"/>
  <c r="S17" i="4" s="1"/>
  <c r="S11" i="4" a="1"/>
  <c r="S11" i="4" s="1"/>
  <c r="S21" i="4" a="1"/>
  <c r="S21" i="4" s="1"/>
  <c r="S15" i="4" a="1"/>
  <c r="S15" i="4" s="1"/>
  <c r="S9" i="4" a="1"/>
  <c r="S9" i="4" s="1"/>
  <c r="S7" i="4" a="1"/>
  <c r="S7" i="4" s="1"/>
  <c r="T26" i="4"/>
  <c r="T18" i="4"/>
  <c r="S4" i="4" a="1"/>
  <c r="S4" i="4" s="1"/>
  <c r="U74" i="6"/>
  <c r="U75" i="6"/>
  <c r="U64" i="6"/>
  <c r="U69" i="6" s="1"/>
  <c r="U65" i="6"/>
  <c r="S75" i="6"/>
  <c r="O64" i="6"/>
  <c r="O69" i="6" s="1"/>
  <c r="Q74" i="6"/>
  <c r="Q75" i="6"/>
  <c r="Q64" i="6"/>
  <c r="Q69" i="6" s="1"/>
  <c r="Q65" i="6"/>
  <c r="Q73" i="6"/>
  <c r="M74" i="6"/>
  <c r="M75" i="6"/>
  <c r="M64" i="6"/>
  <c r="M65" i="6"/>
  <c r="U73" i="6"/>
  <c r="N73" i="6"/>
  <c r="R73" i="6"/>
  <c r="V73" i="6"/>
  <c r="O74" i="6"/>
  <c r="S74" i="6"/>
  <c r="P75" i="6"/>
  <c r="T75" i="6"/>
  <c r="N65" i="6"/>
  <c r="R65" i="6"/>
  <c r="V65" i="6"/>
  <c r="S73" i="6"/>
  <c r="T74" i="6"/>
  <c r="O73" i="6"/>
  <c r="P74" i="6"/>
  <c r="N64" i="6"/>
  <c r="N69" i="6" s="1"/>
  <c r="R64" i="6"/>
  <c r="R69" i="6" s="1"/>
  <c r="V64" i="6"/>
  <c r="V69" i="6" s="1"/>
  <c r="O65" i="6"/>
  <c r="S65" i="6"/>
  <c r="S38" i="4" l="1" a="1"/>
  <c r="S38" i="4" s="1"/>
  <c r="P70" i="6"/>
  <c r="T66" i="6"/>
  <c r="T71" i="6" s="1"/>
  <c r="Z11" i="4"/>
  <c r="AB15" i="4"/>
  <c r="AB14" i="4"/>
  <c r="Y12" i="4"/>
  <c r="Y16" i="4" a="1"/>
  <c r="Y16" i="4" s="1"/>
  <c r="Z21" i="4" s="1"/>
  <c r="AA14" i="4"/>
  <c r="Y11" i="4"/>
  <c r="O66" i="6"/>
  <c r="O71" i="6" s="1"/>
  <c r="O70" i="6"/>
  <c r="V70" i="6"/>
  <c r="N78" i="6"/>
  <c r="V78" i="6"/>
  <c r="R78" i="6"/>
  <c r="V66" i="6"/>
  <c r="V71" i="6" s="1"/>
  <c r="T78" i="6"/>
  <c r="P78" i="6"/>
  <c r="M78" i="6"/>
  <c r="Q78" i="6"/>
  <c r="U78" i="6"/>
  <c r="M83" i="6" a="1"/>
  <c r="R70" i="6"/>
  <c r="R66" i="6"/>
  <c r="R71" i="6" s="1"/>
  <c r="N70" i="6"/>
  <c r="N66" i="6"/>
  <c r="N71" i="6" s="1"/>
  <c r="M69" i="6"/>
  <c r="O78" i="6"/>
  <c r="S66" i="6"/>
  <c r="S71" i="6" s="1"/>
  <c r="S70" i="6"/>
  <c r="M70" i="6"/>
  <c r="M66" i="6"/>
  <c r="M71" i="6" s="1"/>
  <c r="Q70" i="6"/>
  <c r="Q66" i="6"/>
  <c r="Q71" i="6" s="1"/>
  <c r="S78" i="6"/>
  <c r="U70" i="6"/>
  <c r="U66" i="6"/>
  <c r="U71" i="6" s="1"/>
  <c r="Y17" i="4" l="1" a="1"/>
  <c r="Y17" i="4" s="1"/>
  <c r="Y18" i="4" s="1"/>
  <c r="Y21" i="4" s="1"/>
  <c r="T92" i="6"/>
  <c r="P92" i="6"/>
  <c r="V91" i="6"/>
  <c r="R91" i="6"/>
  <c r="N91" i="6"/>
  <c r="T90" i="6"/>
  <c r="P90" i="6"/>
  <c r="V89" i="6"/>
  <c r="R89" i="6"/>
  <c r="N89" i="6"/>
  <c r="T88" i="6"/>
  <c r="P88" i="6"/>
  <c r="V87" i="6"/>
  <c r="R87" i="6"/>
  <c r="N87" i="6"/>
  <c r="T86" i="6"/>
  <c r="P86" i="6"/>
  <c r="V85" i="6"/>
  <c r="R85" i="6"/>
  <c r="N85" i="6"/>
  <c r="T84" i="6"/>
  <c r="P84" i="6"/>
  <c r="V83" i="6"/>
  <c r="R83" i="6"/>
  <c r="N83" i="6"/>
  <c r="Q88" i="6"/>
  <c r="U86" i="6"/>
  <c r="M86" i="6"/>
  <c r="S92" i="6"/>
  <c r="O92" i="6"/>
  <c r="U91" i="6"/>
  <c r="Q91" i="6"/>
  <c r="M91" i="6"/>
  <c r="S90" i="6"/>
  <c r="O90" i="6"/>
  <c r="U89" i="6"/>
  <c r="Q89" i="6"/>
  <c r="M89" i="6"/>
  <c r="S88" i="6"/>
  <c r="O88" i="6"/>
  <c r="U87" i="6"/>
  <c r="Q87" i="6"/>
  <c r="M87" i="6"/>
  <c r="S86" i="6"/>
  <c r="O86" i="6"/>
  <c r="U85" i="6"/>
  <c r="Q85" i="6"/>
  <c r="M85" i="6"/>
  <c r="S84" i="6"/>
  <c r="O84" i="6"/>
  <c r="U83" i="6"/>
  <c r="Q83" i="6"/>
  <c r="M83" i="6"/>
  <c r="V92" i="6"/>
  <c r="R92" i="6"/>
  <c r="N92" i="6"/>
  <c r="T91" i="6"/>
  <c r="P91" i="6"/>
  <c r="V90" i="6"/>
  <c r="R90" i="6"/>
  <c r="N90" i="6"/>
  <c r="T89" i="6"/>
  <c r="P89" i="6"/>
  <c r="V88" i="6"/>
  <c r="R88" i="6"/>
  <c r="N88" i="6"/>
  <c r="T87" i="6"/>
  <c r="P87" i="6"/>
  <c r="V86" i="6"/>
  <c r="R86" i="6"/>
  <c r="N86" i="6"/>
  <c r="T85" i="6"/>
  <c r="P85" i="6"/>
  <c r="V84" i="6"/>
  <c r="R84" i="6"/>
  <c r="N84" i="6"/>
  <c r="T83" i="6"/>
  <c r="P83" i="6"/>
  <c r="U92" i="6"/>
  <c r="Q92" i="6"/>
  <c r="M92" i="6"/>
  <c r="S91" i="6"/>
  <c r="O91" i="6"/>
  <c r="U90" i="6"/>
  <c r="Q90" i="6"/>
  <c r="M90" i="6"/>
  <c r="S89" i="6"/>
  <c r="O89" i="6"/>
  <c r="U88" i="6"/>
  <c r="M88" i="6"/>
  <c r="S87" i="6"/>
  <c r="O87" i="6"/>
  <c r="Q86" i="6"/>
  <c r="S85" i="6"/>
  <c r="M84" i="6"/>
  <c r="O85" i="6"/>
  <c r="S83" i="6"/>
  <c r="U84" i="6"/>
  <c r="O83" i="6"/>
  <c r="Q84" i="6"/>
  <c r="AG82" i="6" l="1" a="1"/>
  <c r="AH82" i="6" a="1"/>
  <c r="AF82" i="6" a="1"/>
  <c r="AG89" i="6" l="1"/>
  <c r="AG85" i="6"/>
  <c r="AG88" i="6"/>
  <c r="AG84" i="6"/>
  <c r="AG91" i="6"/>
  <c r="AG87" i="6"/>
  <c r="AG83" i="6"/>
  <c r="AG82" i="6"/>
  <c r="AG90" i="6"/>
  <c r="AG86" i="6"/>
  <c r="AF88" i="6"/>
  <c r="AF84" i="6"/>
  <c r="AF91" i="6"/>
  <c r="AF87" i="6"/>
  <c r="AF83" i="6"/>
  <c r="AF90" i="6"/>
  <c r="AF86" i="6"/>
  <c r="AF82" i="6"/>
  <c r="AF89" i="6"/>
  <c r="AF85" i="6"/>
  <c r="AH90" i="6"/>
  <c r="AH86" i="6"/>
  <c r="AH82" i="6"/>
  <c r="AH89" i="6"/>
  <c r="AH85" i="6"/>
  <c r="AH88" i="6"/>
  <c r="AH84" i="6"/>
  <c r="AH87" i="6"/>
  <c r="AH83" i="6"/>
  <c r="AH91" i="6"/>
  <c r="AG95" i="6" l="1" a="1"/>
  <c r="AG95" i="6" s="1"/>
  <c r="AG96" i="6" s="1"/>
  <c r="AG92" i="6"/>
  <c r="AG94" i="6"/>
  <c r="AH95" i="6" a="1"/>
  <c r="AH95" i="6" s="1"/>
  <c r="AH96" i="6" s="1"/>
  <c r="AH92" i="6"/>
  <c r="AH94" i="6"/>
  <c r="AF92" i="6"/>
  <c r="AF97" i="6" a="1"/>
  <c r="AF97" i="6" s="1"/>
  <c r="AF95" i="6" a="1"/>
  <c r="AF95" i="6" s="1"/>
  <c r="AF94" i="6"/>
  <c r="AF96" i="6" l="1"/>
  <c r="AF102" i="6"/>
  <c r="AF101" i="6"/>
  <c r="AG107" i="6" s="1"/>
  <c r="AF103" i="6" l="1"/>
  <c r="AF107" i="6" s="1"/>
  <c r="B52" i="4"/>
  <c r="B51" i="4"/>
  <c r="B50" i="4"/>
  <c r="B49" i="4"/>
  <c r="K6" i="4"/>
  <c r="B10" i="4" s="1" a="1"/>
  <c r="B10" i="4" s="1"/>
  <c r="C9" i="4" a="1"/>
  <c r="C9" i="4" s="1"/>
  <c r="B9" i="4" a="1"/>
  <c r="B9" i="4" s="1"/>
  <c r="B21" i="3" a="1"/>
  <c r="B22" i="3" s="1"/>
  <c r="H12" i="3" a="1"/>
  <c r="H12" i="3" s="1"/>
  <c r="H5" i="3" a="1"/>
  <c r="I5" i="3" s="1"/>
  <c r="H3" i="3" a="1"/>
  <c r="H3" i="3" s="1"/>
  <c r="C15" i="4"/>
  <c r="D9" i="4"/>
  <c r="D12" i="2"/>
  <c r="I3" i="3"/>
  <c r="E21" i="3"/>
  <c r="C16" i="4"/>
  <c r="C14" i="4"/>
  <c r="D13" i="2"/>
  <c r="L5" i="3"/>
  <c r="D11" i="4"/>
  <c r="E5" i="2"/>
  <c r="G6" i="3"/>
  <c r="I12" i="3"/>
  <c r="D10" i="4"/>
  <c r="D11" i="2"/>
  <c r="K8" i="3" l="1"/>
  <c r="H8" i="3"/>
  <c r="K7" i="3"/>
  <c r="K6" i="3"/>
  <c r="H7" i="3"/>
  <c r="C10" i="4" a="1"/>
  <c r="C10" i="4" s="1"/>
  <c r="C11" i="4" a="1"/>
  <c r="C11" i="4" s="1"/>
  <c r="H6" i="3"/>
  <c r="K5" i="3"/>
  <c r="H5" i="3"/>
  <c r="B14" i="4"/>
  <c r="C20" i="4" s="1"/>
  <c r="B23" i="3"/>
  <c r="D21" i="3"/>
  <c r="D22" i="3"/>
  <c r="C21" i="3"/>
  <c r="D23" i="3"/>
  <c r="C22" i="3"/>
  <c r="B21" i="3"/>
  <c r="C23" i="3"/>
  <c r="H14" i="3"/>
  <c r="H13" i="3"/>
  <c r="J8" i="3"/>
  <c r="J7" i="3"/>
  <c r="J6" i="3"/>
  <c r="J5" i="3"/>
  <c r="I8" i="3"/>
  <c r="I7" i="3"/>
  <c r="I6" i="3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F4" i="1"/>
  <c r="E4" i="1"/>
  <c r="G56" i="1"/>
  <c r="G63" i="1"/>
  <c r="G61" i="1"/>
  <c r="G55" i="1"/>
  <c r="G59" i="1"/>
  <c r="G57" i="1"/>
  <c r="G4" i="1"/>
  <c r="G60" i="1"/>
  <c r="G64" i="1"/>
  <c r="B15" i="4" l="1"/>
  <c r="B16" i="4" s="1"/>
  <c r="B20" i="4" s="1"/>
  <c r="F56" i="1"/>
  <c r="F57" i="1" s="1"/>
  <c r="C4" i="7" s="1"/>
  <c r="D4" i="7" s="1"/>
  <c r="F55" i="1"/>
  <c r="B4" i="7" s="1"/>
  <c r="E56" i="1"/>
  <c r="E60" i="1" s="1"/>
  <c r="C4" i="2"/>
  <c r="D4" i="2" s="1"/>
  <c r="F61" i="1"/>
  <c r="E63" i="1"/>
  <c r="E64" i="1"/>
  <c r="B25" i="3" a="1"/>
  <c r="E55" i="1"/>
  <c r="B3" i="7" s="1"/>
  <c r="F60" i="1"/>
  <c r="C5" i="7" l="1"/>
  <c r="B12" i="7" s="1"/>
  <c r="B13" i="7" s="1"/>
  <c r="B17" i="7" s="1"/>
  <c r="B11" i="7"/>
  <c r="C17" i="7" s="1"/>
  <c r="D5" i="7"/>
  <c r="E57" i="1"/>
  <c r="E61" i="1" s="1"/>
  <c r="F59" i="1"/>
  <c r="B4" i="2"/>
  <c r="B3" i="2"/>
  <c r="B11" i="2" s="1"/>
  <c r="C17" i="2" s="1"/>
  <c r="E59" i="1"/>
  <c r="B26" i="3"/>
  <c r="D25" i="3"/>
  <c r="D26" i="3"/>
  <c r="C25" i="3"/>
  <c r="D27" i="3"/>
  <c r="C26" i="3"/>
  <c r="B25" i="3"/>
  <c r="C27" i="3"/>
  <c r="B27" i="3"/>
  <c r="C3" i="2" l="1"/>
  <c r="C5" i="2" s="1"/>
  <c r="D3" i="2"/>
  <c r="B12" i="2" l="1"/>
  <c r="B13" i="2" s="1"/>
  <c r="B17" i="2" s="1"/>
  <c r="D5" i="2"/>
</calcChain>
</file>

<file path=xl/sharedStrings.xml><?xml version="1.0" encoding="utf-8"?>
<sst xmlns="http://schemas.openxmlformats.org/spreadsheetml/2006/main" count="458" uniqueCount="206">
  <si>
    <t>Date</t>
  </si>
  <si>
    <t>Adj Close</t>
  </si>
  <si>
    <t>BABA stock price</t>
    <phoneticPr fontId="3" type="noConversion"/>
  </si>
  <si>
    <t>AMZN stock price</t>
    <phoneticPr fontId="3" type="noConversion"/>
  </si>
  <si>
    <t>BABA</t>
    <phoneticPr fontId="3" type="noConversion"/>
  </si>
  <si>
    <t>AMZN</t>
    <phoneticPr fontId="3" type="noConversion"/>
  </si>
  <si>
    <t>AMZN</t>
    <phoneticPr fontId="3" type="noConversion"/>
  </si>
  <si>
    <t>monthly mean</t>
    <phoneticPr fontId="3" type="noConversion"/>
  </si>
  <si>
    <t>monthly variance</t>
    <phoneticPr fontId="3" type="noConversion"/>
  </si>
  <si>
    <t>monthly std dev</t>
    <phoneticPr fontId="3" type="noConversion"/>
  </si>
  <si>
    <t>annual mean</t>
    <phoneticPr fontId="3" type="noConversion"/>
  </si>
  <si>
    <t>annual variance</t>
    <phoneticPr fontId="3" type="noConversion"/>
  </si>
  <si>
    <t>annual std dev</t>
    <phoneticPr fontId="3" type="noConversion"/>
  </si>
  <si>
    <t>covariance</t>
    <phoneticPr fontId="3" type="noConversion"/>
  </si>
  <si>
    <t>correlation</t>
    <phoneticPr fontId="3" type="noConversion"/>
  </si>
  <si>
    <t>X</t>
    <phoneticPr fontId="3" type="noConversion"/>
  </si>
  <si>
    <t>Y</t>
    <phoneticPr fontId="3" type="noConversion"/>
  </si>
  <si>
    <t>BABA</t>
  </si>
  <si>
    <t>BABA</t>
    <phoneticPr fontId="3" type="noConversion"/>
  </si>
  <si>
    <t>AMZN</t>
  </si>
  <si>
    <t>AMZN</t>
    <phoneticPr fontId="3" type="noConversion"/>
  </si>
  <si>
    <t>Mean</t>
  </si>
  <si>
    <t>Mean</t>
    <phoneticPr fontId="3" type="noConversion"/>
  </si>
  <si>
    <t>Std dev</t>
    <phoneticPr fontId="3" type="noConversion"/>
  </si>
  <si>
    <t>Cov</t>
  </si>
  <si>
    <t>Cov</t>
    <phoneticPr fontId="3" type="noConversion"/>
  </si>
  <si>
    <t>Correl</t>
    <phoneticPr fontId="3" type="noConversion"/>
  </si>
  <si>
    <t>Portfolio</t>
    <phoneticPr fontId="3" type="noConversion"/>
  </si>
  <si>
    <t>% in BABA</t>
    <phoneticPr fontId="3" type="noConversion"/>
  </si>
  <si>
    <t>Mean</t>
    <phoneticPr fontId="3" type="noConversion"/>
  </si>
  <si>
    <t>Variance</t>
  </si>
  <si>
    <t>Variance</t>
    <phoneticPr fontId="3" type="noConversion"/>
  </si>
  <si>
    <t>Std dev</t>
    <phoneticPr fontId="3" type="noConversion"/>
  </si>
  <si>
    <t>% in BABA</t>
    <phoneticPr fontId="3" type="noConversion"/>
  </si>
  <si>
    <t>Std dev</t>
    <phoneticPr fontId="3" type="noConversion"/>
  </si>
  <si>
    <t>Row Vector</t>
    <phoneticPr fontId="3" type="noConversion"/>
  </si>
  <si>
    <t>Ctrl+Shift+Enter</t>
    <phoneticPr fontId="3" type="noConversion"/>
  </si>
  <si>
    <t>Matrix (3*4)</t>
    <phoneticPr fontId="3" type="noConversion"/>
  </si>
  <si>
    <t>Column vector (4*1)</t>
    <phoneticPr fontId="3" type="noConversion"/>
  </si>
  <si>
    <t>M=</t>
    <phoneticPr fontId="3" type="noConversion"/>
  </si>
  <si>
    <t>M^-1=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</si>
  <si>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</si>
  <si>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</si>
  <si>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</si>
  <si>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</si>
  <si>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</si>
  <si>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</si>
  <si>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</si>
  <si>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Variance-covariance matrix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</si>
  <si>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</si>
  <si>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</si>
  <si>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</si>
  <si>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</si>
  <si>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Mean</t>
    <phoneticPr fontId="3" type="noConversion"/>
  </si>
  <si>
    <t>r=</t>
    <phoneticPr fontId="3" type="noConversion"/>
  </si>
  <si>
    <t>S=</t>
    <phoneticPr fontId="3" type="noConversion"/>
  </si>
  <si>
    <t>Port1</t>
  </si>
  <si>
    <t>Port1</t>
    <phoneticPr fontId="3" type="noConversion"/>
  </si>
  <si>
    <t>Port1</t>
    <phoneticPr fontId="3" type="noConversion"/>
  </si>
  <si>
    <t>Variance</t>
    <phoneticPr fontId="3" type="noConversion"/>
  </si>
  <si>
    <t>Port2</t>
  </si>
  <si>
    <t>Port2</t>
    <phoneticPr fontId="3" type="noConversion"/>
  </si>
  <si>
    <t>% in port1</t>
    <phoneticPr fontId="3" type="noConversion"/>
  </si>
  <si>
    <t>Mean</t>
    <phoneticPr fontId="3" type="noConversion"/>
  </si>
  <si>
    <t>Std dev</t>
    <phoneticPr fontId="3" type="noConversion"/>
  </si>
  <si>
    <t>std dev</t>
    <phoneticPr fontId="3" type="noConversion"/>
  </si>
  <si>
    <t>mean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</si>
  <si>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</si>
  <si>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</si>
  <si>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</si>
  <si>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Variance-Covariance Matrix</t>
  </si>
  <si>
    <t>Prices</t>
  </si>
  <si>
    <t>Returns</t>
  </si>
  <si>
    <t>TSLA</t>
  </si>
  <si>
    <t>SS</t>
  </si>
  <si>
    <t>GE</t>
  </si>
  <si>
    <t>APPL</t>
  </si>
  <si>
    <t>MSFT</t>
  </si>
  <si>
    <t>BRK-A</t>
  </si>
  <si>
    <t>FB</t>
  </si>
  <si>
    <t>SP500</t>
  </si>
  <si>
    <t>Monthly</t>
  </si>
  <si>
    <t>Average</t>
  </si>
  <si>
    <t>Std.Dev.</t>
  </si>
  <si>
    <t>Annual</t>
  </si>
  <si>
    <t>alpha</t>
  </si>
  <si>
    <t>beta</t>
  </si>
  <si>
    <t>R2</t>
  </si>
  <si>
    <t>Alternatively</t>
  </si>
  <si>
    <t>Finding Efficient Frontier</t>
  </si>
  <si>
    <t>GMVP</t>
    <phoneticPr fontId="3" type="noConversion"/>
  </si>
  <si>
    <t>Use excess return over the average return</t>
  </si>
  <si>
    <t>c=</t>
  </si>
  <si>
    <t>How to Install Analysis ToolPak</t>
  </si>
  <si>
    <t>https://www.listendata.com/2012/10/install-analysis-toolpak-add-in.html</t>
  </si>
  <si>
    <t>Corrrelation Matrix</t>
  </si>
  <si>
    <t>Sigma</t>
  </si>
  <si>
    <t>% port1</t>
  </si>
  <si>
    <t>% port2</t>
  </si>
  <si>
    <t>Data table</t>
  </si>
  <si>
    <t>Statistics about correlations</t>
  </si>
  <si>
    <t>Lowest</t>
  </si>
  <si>
    <t>Highest</t>
  </si>
  <si>
    <t>Transpose</t>
  </si>
  <si>
    <t>random portfolios</t>
  </si>
  <si>
    <t>A</t>
  </si>
  <si>
    <t>B</t>
  </si>
  <si>
    <t>C</t>
  </si>
  <si>
    <t>D</t>
  </si>
  <si>
    <t>Std dev</t>
  </si>
  <si>
    <t>efficient portfolio</t>
  </si>
  <si>
    <t>GMVP</t>
  </si>
  <si>
    <t>% in Port1</t>
  </si>
  <si>
    <t>% in Port2</t>
  </si>
  <si>
    <t>2 random portfolios</t>
  </si>
  <si>
    <t>Var-Cov</t>
  </si>
  <si>
    <t>Rf</t>
  </si>
  <si>
    <t>Panel A: Risk Parameters of the Investable Universe (annualized)</t>
  </si>
  <si>
    <t>SD of Excess Return</t>
  </si>
  <si>
    <t>BETA</t>
  </si>
  <si>
    <t>SD of Systematic Component</t>
  </si>
  <si>
    <t>SD of Residual</t>
  </si>
  <si>
    <t>Correlation with the Market Index</t>
  </si>
  <si>
    <t>Market Index</t>
  </si>
  <si>
    <t>WMT (Walmart)</t>
  </si>
  <si>
    <t>TGT (Target)</t>
  </si>
  <si>
    <t>VZ (Verizon)</t>
  </si>
  <si>
    <t>T (AT&amp;T)</t>
  </si>
  <si>
    <t>F (Ford)</t>
  </si>
  <si>
    <t>GM (General Motors)</t>
  </si>
  <si>
    <t>Panel B: Correlation of Residuals</t>
  </si>
  <si>
    <t>WMT</t>
  </si>
  <si>
    <t>TGT</t>
  </si>
  <si>
    <t>VZ</t>
  </si>
  <si>
    <t>T</t>
  </si>
  <si>
    <t>F</t>
  </si>
  <si>
    <t>GM</t>
  </si>
  <si>
    <t>Panel C: The Index Model Covariance Matrix</t>
  </si>
  <si>
    <t>Beta</t>
  </si>
  <si>
    <t>Panel D: Macro Forecast and Forecasts of Alpha Values</t>
  </si>
  <si>
    <t xml:space="preserve">market risk premium = </t>
  </si>
  <si>
    <t>Alpha</t>
  </si>
  <si>
    <t>Risk Premium</t>
  </si>
  <si>
    <t>Panel E: Computation of the Optimal Risky Portfolio</t>
  </si>
  <si>
    <t>Active Pf A</t>
  </si>
  <si>
    <t>Overall Pf</t>
  </si>
  <si>
    <r>
      <t>s</t>
    </r>
    <r>
      <rPr>
        <vertAlign val="superscript"/>
        <sz val="11"/>
        <rFont val="Verdana"/>
        <family val="2"/>
      </rPr>
      <t>2</t>
    </r>
    <r>
      <rPr>
        <sz val="11"/>
        <rFont val="Verdana"/>
        <family val="2"/>
      </rPr>
      <t>(</t>
    </r>
    <r>
      <rPr>
        <i/>
        <sz val="11"/>
        <rFont val="Calibri"/>
        <family val="2"/>
        <scheme val="minor"/>
      </rPr>
      <t>e</t>
    </r>
    <r>
      <rPr>
        <sz val="11"/>
        <rFont val="Verdana"/>
        <family val="2"/>
      </rPr>
      <t>)</t>
    </r>
  </si>
  <si>
    <r>
      <rPr>
        <i/>
        <sz val="11"/>
        <rFont val="Calibri"/>
        <family val="2"/>
        <scheme val="minor"/>
      </rPr>
      <t>w</t>
    </r>
    <r>
      <rPr>
        <i/>
        <vertAlign val="subscript"/>
        <sz val="11"/>
        <rFont val="Calibri"/>
        <family val="2"/>
        <scheme val="minor"/>
      </rPr>
      <t>i</t>
    </r>
    <r>
      <rPr>
        <sz val="11"/>
        <rFont val="Symbol"/>
        <family val="1"/>
        <charset val="2"/>
      </rPr>
      <t>(</t>
    </r>
    <r>
      <rPr>
        <sz val="11"/>
        <rFont val="Calibri"/>
        <family val="2"/>
        <scheme val="minor"/>
      </rPr>
      <t>0</t>
    </r>
    <r>
      <rPr>
        <sz val="11"/>
        <rFont val="Symbol"/>
        <family val="1"/>
        <charset val="2"/>
      </rPr>
      <t>) = a</t>
    </r>
    <r>
      <rPr>
        <i/>
        <vertAlign val="subscript"/>
        <sz val="11"/>
        <rFont val="Calibri"/>
        <family val="2"/>
        <scheme val="minor"/>
      </rPr>
      <t>i</t>
    </r>
    <r>
      <rPr>
        <sz val="11"/>
        <rFont val="Symbol"/>
        <family val="1"/>
        <charset val="2"/>
      </rPr>
      <t>/s</t>
    </r>
    <r>
      <rPr>
        <vertAlign val="superscript"/>
        <sz val="11"/>
        <rFont val="Symbol"/>
        <family val="1"/>
        <charset val="2"/>
      </rPr>
      <t>2</t>
    </r>
    <r>
      <rPr>
        <sz val="11"/>
        <rFont val="Symbol"/>
        <family val="1"/>
        <charset val="2"/>
      </rPr>
      <t>(</t>
    </r>
    <r>
      <rPr>
        <i/>
        <sz val="11"/>
        <rFont val="Calibri"/>
        <family val="2"/>
        <scheme val="minor"/>
      </rPr>
      <t>e</t>
    </r>
    <r>
      <rPr>
        <sz val="11"/>
        <rFont val="Symbol"/>
        <family val="1"/>
        <charset val="2"/>
      </rPr>
      <t>)</t>
    </r>
  </si>
  <si>
    <r>
      <t>w</t>
    </r>
    <r>
      <rPr>
        <i/>
        <vertAlign val="subscript"/>
        <sz val="11"/>
        <rFont val="Calibri"/>
        <family val="2"/>
        <scheme val="minor"/>
      </rPr>
      <t>i</t>
    </r>
  </si>
  <si>
    <r>
      <rPr>
        <sz val="11"/>
        <rFont val="Calibri"/>
        <family val="2"/>
        <scheme val="minor"/>
      </rPr>
      <t>[</t>
    </r>
    <r>
      <rPr>
        <i/>
        <sz val="11"/>
        <rFont val="Calibri"/>
        <family val="2"/>
        <scheme val="minor"/>
      </rPr>
      <t>w</t>
    </r>
    <r>
      <rPr>
        <i/>
        <vertAlign val="subscript"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(0)]</t>
    </r>
    <r>
      <rPr>
        <vertAlign val="superscript"/>
        <sz val="11"/>
        <rFont val="Calibri"/>
        <family val="2"/>
        <scheme val="minor"/>
      </rPr>
      <t>2</t>
    </r>
  </si>
  <si>
    <r>
      <t>a</t>
    </r>
    <r>
      <rPr>
        <b/>
        <i/>
        <vertAlign val="subscript"/>
        <sz val="11"/>
        <rFont val="Calibri"/>
        <family val="2"/>
        <scheme val="minor"/>
      </rPr>
      <t>A</t>
    </r>
  </si>
  <si>
    <r>
      <t>s</t>
    </r>
    <r>
      <rPr>
        <vertAlign val="superscript"/>
        <sz val="11"/>
        <rFont val="Symbol"/>
        <family val="1"/>
        <charset val="2"/>
      </rPr>
      <t>2</t>
    </r>
    <r>
      <rPr>
        <sz val="11"/>
        <rFont val="Verdana"/>
        <family val="2"/>
      </rPr>
      <t>(</t>
    </r>
    <r>
      <rPr>
        <i/>
        <sz val="11"/>
        <rFont val="Calibri"/>
        <family val="2"/>
        <scheme val="minor"/>
      </rPr>
      <t>e</t>
    </r>
    <r>
      <rPr>
        <i/>
        <vertAlign val="subscript"/>
        <sz val="11"/>
        <rFont val="Verdana"/>
        <family val="2"/>
      </rPr>
      <t>A</t>
    </r>
    <r>
      <rPr>
        <sz val="11"/>
        <rFont val="Verdana"/>
        <family val="2"/>
      </rPr>
      <t>)</t>
    </r>
  </si>
  <si>
    <r>
      <t>E(R</t>
    </r>
    <r>
      <rPr>
        <i/>
        <vertAlign val="subscript"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charset val="129"/>
        <scheme val="minor"/>
      </rPr>
      <t>/</t>
    </r>
    <r>
      <rPr>
        <sz val="11"/>
        <color theme="1"/>
        <rFont val="Symbol"/>
        <family val="1"/>
        <charset val="2"/>
      </rP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29"/>
        <scheme val="minor"/>
      </rPr>
      <t>(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charset val="129"/>
        <scheme val="minor"/>
      </rPr>
      <t>)</t>
    </r>
  </si>
  <si>
    <r>
      <rPr>
        <i/>
        <sz val="11"/>
        <rFont val="Calibri"/>
        <family val="2"/>
        <scheme val="minor"/>
      </rPr>
      <t>w</t>
    </r>
    <r>
      <rPr>
        <i/>
        <vertAlign val="subscript"/>
        <sz val="11"/>
        <rFont val="Arial"/>
        <family val="2"/>
      </rPr>
      <t>A</t>
    </r>
    <r>
      <rPr>
        <sz val="11"/>
        <rFont val="Arial"/>
        <family val="2"/>
      </rPr>
      <t>(</t>
    </r>
    <r>
      <rPr>
        <sz val="11"/>
        <rFont val="Calibri"/>
        <family val="2"/>
        <scheme val="minor"/>
      </rPr>
      <t>0</t>
    </r>
    <r>
      <rPr>
        <sz val="11"/>
        <rFont val="Arial"/>
        <family val="2"/>
      </rPr>
      <t>)</t>
    </r>
  </si>
  <si>
    <r>
      <t>b</t>
    </r>
    <r>
      <rPr>
        <i/>
        <vertAlign val="subscript"/>
        <sz val="11"/>
        <rFont val="Calibri"/>
        <family val="2"/>
        <scheme val="minor"/>
      </rPr>
      <t>A</t>
    </r>
  </si>
  <si>
    <r>
      <rPr>
        <i/>
        <sz val="11"/>
        <rFont val="Calibri"/>
        <family val="2"/>
        <scheme val="minor"/>
      </rPr>
      <t>w</t>
    </r>
    <r>
      <rPr>
        <i/>
        <sz val="11"/>
        <rFont val="Arial"/>
        <family val="2"/>
      </rPr>
      <t>*</t>
    </r>
    <r>
      <rPr>
        <sz val="11"/>
        <rFont val="Calibri"/>
        <family val="2"/>
        <scheme val="minor"/>
      </rPr>
      <t>(</t>
    </r>
    <r>
      <rPr>
        <i/>
        <sz val="11"/>
        <rFont val="Calibri"/>
        <family val="2"/>
        <scheme val="minor"/>
      </rPr>
      <t>Optimal Risky Port</t>
    </r>
    <r>
      <rPr>
        <sz val="11"/>
        <rFont val="Calibri"/>
        <family val="2"/>
        <scheme val="minor"/>
      </rPr>
      <t>)</t>
    </r>
  </si>
  <si>
    <t>SD</t>
  </si>
  <si>
    <t>Sharpe Ratio</t>
  </si>
  <si>
    <t>High firm-specific risk</t>
  </si>
  <si>
    <t>High correlations of pairs of stocks from the same industries (index model violated)</t>
  </si>
  <si>
    <t>Assuming zero residual correlation</t>
  </si>
  <si>
    <t>Alphas are produced from your research</t>
  </si>
  <si>
    <t>HD</t>
  </si>
  <si>
    <t>IP</t>
  </si>
  <si>
    <t>HPQ</t>
  </si>
  <si>
    <t>MO</t>
  </si>
  <si>
    <t>AXP</t>
  </si>
  <si>
    <t>AA</t>
  </si>
  <si>
    <t>DD</t>
  </si>
  <si>
    <t>MRK</t>
  </si>
  <si>
    <t>MMM</t>
  </si>
  <si>
    <t>Market cap</t>
  </si>
  <si>
    <t>T-bill</t>
  </si>
  <si>
    <t>Variance-covariance matrix of excess returns</t>
  </si>
  <si>
    <t>lambda</t>
  </si>
  <si>
    <t>for shrinkage</t>
  </si>
  <si>
    <t>Shrinkage</t>
  </si>
  <si>
    <t>Anticipated benchmark return</t>
  </si>
  <si>
    <t>Step 1: Implied expected returns</t>
  </si>
  <si>
    <t>Benchmark %</t>
  </si>
  <si>
    <t>Expected benchmark return</t>
  </si>
  <si>
    <t>without normalizing</t>
  </si>
  <si>
    <t>with normalizing</t>
  </si>
  <si>
    <t>Optimal portfolio</t>
  </si>
  <si>
    <t>Should be the same as the benchmark %</t>
  </si>
  <si>
    <t>Step 2: Subjective views</t>
  </si>
  <si>
    <t>You think that the return on GM will be 1.1% over the next month instead of the market opinion of 0.96%.</t>
  </si>
  <si>
    <t>Expected return</t>
  </si>
  <si>
    <t>Adjusted return</t>
  </si>
  <si>
    <r>
      <t>r_i* = r_i + beta*</t>
    </r>
    <r>
      <rPr>
        <sz val="11"/>
        <color rgb="FFFF0000"/>
        <rFont val="맑은 고딕"/>
        <family val="3"/>
        <charset val="129"/>
      </rPr>
      <t>Δ</t>
    </r>
    <r>
      <rPr>
        <sz val="11"/>
        <color rgb="FFFF0000"/>
        <rFont val="Calibri"/>
        <family val="2"/>
        <charset val="129"/>
      </rPr>
      <t>r_GM,  beta=cov(r_i,r_GM)/var(r_GM)</t>
    </r>
  </si>
  <si>
    <t>When there are opinions on multiple securities</t>
  </si>
  <si>
    <t>delta</t>
  </si>
  <si>
    <t>Normalizing factor: number that makes the portfolio return equal to the my forecast.</t>
  </si>
  <si>
    <t>Simon Benninga's approach</t>
  </si>
  <si>
    <t>Data</t>
  </si>
  <si>
    <t>Optimal portfolio with shrinkage var-cov</t>
  </si>
  <si>
    <t>Optimal portfolio - naive</t>
  </si>
  <si>
    <r>
      <rPr>
        <b/>
        <sz val="11"/>
        <color theme="1"/>
        <rFont val="Calibri"/>
        <family val="2"/>
        <scheme val="minor"/>
      </rPr>
      <t>Interpretation 1</t>
    </r>
    <r>
      <rPr>
        <sz val="11"/>
        <color theme="1"/>
        <rFont val="Calibri"/>
        <family val="2"/>
        <charset val="129"/>
        <scheme val="minor"/>
      </rPr>
      <t>: Only GM and HD returns are adjusted; other returns remain the same.</t>
    </r>
  </si>
  <si>
    <r>
      <rPr>
        <b/>
        <sz val="11"/>
        <color theme="1"/>
        <rFont val="Calibri"/>
        <family val="2"/>
        <scheme val="minor"/>
      </rPr>
      <t>Interpretation 2</t>
    </r>
    <r>
      <rPr>
        <sz val="11"/>
        <color theme="1"/>
        <rFont val="Calibri"/>
        <family val="2"/>
        <charset val="129"/>
        <scheme val="minor"/>
      </rPr>
      <t>: The returns on GM and HD influence others' returns.</t>
    </r>
  </si>
  <si>
    <t>Step 3: Incorporate confidence of views</t>
  </si>
  <si>
    <t>confidence, gamma</t>
  </si>
  <si>
    <t>Weight attached to analyst opinion</t>
  </si>
  <si>
    <t>Tracking matrix = Beta matrix = [cov(i,j)/var(i)]</t>
  </si>
  <si>
    <t xml:space="preserve">Adjusted return= Expected return + Tracking matrix*delta </t>
  </si>
  <si>
    <t>Black Litterman</t>
  </si>
  <si>
    <t>Data -&gt; Data Analysis -&gt; Correlation -&gt; Select times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</si>
</sst>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_-* #,##0_-;\-* #,##0_-;_-* &quot;-&quot;_-;_-@_-"/>
    <numFmt numFmtId="165" formatCode="0.0%"/>
    <numFmt numFmtId="166" formatCode="0.0000"/>
    <numFmt numFmtId="167" formatCode="0.000"/>
    <numFmt numFmtId="168" formatCode="0.000%"/>
    <numFmt numFmtId="169" formatCode="#,##0.000"/>
    <numFmt numFmtId="170" formatCode="#,##0.0000"/>
    <numFmt numFmtId="171" formatCode="#,##0.00000"/>
    <numFmt numFmtId="172" formatCode="0.0000%"/>
    <numFmt numFmtId="173" formatCode="_-* #,##0.0000_-;\-* #,##0.0000_-;_-* &quot;-&quot;_-;_-@_-"/>
    <numFmt numFmtId="174" formatCode="_-* #,##0.000_-;\-* #,##0.000_-;_-* &quot;-&quot;_-;_-@_-"/>
    <numFmt numFmtId="175" formatCode="0.0000000000000000"/>
    <numFmt numFmtId="176" formatCode="0.000000"/>
    <numFmt numFmtId="177" formatCode="0.00000"/>
  </numFmts>
  <fonts count="3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b/>
      <sz val="15"/>
      <color theme="1"/>
      <name val="Calibri"/>
      <family val="3"/>
      <charset val="129"/>
      <scheme val="minor"/>
    </font>
    <font>
      <b/>
      <sz val="15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1"/>
      <name val="Symbol"/>
      <family val="1"/>
      <charset val="2"/>
    </font>
    <font>
      <vertAlign val="superscript"/>
      <sz val="11"/>
      <name val="Verdana"/>
      <family val="2"/>
    </font>
    <font>
      <sz val="11"/>
      <name val="Verdana"/>
      <family val="2"/>
    </font>
    <font>
      <i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Symbol"/>
      <family val="1"/>
      <charset val="2"/>
    </font>
    <font>
      <vertAlign val="superscript"/>
      <sz val="11"/>
      <name val="Calibri"/>
      <family val="2"/>
      <scheme val="minor"/>
    </font>
    <font>
      <b/>
      <i/>
      <vertAlign val="subscript"/>
      <sz val="11"/>
      <name val="Calibri"/>
      <family val="2"/>
      <scheme val="minor"/>
    </font>
    <font>
      <i/>
      <vertAlign val="subscript"/>
      <sz val="11"/>
      <name val="Verdana"/>
      <family val="2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vertAlign val="superscript"/>
      <sz val="11"/>
      <color theme="1"/>
      <name val="Calibri"/>
      <family val="2"/>
      <scheme val="minor"/>
    </font>
    <font>
      <sz val="11"/>
      <name val="Arial"/>
      <family val="2"/>
    </font>
    <font>
      <i/>
      <vertAlign val="subscript"/>
      <sz val="11"/>
      <name val="Arial"/>
      <family val="2"/>
    </font>
    <font>
      <i/>
      <sz val="11"/>
      <name val="Arial"/>
      <family val="2"/>
    </font>
    <font>
      <b/>
      <sz val="15"/>
      <color theme="1"/>
      <name val="Calibri"/>
      <family val="2"/>
      <scheme val="minor"/>
    </font>
    <font>
      <sz val="11"/>
      <color rgb="FFFF0000"/>
      <name val="맑은 고딕"/>
      <family val="3"/>
      <charset val="129"/>
    </font>
    <font>
      <sz val="11"/>
      <color rgb="FFFF0000"/>
      <name val="Calibri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6">
    <xf numFmtId="0" fontId="0" fillId="0" borderId="0">
      <alignment vertical="center"/>
    </xf>
    <xf numFmtId="16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2" fillId="0" borderId="0"/>
    <xf numFmtId="0" fontId="12" fillId="0" borderId="0"/>
  </cellStyleXfs>
  <cellXfs count="13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65" fontId="0" fillId="0" borderId="0" xfId="2" applyNumberFormat="1" applyFont="1">
      <alignment vertical="center"/>
    </xf>
    <xf numFmtId="10" fontId="0" fillId="0" borderId="0" xfId="2" applyNumberFormat="1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8" fillId="0" borderId="0" xfId="0" applyFont="1">
      <alignment vertical="center"/>
    </xf>
    <xf numFmtId="10" fontId="0" fillId="2" borderId="0" xfId="2" applyNumberFormat="1" applyFont="1" applyFill="1">
      <alignment vertical="center"/>
    </xf>
    <xf numFmtId="0" fontId="0" fillId="2" borderId="0" xfId="0" applyFill="1">
      <alignment vertical="center"/>
    </xf>
    <xf numFmtId="166" fontId="0" fillId="5" borderId="0" xfId="0" applyNumberFormat="1" applyFill="1">
      <alignment vertical="center"/>
    </xf>
    <xf numFmtId="167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2" borderId="0" xfId="0" applyNumberFormat="1" applyFill="1" applyAlignment="1">
      <alignment horizontal="center" vertical="center"/>
    </xf>
    <xf numFmtId="9" fontId="0" fillId="2" borderId="0" xfId="0" applyNumberFormat="1" applyFill="1">
      <alignment vertical="center"/>
    </xf>
    <xf numFmtId="168" fontId="0" fillId="0" borderId="0" xfId="0" applyNumberFormat="1">
      <alignment vertical="center"/>
    </xf>
    <xf numFmtId="10" fontId="0" fillId="4" borderId="0" xfId="0" applyNumberFormat="1" applyFill="1">
      <alignment vertical="center"/>
    </xf>
    <xf numFmtId="171" fontId="0" fillId="0" borderId="0" xfId="0" applyNumberFormat="1">
      <alignment vertical="center"/>
    </xf>
    <xf numFmtId="10" fontId="0" fillId="0" borderId="0" xfId="2" applyNumberFormat="1" applyFont="1" applyAlignment="1">
      <alignment horizontal="center" vertical="center"/>
    </xf>
    <xf numFmtId="172" fontId="0" fillId="2" borderId="0" xfId="0" applyNumberFormat="1" applyFill="1">
      <alignment vertical="center"/>
    </xf>
    <xf numFmtId="0" fontId="9" fillId="0" borderId="0" xfId="0" applyFont="1" applyAlignment="1"/>
    <xf numFmtId="164" fontId="0" fillId="0" borderId="0" xfId="1" applyFont="1" applyAlignment="1"/>
    <xf numFmtId="0" fontId="0" fillId="0" borderId="0" xfId="0" applyAlignment="1"/>
    <xf numFmtId="0" fontId="9" fillId="0" borderId="0" xfId="0" applyFont="1" applyAlignment="1">
      <alignment horizontal="center"/>
    </xf>
    <xf numFmtId="164" fontId="9" fillId="0" borderId="0" xfId="1" applyFont="1" applyAlignment="1">
      <alignment horizontal="center"/>
    </xf>
    <xf numFmtId="14" fontId="0" fillId="0" borderId="0" xfId="0" applyNumberFormat="1" applyAlignment="1"/>
    <xf numFmtId="10" fontId="0" fillId="0" borderId="0" xfId="2" applyNumberFormat="1" applyFont="1" applyAlignment="1"/>
    <xf numFmtId="10" fontId="0" fillId="0" borderId="0" xfId="1" applyNumberFormat="1" applyFont="1" applyAlignment="1"/>
    <xf numFmtId="173" fontId="0" fillId="0" borderId="0" xfId="1" applyNumberFormat="1" applyFont="1" applyAlignment="1"/>
    <xf numFmtId="174" fontId="0" fillId="0" borderId="0" xfId="1" applyNumberFormat="1" applyFont="1" applyAlignment="1"/>
    <xf numFmtId="9" fontId="0" fillId="0" borderId="0" xfId="0" applyNumberFormat="1" applyAlignment="1"/>
    <xf numFmtId="0" fontId="10" fillId="0" borderId="0" xfId="0" applyFont="1" applyAlignment="1"/>
    <xf numFmtId="0" fontId="11" fillId="0" borderId="0" xfId="3"/>
    <xf numFmtId="0" fontId="0" fillId="0" borderId="0" xfId="0" applyFill="1" applyBorder="1" applyAlignment="1"/>
    <xf numFmtId="0" fontId="0" fillId="0" borderId="0" xfId="0" applyBorder="1" applyAlignment="1"/>
    <xf numFmtId="164" fontId="9" fillId="0" borderId="0" xfId="1" applyFont="1" applyAlignment="1">
      <alignment horizontal="left"/>
    </xf>
    <xf numFmtId="169" fontId="0" fillId="0" borderId="0" xfId="0" applyNumberFormat="1" applyAlignment="1"/>
    <xf numFmtId="170" fontId="0" fillId="0" borderId="0" xfId="0" applyNumberFormat="1" applyFill="1" applyBorder="1" applyAlignment="1"/>
    <xf numFmtId="170" fontId="0" fillId="0" borderId="0" xfId="0" applyNumberFormat="1" applyBorder="1" applyAlignment="1"/>
    <xf numFmtId="4" fontId="0" fillId="0" borderId="0" xfId="0" applyNumberFormat="1" applyBorder="1" applyAlignment="1"/>
    <xf numFmtId="170" fontId="0" fillId="2" borderId="0" xfId="0" applyNumberFormat="1" applyFill="1" applyAlignment="1"/>
    <xf numFmtId="9" fontId="0" fillId="2" borderId="0" xfId="0" applyNumberFormat="1" applyFill="1" applyAlignment="1"/>
    <xf numFmtId="165" fontId="0" fillId="0" borderId="0" xfId="2" applyNumberFormat="1" applyFont="1" applyAlignment="1"/>
    <xf numFmtId="165" fontId="0" fillId="6" borderId="0" xfId="2" applyNumberFormat="1" applyFont="1" applyFill="1" applyAlignment="1"/>
    <xf numFmtId="10" fontId="0" fillId="6" borderId="0" xfId="1" applyNumberFormat="1" applyFont="1" applyFill="1" applyAlignment="1"/>
    <xf numFmtId="9" fontId="0" fillId="0" borderId="0" xfId="2" applyFont="1">
      <alignment vertical="center"/>
    </xf>
    <xf numFmtId="10" fontId="0" fillId="7" borderId="0" xfId="2" applyNumberFormat="1" applyFont="1" applyFill="1">
      <alignment vertical="center"/>
    </xf>
    <xf numFmtId="0" fontId="0" fillId="7" borderId="0" xfId="0" applyFill="1">
      <alignment vertical="center"/>
    </xf>
    <xf numFmtId="166" fontId="0" fillId="0" borderId="0" xfId="0" applyNumberFormat="1">
      <alignment vertical="center"/>
    </xf>
    <xf numFmtId="0" fontId="2" fillId="0" borderId="0" xfId="4"/>
    <xf numFmtId="0" fontId="2" fillId="0" borderId="1" xfId="4" applyBorder="1"/>
    <xf numFmtId="0" fontId="9" fillId="0" borderId="2" xfId="4" applyFont="1" applyBorder="1" applyAlignment="1">
      <alignment horizontal="center" vertical="top" wrapText="1"/>
    </xf>
    <xf numFmtId="0" fontId="9" fillId="0" borderId="3" xfId="4" applyFont="1" applyBorder="1" applyAlignment="1">
      <alignment horizontal="center" vertical="top" wrapText="1"/>
    </xf>
    <xf numFmtId="0" fontId="12" fillId="0" borderId="4" xfId="5" applyFont="1" applyBorder="1" applyAlignment="1">
      <alignment horizontal="left" vertical="top"/>
    </xf>
    <xf numFmtId="166" fontId="2" fillId="0" borderId="0" xfId="4" applyNumberFormat="1" applyBorder="1" applyAlignment="1">
      <alignment horizontal="center"/>
    </xf>
    <xf numFmtId="166" fontId="2" fillId="0" borderId="5" xfId="4" applyNumberFormat="1" applyBorder="1" applyAlignment="1">
      <alignment horizontal="center"/>
    </xf>
    <xf numFmtId="175" fontId="2" fillId="0" borderId="0" xfId="4" applyNumberFormat="1"/>
    <xf numFmtId="0" fontId="12" fillId="0" borderId="6" xfId="5" applyFont="1" applyBorder="1" applyAlignment="1">
      <alignment horizontal="left" vertical="top"/>
    </xf>
    <xf numFmtId="166" fontId="2" fillId="0" borderId="7" xfId="4" applyNumberFormat="1" applyBorder="1" applyAlignment="1">
      <alignment horizontal="center"/>
    </xf>
    <xf numFmtId="166" fontId="2" fillId="0" borderId="8" xfId="4" applyNumberFormat="1" applyBorder="1" applyAlignment="1">
      <alignment horizontal="center"/>
    </xf>
    <xf numFmtId="0" fontId="10" fillId="0" borderId="9" xfId="4" applyFont="1" applyFill="1" applyBorder="1" applyAlignment="1">
      <alignment horizontal="center"/>
    </xf>
    <xf numFmtId="0" fontId="10" fillId="0" borderId="10" xfId="4" applyFont="1" applyFill="1" applyBorder="1" applyAlignment="1">
      <alignment horizontal="right"/>
    </xf>
    <xf numFmtId="0" fontId="10" fillId="0" borderId="11" xfId="4" applyFont="1" applyFill="1" applyBorder="1" applyAlignment="1">
      <alignment horizontal="right"/>
    </xf>
    <xf numFmtId="0" fontId="2" fillId="0" borderId="0" xfId="4" applyBorder="1"/>
    <xf numFmtId="0" fontId="2" fillId="0" borderId="0" xfId="4" applyFill="1" applyBorder="1" applyAlignment="1"/>
    <xf numFmtId="0" fontId="2" fillId="0" borderId="5" xfId="4" applyFill="1" applyBorder="1" applyAlignment="1"/>
    <xf numFmtId="0" fontId="10" fillId="0" borderId="0" xfId="4" applyFont="1" applyFill="1" applyBorder="1" applyAlignment="1">
      <alignment horizontal="center"/>
    </xf>
    <xf numFmtId="167" fontId="2" fillId="2" borderId="0" xfId="4" applyNumberFormat="1" applyFill="1" applyBorder="1" applyAlignment="1"/>
    <xf numFmtId="167" fontId="2" fillId="0" borderId="0" xfId="4" applyNumberFormat="1" applyFill="1" applyBorder="1" applyAlignment="1"/>
    <xf numFmtId="167" fontId="2" fillId="0" borderId="7" xfId="4" applyNumberFormat="1" applyFill="1" applyBorder="1" applyAlignment="1"/>
    <xf numFmtId="167" fontId="2" fillId="2" borderId="7" xfId="4" applyNumberFormat="1" applyFill="1" applyBorder="1" applyAlignment="1"/>
    <xf numFmtId="0" fontId="2" fillId="0" borderId="8" xfId="4" applyFill="1" applyBorder="1" applyAlignment="1"/>
    <xf numFmtId="0" fontId="2" fillId="0" borderId="12" xfId="4" applyBorder="1"/>
    <xf numFmtId="0" fontId="9" fillId="0" borderId="12" xfId="4" applyFont="1" applyBorder="1" applyAlignment="1">
      <alignment horizontal="right"/>
    </xf>
    <xf numFmtId="0" fontId="9" fillId="0" borderId="12" xfId="4" applyFont="1" applyBorder="1" applyAlignment="1">
      <alignment horizontal="center"/>
    </xf>
    <xf numFmtId="0" fontId="2" fillId="0" borderId="13" xfId="4" applyBorder="1"/>
    <xf numFmtId="0" fontId="2" fillId="0" borderId="14" xfId="4" applyBorder="1"/>
    <xf numFmtId="166" fontId="2" fillId="0" borderId="14" xfId="4" applyNumberFormat="1" applyBorder="1"/>
    <xf numFmtId="166" fontId="2" fillId="0" borderId="15" xfId="4" applyNumberFormat="1" applyBorder="1"/>
    <xf numFmtId="166" fontId="2" fillId="0" borderId="0" xfId="4" applyNumberFormat="1" applyBorder="1"/>
    <xf numFmtId="166" fontId="2" fillId="2" borderId="0" xfId="4" applyNumberFormat="1" applyFill="1" applyBorder="1"/>
    <xf numFmtId="166" fontId="2" fillId="0" borderId="5" xfId="4" applyNumberFormat="1" applyBorder="1"/>
    <xf numFmtId="166" fontId="2" fillId="0" borderId="7" xfId="4" applyNumberFormat="1" applyBorder="1"/>
    <xf numFmtId="166" fontId="2" fillId="2" borderId="8" xfId="4" applyNumberFormat="1" applyFill="1" applyBorder="1"/>
    <xf numFmtId="176" fontId="2" fillId="0" borderId="0" xfId="4" applyNumberFormat="1"/>
    <xf numFmtId="0" fontId="2" fillId="0" borderId="0" xfId="4" applyFont="1" applyFill="1" applyBorder="1" applyAlignment="1">
      <alignment horizontal="left" vertical="top"/>
    </xf>
    <xf numFmtId="0" fontId="9" fillId="0" borderId="0" xfId="4" applyFont="1" applyFill="1" applyBorder="1" applyAlignment="1">
      <alignment horizontal="left" vertical="top"/>
    </xf>
    <xf numFmtId="0" fontId="2" fillId="0" borderId="13" xfId="4" applyFill="1" applyBorder="1"/>
    <xf numFmtId="0" fontId="2" fillId="0" borderId="16" xfId="4" applyBorder="1"/>
    <xf numFmtId="166" fontId="2" fillId="0" borderId="8" xfId="4" applyNumberFormat="1" applyBorder="1"/>
    <xf numFmtId="0" fontId="9" fillId="0" borderId="1" xfId="4" applyFont="1" applyBorder="1" applyAlignment="1">
      <alignment horizontal="left"/>
    </xf>
    <xf numFmtId="0" fontId="9" fillId="0" borderId="17" xfId="4" applyFont="1" applyBorder="1" applyAlignment="1">
      <alignment horizontal="left"/>
    </xf>
    <xf numFmtId="0" fontId="13" fillId="0" borderId="13" xfId="5" applyFont="1" applyBorder="1"/>
    <xf numFmtId="0" fontId="2" fillId="0" borderId="0" xfId="4" applyNumberFormat="1" applyBorder="1"/>
    <xf numFmtId="0" fontId="2" fillId="0" borderId="5" xfId="4" applyBorder="1"/>
    <xf numFmtId="166" fontId="2" fillId="0" borderId="0" xfId="4" applyNumberFormat="1"/>
    <xf numFmtId="0" fontId="13" fillId="0" borderId="0" xfId="5" applyFont="1" applyBorder="1"/>
    <xf numFmtId="0" fontId="16" fillId="0" borderId="13" xfId="5" applyFont="1" applyBorder="1"/>
    <xf numFmtId="0" fontId="16" fillId="0" borderId="0" xfId="5" applyFont="1" applyBorder="1"/>
    <xf numFmtId="0" fontId="18" fillId="0" borderId="13" xfId="5" applyFont="1" applyBorder="1"/>
    <xf numFmtId="176" fontId="2" fillId="0" borderId="0" xfId="4" applyNumberFormat="1" applyBorder="1"/>
    <xf numFmtId="0" fontId="18" fillId="0" borderId="0" xfId="5" applyFont="1" applyBorder="1"/>
    <xf numFmtId="0" fontId="10" fillId="0" borderId="13" xfId="5" applyFont="1" applyBorder="1"/>
    <xf numFmtId="0" fontId="10" fillId="0" borderId="0" xfId="5" applyFont="1" applyBorder="1"/>
    <xf numFmtId="0" fontId="26" fillId="0" borderId="13" xfId="5" applyFont="1" applyBorder="1"/>
    <xf numFmtId="0" fontId="26" fillId="0" borderId="0" xfId="5" applyFont="1" applyBorder="1"/>
    <xf numFmtId="0" fontId="13" fillId="0" borderId="13" xfId="5" applyFont="1" applyFill="1" applyBorder="1"/>
    <xf numFmtId="0" fontId="13" fillId="0" borderId="0" xfId="5" applyFont="1" applyFill="1" applyBorder="1"/>
    <xf numFmtId="0" fontId="28" fillId="0" borderId="13" xfId="5" applyFont="1" applyBorder="1"/>
    <xf numFmtId="0" fontId="28" fillId="0" borderId="0" xfId="5" applyFont="1" applyBorder="1"/>
    <xf numFmtId="0" fontId="12" fillId="0" borderId="0" xfId="5" applyBorder="1"/>
    <xf numFmtId="166" fontId="2" fillId="8" borderId="5" xfId="4" applyNumberFormat="1" applyFill="1" applyBorder="1"/>
    <xf numFmtId="166" fontId="2" fillId="0" borderId="0" xfId="4" applyNumberFormat="1" applyFill="1" applyBorder="1"/>
    <xf numFmtId="177" fontId="2" fillId="0" borderId="7" xfId="4" applyNumberFormat="1" applyBorder="1"/>
    <xf numFmtId="0" fontId="2" fillId="0" borderId="7" xfId="4" applyBorder="1"/>
    <xf numFmtId="166" fontId="2" fillId="8" borderId="8" xfId="4" applyNumberFormat="1" applyFill="1" applyBorder="1"/>
    <xf numFmtId="177" fontId="2" fillId="0" borderId="0" xfId="4" applyNumberFormat="1"/>
    <xf numFmtId="10" fontId="8" fillId="0" borderId="0" xfId="0" applyNumberFormat="1" applyFont="1">
      <alignment vertical="center"/>
    </xf>
    <xf numFmtId="10" fontId="0" fillId="2" borderId="0" xfId="0" applyNumberFormat="1" applyFill="1">
      <alignment vertical="center"/>
    </xf>
    <xf numFmtId="2" fontId="0" fillId="0" borderId="0" xfId="0" applyNumberFormat="1">
      <alignment vertical="center"/>
    </xf>
    <xf numFmtId="9" fontId="0" fillId="2" borderId="0" xfId="2" applyFont="1" applyFill="1">
      <alignment vertical="center"/>
    </xf>
    <xf numFmtId="0" fontId="29" fillId="0" borderId="0" xfId="0" applyFont="1">
      <alignment vertical="center"/>
    </xf>
    <xf numFmtId="10" fontId="0" fillId="9" borderId="0" xfId="0" applyNumberFormat="1" applyFill="1">
      <alignment vertical="center"/>
    </xf>
    <xf numFmtId="10" fontId="0" fillId="10" borderId="0" xfId="0" applyNumberFormat="1" applyFill="1">
      <alignment vertical="center"/>
    </xf>
    <xf numFmtId="0" fontId="2" fillId="0" borderId="0" xfId="0" applyFont="1">
      <alignment vertical="center"/>
    </xf>
    <xf numFmtId="0" fontId="1" fillId="0" borderId="0" xfId="4" applyFont="1"/>
    <xf numFmtId="0" fontId="9" fillId="0" borderId="0" xfId="4" applyFont="1" applyAlignment="1">
      <alignment horizontal="left"/>
    </xf>
    <xf numFmtId="0" fontId="9" fillId="0" borderId="0" xfId="4" applyFont="1" applyFill="1" applyBorder="1" applyAlignment="1">
      <alignment horizontal="left" vertical="top"/>
    </xf>
    <xf numFmtId="0" fontId="9" fillId="0" borderId="0" xfId="4" applyFont="1"/>
  </cellXfs>
  <cellStyles count="6">
    <cellStyle name="Normal 2" xfId="5"/>
    <cellStyle name="Normal 2 2" xfId="4"/>
    <cellStyle name="백분율" xfId="2" builtinId="5"/>
    <cellStyle name="쉼표 [0]" xfId="1" builtinId="6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RawData!$E$4:$E$52</c:f>
              <c:numCache>
                <c:formatCode>General</c:formatCode>
                <c:ptCount val="49"/>
                <c:pt idx="0">
                  <c:v>0.10412170923380176</c:v>
                </c:pt>
                <c:pt idx="1">
                  <c:v>0.12420815838614464</c:v>
                </c:pt>
                <c:pt idx="2">
                  <c:v>-7.1465570888592511E-2</c:v>
                </c:pt>
                <c:pt idx="3">
                  <c:v>-0.15427896398127061</c:v>
                </c:pt>
                <c:pt idx="4">
                  <c:v>-4.5472804003200848E-2</c:v>
                </c:pt>
                <c:pt idx="5">
                  <c:v>-2.2334083339171279E-2</c:v>
                </c:pt>
                <c:pt idx="6">
                  <c:v>-2.3704957438406234E-2</c:v>
                </c:pt>
                <c:pt idx="7">
                  <c:v>9.4202406911840078E-2</c:v>
                </c:pt>
                <c:pt idx="8">
                  <c:v>-8.2218942256415947E-2</c:v>
                </c:pt>
                <c:pt idx="9">
                  <c:v>-4.8948207537341464E-2</c:v>
                </c:pt>
                <c:pt idx="10">
                  <c:v>-0.10063452072884237</c:v>
                </c:pt>
                <c:pt idx="11">
                  <c:v>-0.18339489947916957</c:v>
                </c:pt>
                <c:pt idx="12">
                  <c:v>0.35176210553738535</c:v>
                </c:pt>
                <c:pt idx="13">
                  <c:v>2.9777878479918724E-3</c:v>
                </c:pt>
                <c:pt idx="14">
                  <c:v>-3.3991842504442614E-2</c:v>
                </c:pt>
                <c:pt idx="15">
                  <c:v>-0.19263664239994921</c:v>
                </c:pt>
                <c:pt idx="16">
                  <c:v>2.6208788697671927E-2</c:v>
                </c:pt>
                <c:pt idx="17">
                  <c:v>0.13847846041461601</c:v>
                </c:pt>
                <c:pt idx="18">
                  <c:v>-2.6801591245031113E-2</c:v>
                </c:pt>
                <c:pt idx="19">
                  <c:v>6.3693323945822972E-2</c:v>
                </c:pt>
                <c:pt idx="20">
                  <c:v>-3.058495086908081E-2</c:v>
                </c:pt>
                <c:pt idx="21">
                  <c:v>3.6421579685985285E-2</c:v>
                </c:pt>
                <c:pt idx="22">
                  <c:v>0.16411197001247024</c:v>
                </c:pt>
                <c:pt idx="23">
                  <c:v>8.4788160357744544E-2</c:v>
                </c:pt>
                <c:pt idx="24">
                  <c:v>-3.9527016980709213E-2</c:v>
                </c:pt>
                <c:pt idx="25">
                  <c:v>-7.8421495782783873E-2</c:v>
                </c:pt>
                <c:pt idx="26">
                  <c:v>-6.8332127092424616E-2</c:v>
                </c:pt>
                <c:pt idx="27">
                  <c:v>0.14300973672874323</c:v>
                </c:pt>
                <c:pt idx="28">
                  <c:v>1.5572558952151828E-2</c:v>
                </c:pt>
                <c:pt idx="29">
                  <c:v>4.6798269165344991E-2</c:v>
                </c:pt>
                <c:pt idx="30">
                  <c:v>6.8714598520153547E-2</c:v>
                </c:pt>
                <c:pt idx="31">
                  <c:v>5.8513907922028312E-2</c:v>
                </c:pt>
                <c:pt idx="32">
                  <c:v>0.14026593843736451</c:v>
                </c:pt>
                <c:pt idx="33">
                  <c:v>9.5052088551431699E-2</c:v>
                </c:pt>
                <c:pt idx="34">
                  <c:v>0.10287926948544197</c:v>
                </c:pt>
                <c:pt idx="35">
                  <c:v>5.6321935280809815E-3</c:v>
                </c:pt>
                <c:pt idx="36">
                  <c:v>6.8147120347444134E-2</c:v>
                </c:pt>
                <c:pt idx="37">
                  <c:v>-4.3159429075369515E-2</c:v>
                </c:pt>
                <c:pt idx="38">
                  <c:v>-2.6610302742415104E-2</c:v>
                </c:pt>
                <c:pt idx="39">
                  <c:v>0.16954920231869064</c:v>
                </c:pt>
                <c:pt idx="40">
                  <c:v>-9.3041445349282201E-2</c:v>
                </c:pt>
                <c:pt idx="41">
                  <c:v>-1.4066484133222847E-2</c:v>
                </c:pt>
                <c:pt idx="42">
                  <c:v>-2.7619962707726251E-2</c:v>
                </c:pt>
                <c:pt idx="43">
                  <c:v>0.10350488267413797</c:v>
                </c:pt>
                <c:pt idx="44">
                  <c:v>-6.5100920569630405E-2</c:v>
                </c:pt>
                <c:pt idx="45">
                  <c:v>9.1211976011408707E-3</c:v>
                </c:pt>
                <c:pt idx="46">
                  <c:v>-6.7494699671693761E-2</c:v>
                </c:pt>
                <c:pt idx="47">
                  <c:v>-6.0353247357561778E-2</c:v>
                </c:pt>
                <c:pt idx="48">
                  <c:v>-0.14936729733800996</c:v>
                </c:pt>
              </c:numCache>
            </c:numRef>
          </c:xVal>
          <c:yVal>
            <c:numRef>
              <c:f>RawData!$F$4:$F$52</c:f>
              <c:numCache>
                <c:formatCode>General</c:formatCode>
                <c:ptCount val="49"/>
                <c:pt idx="0">
                  <c:v>-5.4098270939564909E-2</c:v>
                </c:pt>
                <c:pt idx="1">
                  <c:v>0.10311883282895394</c:v>
                </c:pt>
                <c:pt idx="2">
                  <c:v>-8.7236928314820938E-2</c:v>
                </c:pt>
                <c:pt idx="3">
                  <c:v>0.13309225361240848</c:v>
                </c:pt>
                <c:pt idx="4">
                  <c:v>6.979926145102977E-2</c:v>
                </c:pt>
                <c:pt idx="5">
                  <c:v>-2.1429575778836519E-2</c:v>
                </c:pt>
                <c:pt idx="6">
                  <c:v>0.12532119723543961</c:v>
                </c:pt>
                <c:pt idx="7">
                  <c:v>1.750908271209033E-2</c:v>
                </c:pt>
                <c:pt idx="8">
                  <c:v>1.1258945233946025E-2</c:v>
                </c:pt>
                <c:pt idx="9">
                  <c:v>0.21116214077099557</c:v>
                </c:pt>
                <c:pt idx="10">
                  <c:v>-4.435259095652358E-2</c:v>
                </c:pt>
                <c:pt idx="11">
                  <c:v>-1.9516389627689909E-3</c:v>
                </c:pt>
                <c:pt idx="12">
                  <c:v>0.20108086476498516</c:v>
                </c:pt>
                <c:pt idx="13">
                  <c:v>6.0295573215258073E-2</c:v>
                </c:pt>
                <c:pt idx="14">
                  <c:v>1.6544137611092583E-2</c:v>
                </c:pt>
                <c:pt idx="15">
                  <c:v>-0.14100554327369297</c:v>
                </c:pt>
                <c:pt idx="16">
                  <c:v>-6.0535151798553274E-2</c:v>
                </c:pt>
                <c:pt idx="17">
                  <c:v>7.178343226591305E-2</c:v>
                </c:pt>
                <c:pt idx="18">
                  <c:v>0.10534537050612541</c:v>
                </c:pt>
                <c:pt idx="19">
                  <c:v>9.1500222297398293E-2</c:v>
                </c:pt>
                <c:pt idx="20">
                  <c:v>-9.9694002672957097E-3</c:v>
                </c:pt>
                <c:pt idx="21">
                  <c:v>5.8602121209846161E-2</c:v>
                </c:pt>
                <c:pt idx="22">
                  <c:v>1.354756113762587E-2</c:v>
                </c:pt>
                <c:pt idx="23">
                  <c:v>8.4895394721912362E-2</c:v>
                </c:pt>
                <c:pt idx="24">
                  <c:v>-5.8389289639810826E-2</c:v>
                </c:pt>
                <c:pt idx="25">
                  <c:v>-5.0972153058414578E-2</c:v>
                </c:pt>
                <c:pt idx="26">
                  <c:v>2.3815776767489815E-2</c:v>
                </c:pt>
                <c:pt idx="27">
                  <c:v>6.8890534483602384E-2</c:v>
                </c:pt>
                <c:pt idx="28">
                  <c:v>2.5844699026700214E-2</c:v>
                </c:pt>
                <c:pt idx="29">
                  <c:v>4.7942283463512946E-2</c:v>
                </c:pt>
                <c:pt idx="30">
                  <c:v>4.245669488810043E-2</c:v>
                </c:pt>
                <c:pt idx="31">
                  <c:v>7.2577833805534647E-2</c:v>
                </c:pt>
                <c:pt idx="32">
                  <c:v>-2.7128662361207066E-2</c:v>
                </c:pt>
                <c:pt idx="33">
                  <c:v>2.0227942970172167E-2</c:v>
                </c:pt>
                <c:pt idx="34">
                  <c:v>-7.2954255044278991E-3</c:v>
                </c:pt>
                <c:pt idx="35">
                  <c:v>-1.982608308886917E-2</c:v>
                </c:pt>
                <c:pt idx="36">
                  <c:v>0.13951548010250206</c:v>
                </c:pt>
                <c:pt idx="37">
                  <c:v>6.2657678525297536E-2</c:v>
                </c:pt>
                <c:pt idx="38">
                  <c:v>-6.2057713716230263E-3</c:v>
                </c:pt>
                <c:pt idx="39">
                  <c:v>0.21562654165297973</c:v>
                </c:pt>
                <c:pt idx="40">
                  <c:v>4.1553648546959927E-2</c:v>
                </c:pt>
                <c:pt idx="41">
                  <c:v>-4.4003454669149025E-2</c:v>
                </c:pt>
                <c:pt idx="42">
                  <c:v>7.8880245905968011E-2</c:v>
                </c:pt>
                <c:pt idx="43">
                  <c:v>3.9739244373114081E-2</c:v>
                </c:pt>
                <c:pt idx="44">
                  <c:v>4.2163770171944864E-2</c:v>
                </c:pt>
                <c:pt idx="45">
                  <c:v>4.4663467748158651E-2</c:v>
                </c:pt>
                <c:pt idx="46">
                  <c:v>0.12430795965848446</c:v>
                </c:pt>
                <c:pt idx="47">
                  <c:v>-4.8359966322712193E-3</c:v>
                </c:pt>
                <c:pt idx="48">
                  <c:v>-0.152693936849538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31-4D47-A9E9-05517A232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77824"/>
        <c:axId val="1918473664"/>
      </c:scatterChart>
      <c:valAx>
        <c:axId val="191847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73664"/>
        <c:crosses val="autoZero"/>
        <c:crossBetween val="midCat"/>
      </c:valAx>
      <c:valAx>
        <c:axId val="19184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7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Port!$B$18:$B$34</c:f>
              <c:numCache>
                <c:formatCode>0.00%</c:formatCode>
                <c:ptCount val="17"/>
                <c:pt idx="0">
                  <c:v>9.7047171993232803E-2</c:v>
                </c:pt>
                <c:pt idx="1">
                  <c:v>8.9913728642809193E-2</c:v>
                </c:pt>
                <c:pt idx="2">
                  <c:v>8.3584887634674823E-2</c:v>
                </c:pt>
                <c:pt idx="3">
                  <c:v>7.825610595493214E-2</c:v>
                </c:pt>
                <c:pt idx="4">
                  <c:v>7.4143324941883901E-2</c:v>
                </c:pt>
                <c:pt idx="5">
                  <c:v>7.1456819013484399E-2</c:v>
                </c:pt>
                <c:pt idx="6">
                  <c:v>7.0360153279351301E-2</c:v>
                </c:pt>
                <c:pt idx="7">
                  <c:v>7.092711182151451E-2</c:v>
                </c:pt>
                <c:pt idx="8">
                  <c:v>7.3119006072766765E-2</c:v>
                </c:pt>
                <c:pt idx="9">
                  <c:v>7.6796827686284319E-2</c:v>
                </c:pt>
                <c:pt idx="10">
                  <c:v>8.1760297652126085E-2</c:v>
                </c:pt>
                <c:pt idx="11">
                  <c:v>8.7791626238107309E-2</c:v>
                </c:pt>
                <c:pt idx="12">
                  <c:v>9.4686972909575423E-2</c:v>
                </c:pt>
                <c:pt idx="13">
                  <c:v>0.10227172569144256</c:v>
                </c:pt>
                <c:pt idx="14">
                  <c:v>0.11040388919287467</c:v>
                </c:pt>
                <c:pt idx="15">
                  <c:v>0.11897126315963566</c:v>
                </c:pt>
                <c:pt idx="16">
                  <c:v>0.12788641054688291</c:v>
                </c:pt>
              </c:numCache>
            </c:numRef>
          </c:xVal>
          <c:yVal>
            <c:numRef>
              <c:f>Port!$C$18:$C$34</c:f>
              <c:numCache>
                <c:formatCode>0.00%</c:formatCode>
                <c:ptCount val="17"/>
                <c:pt idx="0">
                  <c:v>4.1540316598368605E-2</c:v>
                </c:pt>
                <c:pt idx="1">
                  <c:v>3.9079873107743517E-2</c:v>
                </c:pt>
                <c:pt idx="2">
                  <c:v>3.6619429617118449E-2</c:v>
                </c:pt>
                <c:pt idx="3">
                  <c:v>3.415898612649336E-2</c:v>
                </c:pt>
                <c:pt idx="4">
                  <c:v>3.1698542635868278E-2</c:v>
                </c:pt>
                <c:pt idx="5">
                  <c:v>2.9238099145243203E-2</c:v>
                </c:pt>
                <c:pt idx="6">
                  <c:v>2.6777655654618114E-2</c:v>
                </c:pt>
                <c:pt idx="7">
                  <c:v>2.4317212163993036E-2</c:v>
                </c:pt>
                <c:pt idx="8">
                  <c:v>2.1856768673367957E-2</c:v>
                </c:pt>
                <c:pt idx="9">
                  <c:v>1.9396325182742879E-2</c:v>
                </c:pt>
                <c:pt idx="10">
                  <c:v>1.6935881692117797E-2</c:v>
                </c:pt>
                <c:pt idx="11">
                  <c:v>1.4475438201492715E-2</c:v>
                </c:pt>
                <c:pt idx="12">
                  <c:v>1.2014994710867635E-2</c:v>
                </c:pt>
                <c:pt idx="13">
                  <c:v>9.5545512202425548E-3</c:v>
                </c:pt>
                <c:pt idx="14">
                  <c:v>7.094107729617472E-3</c:v>
                </c:pt>
                <c:pt idx="15">
                  <c:v>4.6336642389923953E-3</c:v>
                </c:pt>
                <c:pt idx="16">
                  <c:v>2.1732207483673126E-3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18-477D-AD84-6BE6C61EA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40416"/>
        <c:axId val="1962538752"/>
      </c:scatterChart>
      <c:valAx>
        <c:axId val="196254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538752"/>
        <c:crosses val="autoZero"/>
        <c:crossBetween val="midCat"/>
      </c:valAx>
      <c:valAx>
        <c:axId val="196253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54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Port_Rf!$B$18:$B$34</c:f>
              <c:numCache>
                <c:formatCode>0.00%</c:formatCode>
                <c:ptCount val="17"/>
                <c:pt idx="0">
                  <c:v>0.10173293774141179</c:v>
                </c:pt>
                <c:pt idx="1">
                  <c:v>9.3907327145918568E-2</c:v>
                </c:pt>
                <c:pt idx="2">
                  <c:v>8.6081716550425361E-2</c:v>
                </c:pt>
                <c:pt idx="3">
                  <c:v>7.825610595493214E-2</c:v>
                </c:pt>
                <c:pt idx="4">
                  <c:v>7.0430495359438933E-2</c:v>
                </c:pt>
                <c:pt idx="5">
                  <c:v>6.2604884763945712E-2</c:v>
                </c:pt>
                <c:pt idx="6">
                  <c:v>5.4779274168452491E-2</c:v>
                </c:pt>
                <c:pt idx="7">
                  <c:v>4.6953663572959284E-2</c:v>
                </c:pt>
                <c:pt idx="8">
                  <c:v>3.912805297746607E-2</c:v>
                </c:pt>
                <c:pt idx="9">
                  <c:v>3.1302442381972856E-2</c:v>
                </c:pt>
                <c:pt idx="10">
                  <c:v>2.3476831786479645E-2</c:v>
                </c:pt>
                <c:pt idx="11">
                  <c:v>1.5651221190986424E-2</c:v>
                </c:pt>
                <c:pt idx="12">
                  <c:v>7.8256105954932122E-3</c:v>
                </c:pt>
                <c:pt idx="13">
                  <c:v>0</c:v>
                </c:pt>
                <c:pt idx="14">
                  <c:v>7.8256105954932209E-3</c:v>
                </c:pt>
                <c:pt idx="15">
                  <c:v>1.5651221190986424E-2</c:v>
                </c:pt>
                <c:pt idx="16">
                  <c:v>2.3476831786479645E-2</c:v>
                </c:pt>
              </c:numCache>
            </c:numRef>
          </c:xVal>
          <c:yVal>
            <c:numRef>
              <c:f>Port_Rf!$C$18:$C$34</c:f>
              <c:numCache>
                <c:formatCode>0.00%</c:formatCode>
                <c:ptCount val="17"/>
                <c:pt idx="0">
                  <c:v>4.1540316598368605E-2</c:v>
                </c:pt>
                <c:pt idx="1">
                  <c:v>3.9079873107743517E-2</c:v>
                </c:pt>
                <c:pt idx="2">
                  <c:v>3.6619429617118449E-2</c:v>
                </c:pt>
                <c:pt idx="3">
                  <c:v>3.415898612649336E-2</c:v>
                </c:pt>
                <c:pt idx="4">
                  <c:v>3.1698542635868278E-2</c:v>
                </c:pt>
                <c:pt idx="5">
                  <c:v>2.9238099145243203E-2</c:v>
                </c:pt>
                <c:pt idx="6">
                  <c:v>2.6777655654618114E-2</c:v>
                </c:pt>
                <c:pt idx="7">
                  <c:v>2.4317212163993036E-2</c:v>
                </c:pt>
                <c:pt idx="8">
                  <c:v>2.1856768673367957E-2</c:v>
                </c:pt>
                <c:pt idx="9">
                  <c:v>1.9396325182742879E-2</c:v>
                </c:pt>
                <c:pt idx="10">
                  <c:v>1.6935881692117797E-2</c:v>
                </c:pt>
                <c:pt idx="11">
                  <c:v>1.4475438201492715E-2</c:v>
                </c:pt>
                <c:pt idx="12">
                  <c:v>1.2014994710867635E-2</c:v>
                </c:pt>
                <c:pt idx="13">
                  <c:v>9.5545512202425548E-3</c:v>
                </c:pt>
                <c:pt idx="14">
                  <c:v>7.094107729617472E-3</c:v>
                </c:pt>
                <c:pt idx="15">
                  <c:v>4.6336642389923953E-3</c:v>
                </c:pt>
                <c:pt idx="16">
                  <c:v>2.1732207483673126E-3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53-4808-AB83-2DDFDE35B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40416"/>
        <c:axId val="1962538752"/>
      </c:scatterChart>
      <c:valAx>
        <c:axId val="196254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538752"/>
        <c:crosses val="autoZero"/>
        <c:crossBetween val="midCat"/>
      </c:valAx>
      <c:valAx>
        <c:axId val="196253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54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Port_Random!$B$21:$B$52</c:f>
              <c:numCache>
                <c:formatCode>0.00%</c:formatCode>
                <c:ptCount val="32"/>
                <c:pt idx="0">
                  <c:v>0.59531678541764632</c:v>
                </c:pt>
                <c:pt idx="1">
                  <c:v>0.56593524364541914</c:v>
                </c:pt>
                <c:pt idx="2">
                  <c:v>0.53717657711408084</c:v>
                </c:pt>
                <c:pt idx="3">
                  <c:v>0.50914634438440187</c:v>
                </c:pt>
                <c:pt idx="4">
                  <c:v>0.4819716537307977</c:v>
                </c:pt>
                <c:pt idx="5">
                  <c:v>0.4558055506463255</c:v>
                </c:pt>
                <c:pt idx="6">
                  <c:v>0.43083184074531905</c:v>
                </c:pt>
                <c:pt idx="7">
                  <c:v>0.40726993505536346</c:v>
                </c:pt>
                <c:pt idx="8">
                  <c:v>0.38537887202076865</c:v>
                </c:pt>
                <c:pt idx="9">
                  <c:v>0.36545902643114453</c:v>
                </c:pt>
                <c:pt idx="10">
                  <c:v>0.34784921302196442</c:v>
                </c:pt>
                <c:pt idx="11">
                  <c:v>0.33291620567343966</c:v>
                </c:pt>
                <c:pt idx="12">
                  <c:v>0.32103375990696054</c:v>
                </c:pt>
                <c:pt idx="13">
                  <c:v>0.31254999600063987</c:v>
                </c:pt>
                <c:pt idx="14">
                  <c:v>0.30774612101535903</c:v>
                </c:pt>
                <c:pt idx="15">
                  <c:v>0.30679504559233023</c:v>
                </c:pt>
                <c:pt idx="16">
                  <c:v>0.30973226341471111</c:v>
                </c:pt>
                <c:pt idx="17">
                  <c:v>0.31644952204103577</c:v>
                </c:pt>
                <c:pt idx="18">
                  <c:v>0.32671375085845411</c:v>
                </c:pt>
                <c:pt idx="19">
                  <c:v>0.34020405641320617</c:v>
                </c:pt>
                <c:pt idx="20">
                  <c:v>0.35655444885739396</c:v>
                </c:pt>
                <c:pt idx="21">
                  <c:v>0.37539139574582681</c:v>
                </c:pt>
                <c:pt idx="22">
                  <c:v>0.39636053663300019</c:v>
                </c:pt>
                <c:pt idx="23">
                  <c:v>0.41914198071775155</c:v>
                </c:pt>
                <c:pt idx="24">
                  <c:v>0.44345650857778585</c:v>
                </c:pt>
                <c:pt idx="25">
                  <c:v>0.46906577363947577</c:v>
                </c:pt>
                <c:pt idx="26">
                  <c:v>0.49576917512084173</c:v>
                </c:pt>
                <c:pt idx="27">
                  <c:v>0.52339927397733355</c:v>
                </c:pt>
                <c:pt idx="28">
                  <c:v>0.31622776601683794</c:v>
                </c:pt>
                <c:pt idx="29">
                  <c:v>0.54772255750516607</c:v>
                </c:pt>
                <c:pt idx="30">
                  <c:v>0.63245553203367588</c:v>
                </c:pt>
                <c:pt idx="31">
                  <c:v>0.70710678118654757</c:v>
                </c:pt>
              </c:numCache>
            </c:numRef>
          </c:xVal>
          <c:yVal>
            <c:numRef>
              <c:f>Port_Random!$D$21:$D$52</c:f>
              <c:numCache>
                <c:formatCode>General</c:formatCode>
                <c:ptCount val="32"/>
                <c:pt idx="28" formatCode="0%">
                  <c:v>0.06</c:v>
                </c:pt>
                <c:pt idx="29" formatCode="0%">
                  <c:v>0.08</c:v>
                </c:pt>
                <c:pt idx="30" formatCode="0%">
                  <c:v>0.1</c:v>
                </c:pt>
                <c:pt idx="31" formatCode="0%">
                  <c:v>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F9-483C-B188-96E6C3032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237888"/>
        <c:axId val="1967237056"/>
      </c:scatterChar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Port_Random!$B$21:$B$52</c:f>
              <c:numCache>
                <c:formatCode>0.00%</c:formatCode>
                <c:ptCount val="32"/>
                <c:pt idx="0">
                  <c:v>0.59531678541764632</c:v>
                </c:pt>
                <c:pt idx="1">
                  <c:v>0.56593524364541914</c:v>
                </c:pt>
                <c:pt idx="2">
                  <c:v>0.53717657711408084</c:v>
                </c:pt>
                <c:pt idx="3">
                  <c:v>0.50914634438440187</c:v>
                </c:pt>
                <c:pt idx="4">
                  <c:v>0.4819716537307977</c:v>
                </c:pt>
                <c:pt idx="5">
                  <c:v>0.4558055506463255</c:v>
                </c:pt>
                <c:pt idx="6">
                  <c:v>0.43083184074531905</c:v>
                </c:pt>
                <c:pt idx="7">
                  <c:v>0.40726993505536346</c:v>
                </c:pt>
                <c:pt idx="8">
                  <c:v>0.38537887202076865</c:v>
                </c:pt>
                <c:pt idx="9">
                  <c:v>0.36545902643114453</c:v>
                </c:pt>
                <c:pt idx="10">
                  <c:v>0.34784921302196442</c:v>
                </c:pt>
                <c:pt idx="11">
                  <c:v>0.33291620567343966</c:v>
                </c:pt>
                <c:pt idx="12">
                  <c:v>0.32103375990696054</c:v>
                </c:pt>
                <c:pt idx="13">
                  <c:v>0.31254999600063987</c:v>
                </c:pt>
                <c:pt idx="14">
                  <c:v>0.30774612101535903</c:v>
                </c:pt>
                <c:pt idx="15">
                  <c:v>0.30679504559233023</c:v>
                </c:pt>
                <c:pt idx="16">
                  <c:v>0.30973226341471111</c:v>
                </c:pt>
                <c:pt idx="17">
                  <c:v>0.31644952204103577</c:v>
                </c:pt>
                <c:pt idx="18">
                  <c:v>0.32671375085845411</c:v>
                </c:pt>
                <c:pt idx="19">
                  <c:v>0.34020405641320617</c:v>
                </c:pt>
                <c:pt idx="20">
                  <c:v>0.35655444885739396</c:v>
                </c:pt>
                <c:pt idx="21">
                  <c:v>0.37539139574582681</c:v>
                </c:pt>
                <c:pt idx="22">
                  <c:v>0.39636053663300019</c:v>
                </c:pt>
                <c:pt idx="23">
                  <c:v>0.41914198071775155</c:v>
                </c:pt>
                <c:pt idx="24">
                  <c:v>0.44345650857778585</c:v>
                </c:pt>
                <c:pt idx="25">
                  <c:v>0.46906577363947577</c:v>
                </c:pt>
                <c:pt idx="26">
                  <c:v>0.49576917512084173</c:v>
                </c:pt>
                <c:pt idx="27">
                  <c:v>0.52339927397733355</c:v>
                </c:pt>
                <c:pt idx="28">
                  <c:v>0.31622776601683794</c:v>
                </c:pt>
                <c:pt idx="29">
                  <c:v>0.54772255750516607</c:v>
                </c:pt>
                <c:pt idx="30">
                  <c:v>0.63245553203367588</c:v>
                </c:pt>
                <c:pt idx="31">
                  <c:v>0.70710678118654757</c:v>
                </c:pt>
              </c:numCache>
            </c:numRef>
          </c:xVal>
          <c:yVal>
            <c:numRef>
              <c:f>Port_Random!$C$21:$C$52</c:f>
              <c:numCache>
                <c:formatCode>0.00%</c:formatCode>
                <c:ptCount val="32"/>
                <c:pt idx="0">
                  <c:v>0.13845000000000002</c:v>
                </c:pt>
                <c:pt idx="1">
                  <c:v>0.13529999999999998</c:v>
                </c:pt>
                <c:pt idx="2">
                  <c:v>0.13215000000000002</c:v>
                </c:pt>
                <c:pt idx="3">
                  <c:v>0.129</c:v>
                </c:pt>
                <c:pt idx="4">
                  <c:v>0.12585000000000002</c:v>
                </c:pt>
                <c:pt idx="5">
                  <c:v>0.12270000000000002</c:v>
                </c:pt>
                <c:pt idx="6">
                  <c:v>0.11954999999999999</c:v>
                </c:pt>
                <c:pt idx="7">
                  <c:v>0.1164</c:v>
                </c:pt>
                <c:pt idx="8">
                  <c:v>0.11325</c:v>
                </c:pt>
                <c:pt idx="9">
                  <c:v>0.1101</c:v>
                </c:pt>
                <c:pt idx="10">
                  <c:v>0.10694999999999999</c:v>
                </c:pt>
                <c:pt idx="11">
                  <c:v>0.1038</c:v>
                </c:pt>
                <c:pt idx="12">
                  <c:v>0.10065</c:v>
                </c:pt>
                <c:pt idx="13">
                  <c:v>9.7500000000000003E-2</c:v>
                </c:pt>
                <c:pt idx="14">
                  <c:v>9.4350000000000003E-2</c:v>
                </c:pt>
                <c:pt idx="15">
                  <c:v>9.1200000000000003E-2</c:v>
                </c:pt>
                <c:pt idx="16">
                  <c:v>8.8049999999999989E-2</c:v>
                </c:pt>
                <c:pt idx="17">
                  <c:v>8.4899999999999989E-2</c:v>
                </c:pt>
                <c:pt idx="18">
                  <c:v>8.1749999999999989E-2</c:v>
                </c:pt>
                <c:pt idx="19">
                  <c:v>7.8600000000000017E-2</c:v>
                </c:pt>
                <c:pt idx="20">
                  <c:v>7.5450000000000017E-2</c:v>
                </c:pt>
                <c:pt idx="21">
                  <c:v>7.2300000000000003E-2</c:v>
                </c:pt>
                <c:pt idx="22">
                  <c:v>6.9150000000000003E-2</c:v>
                </c:pt>
                <c:pt idx="23">
                  <c:v>6.6000000000000003E-2</c:v>
                </c:pt>
                <c:pt idx="24">
                  <c:v>6.2849999999999989E-2</c:v>
                </c:pt>
                <c:pt idx="25">
                  <c:v>5.9700000000000003E-2</c:v>
                </c:pt>
                <c:pt idx="26">
                  <c:v>5.6549999999999989E-2</c:v>
                </c:pt>
                <c:pt idx="27">
                  <c:v>5.3400000000000003E-2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F9-483C-B188-96E6C3032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237888"/>
        <c:axId val="1967237056"/>
      </c:scatterChart>
      <c:valAx>
        <c:axId val="196723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37056"/>
        <c:crosses val="autoZero"/>
        <c:crossBetween val="midCat"/>
      </c:valAx>
      <c:valAx>
        <c:axId val="196723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3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Port_Random!$S$4:$S$55</c:f>
              <c:numCache>
                <c:formatCode>0.00%</c:formatCode>
                <c:ptCount val="52"/>
                <c:pt idx="0">
                  <c:v>1.8348966082633764</c:v>
                </c:pt>
                <c:pt idx="1">
                  <c:v>0.93545965692426203</c:v>
                </c:pt>
                <c:pt idx="2">
                  <c:v>1.2927315602637557</c:v>
                </c:pt>
                <c:pt idx="3">
                  <c:v>0.48272904557641433</c:v>
                </c:pt>
                <c:pt idx="4">
                  <c:v>0.30821312190041539</c:v>
                </c:pt>
                <c:pt idx="5">
                  <c:v>0.93536435362700621</c:v>
                </c:pt>
                <c:pt idx="6">
                  <c:v>1.006956653707193</c:v>
                </c:pt>
                <c:pt idx="7">
                  <c:v>0.39505855020550196</c:v>
                </c:pt>
                <c:pt idx="8">
                  <c:v>1.6269345302545397</c:v>
                </c:pt>
                <c:pt idx="9">
                  <c:v>0.94968385775206721</c:v>
                </c:pt>
                <c:pt idx="10">
                  <c:v>0.8158414741540071</c:v>
                </c:pt>
                <c:pt idx="11">
                  <c:v>1.2740664406575206</c:v>
                </c:pt>
                <c:pt idx="12">
                  <c:v>0.63357558349670406</c:v>
                </c:pt>
                <c:pt idx="13">
                  <c:v>1.2937979876776555</c:v>
                </c:pt>
                <c:pt idx="14">
                  <c:v>0.80081880532023064</c:v>
                </c:pt>
                <c:pt idx="15">
                  <c:v>0.36617242017623769</c:v>
                </c:pt>
                <c:pt idx="16">
                  <c:v>1.3493335528129282</c:v>
                </c:pt>
                <c:pt idx="17">
                  <c:v>1.7377860590675236</c:v>
                </c:pt>
                <c:pt idx="18">
                  <c:v>2.2287522343634181</c:v>
                </c:pt>
                <c:pt idx="19">
                  <c:v>0.50560310867803848</c:v>
                </c:pt>
                <c:pt idx="20">
                  <c:v>1.0484461182343903</c:v>
                </c:pt>
                <c:pt idx="21">
                  <c:v>0.56908204611938373</c:v>
                </c:pt>
                <c:pt idx="22">
                  <c:v>1.185628365985105</c:v>
                </c:pt>
                <c:pt idx="23">
                  <c:v>0.77906974726330858</c:v>
                </c:pt>
                <c:pt idx="24">
                  <c:v>0.5937028165677537</c:v>
                </c:pt>
                <c:pt idx="25">
                  <c:v>0.60751279263575508</c:v>
                </c:pt>
                <c:pt idx="26">
                  <c:v>0.93799414473585263</c:v>
                </c:pt>
                <c:pt idx="27">
                  <c:v>1.1196587355751442</c:v>
                </c:pt>
                <c:pt idx="28">
                  <c:v>0.55658122425416001</c:v>
                </c:pt>
                <c:pt idx="29">
                  <c:v>0.87830663802178488</c:v>
                </c:pt>
                <c:pt idx="30">
                  <c:v>0.31622776601683794</c:v>
                </c:pt>
                <c:pt idx="31">
                  <c:v>0.54772255750516607</c:v>
                </c:pt>
                <c:pt idx="32">
                  <c:v>0.63245553203367588</c:v>
                </c:pt>
                <c:pt idx="33">
                  <c:v>0.70710678118654757</c:v>
                </c:pt>
                <c:pt idx="34">
                  <c:v>0.2649580072312161</c:v>
                </c:pt>
                <c:pt idx="35">
                  <c:v>1.2469714822747824</c:v>
                </c:pt>
                <c:pt idx="36">
                  <c:v>1.0617758473653189</c:v>
                </c:pt>
                <c:pt idx="37">
                  <c:v>0.8787728054835392</c:v>
                </c:pt>
                <c:pt idx="38">
                  <c:v>0.69968489938955736</c:v>
                </c:pt>
                <c:pt idx="39">
                  <c:v>0.5285072320956804</c:v>
                </c:pt>
                <c:pt idx="40">
                  <c:v>0.37619735709916446</c:v>
                </c:pt>
                <c:pt idx="41">
                  <c:v>0.27599389443727146</c:v>
                </c:pt>
                <c:pt idx="42">
                  <c:v>0.28855576447578352</c:v>
                </c:pt>
                <c:pt idx="43">
                  <c:v>0.40348463393920275</c:v>
                </c:pt>
                <c:pt idx="44">
                  <c:v>0.56105159442354169</c:v>
                </c:pt>
                <c:pt idx="45">
                  <c:v>0.73430344855014829</c:v>
                </c:pt>
                <c:pt idx="46">
                  <c:v>0.9143674527603104</c:v>
                </c:pt>
                <c:pt idx="47">
                  <c:v>1.0978969641771559</c:v>
                </c:pt>
                <c:pt idx="48">
                  <c:v>1.2834061206020257</c:v>
                </c:pt>
                <c:pt idx="49">
                  <c:v>1.470145713191513</c:v>
                </c:pt>
                <c:pt idx="50">
                  <c:v>1.657699968872322</c:v>
                </c:pt>
                <c:pt idx="51">
                  <c:v>1.8458205700312578</c:v>
                </c:pt>
              </c:numCache>
            </c:numRef>
          </c:xVal>
          <c:yVal>
            <c:numRef>
              <c:f>Port_Random!$V$4:$V$55</c:f>
              <c:numCache>
                <c:formatCode>General</c:formatCode>
                <c:ptCount val="52"/>
                <c:pt idx="35">
                  <c:v>0.24404649150536317</c:v>
                </c:pt>
                <c:pt idx="36">
                  <c:v>0.21784179289467487</c:v>
                </c:pt>
                <c:pt idx="37">
                  <c:v>0.19163709428398668</c:v>
                </c:pt>
                <c:pt idx="38">
                  <c:v>0.16543239567329843</c:v>
                </c:pt>
                <c:pt idx="39">
                  <c:v>0.13922769706261021</c:v>
                </c:pt>
                <c:pt idx="40">
                  <c:v>0.11302299845192197</c:v>
                </c:pt>
                <c:pt idx="41">
                  <c:v>8.6818299841233723E-2</c:v>
                </c:pt>
                <c:pt idx="42">
                  <c:v>6.0613601230545489E-2</c:v>
                </c:pt>
                <c:pt idx="43">
                  <c:v>3.4408902619857296E-2</c:v>
                </c:pt>
                <c:pt idx="44">
                  <c:v>8.2042040091689916E-3</c:v>
                </c:pt>
                <c:pt idx="45">
                  <c:v>-1.8000494601519201E-2</c:v>
                </c:pt>
                <c:pt idx="46">
                  <c:v>-4.4205193212207394E-2</c:v>
                </c:pt>
                <c:pt idx="47">
                  <c:v>-7.0409891822895698E-2</c:v>
                </c:pt>
                <c:pt idx="48">
                  <c:v>-9.6614590433584002E-2</c:v>
                </c:pt>
                <c:pt idx="49">
                  <c:v>-0.12281928904427231</c:v>
                </c:pt>
                <c:pt idx="50">
                  <c:v>-0.14902398765496039</c:v>
                </c:pt>
                <c:pt idx="51">
                  <c:v>-0.17522868626564847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3D-44AF-8D90-AFACC56DD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116160"/>
        <c:axId val="1922119072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Port_Random!$S$4:$S$55</c:f>
              <c:numCache>
                <c:formatCode>0.00%</c:formatCode>
                <c:ptCount val="52"/>
                <c:pt idx="0">
                  <c:v>1.8348966082633764</c:v>
                </c:pt>
                <c:pt idx="1">
                  <c:v>0.93545965692426203</c:v>
                </c:pt>
                <c:pt idx="2">
                  <c:v>1.2927315602637557</c:v>
                </c:pt>
                <c:pt idx="3">
                  <c:v>0.48272904557641433</c:v>
                </c:pt>
                <c:pt idx="4">
                  <c:v>0.30821312190041539</c:v>
                </c:pt>
                <c:pt idx="5">
                  <c:v>0.93536435362700621</c:v>
                </c:pt>
                <c:pt idx="6">
                  <c:v>1.006956653707193</c:v>
                </c:pt>
                <c:pt idx="7">
                  <c:v>0.39505855020550196</c:v>
                </c:pt>
                <c:pt idx="8">
                  <c:v>1.6269345302545397</c:v>
                </c:pt>
                <c:pt idx="9">
                  <c:v>0.94968385775206721</c:v>
                </c:pt>
                <c:pt idx="10">
                  <c:v>0.8158414741540071</c:v>
                </c:pt>
                <c:pt idx="11">
                  <c:v>1.2740664406575206</c:v>
                </c:pt>
                <c:pt idx="12">
                  <c:v>0.63357558349670406</c:v>
                </c:pt>
                <c:pt idx="13">
                  <c:v>1.2937979876776555</c:v>
                </c:pt>
                <c:pt idx="14">
                  <c:v>0.80081880532023064</c:v>
                </c:pt>
                <c:pt idx="15">
                  <c:v>0.36617242017623769</c:v>
                </c:pt>
                <c:pt idx="16">
                  <c:v>1.3493335528129282</c:v>
                </c:pt>
                <c:pt idx="17">
                  <c:v>1.7377860590675236</c:v>
                </c:pt>
                <c:pt idx="18">
                  <c:v>2.2287522343634181</c:v>
                </c:pt>
                <c:pt idx="19">
                  <c:v>0.50560310867803848</c:v>
                </c:pt>
                <c:pt idx="20">
                  <c:v>1.0484461182343903</c:v>
                </c:pt>
                <c:pt idx="21">
                  <c:v>0.56908204611938373</c:v>
                </c:pt>
                <c:pt idx="22">
                  <c:v>1.185628365985105</c:v>
                </c:pt>
                <c:pt idx="23">
                  <c:v>0.77906974726330858</c:v>
                </c:pt>
                <c:pt idx="24">
                  <c:v>0.5937028165677537</c:v>
                </c:pt>
                <c:pt idx="25">
                  <c:v>0.60751279263575508</c:v>
                </c:pt>
                <c:pt idx="26">
                  <c:v>0.93799414473585263</c:v>
                </c:pt>
                <c:pt idx="27">
                  <c:v>1.1196587355751442</c:v>
                </c:pt>
                <c:pt idx="28">
                  <c:v>0.55658122425416001</c:v>
                </c:pt>
                <c:pt idx="29">
                  <c:v>0.87830663802178488</c:v>
                </c:pt>
                <c:pt idx="30">
                  <c:v>0.31622776601683794</c:v>
                </c:pt>
                <c:pt idx="31">
                  <c:v>0.54772255750516607</c:v>
                </c:pt>
                <c:pt idx="32">
                  <c:v>0.63245553203367588</c:v>
                </c:pt>
                <c:pt idx="33">
                  <c:v>0.70710678118654757</c:v>
                </c:pt>
                <c:pt idx="34">
                  <c:v>0.2649580072312161</c:v>
                </c:pt>
                <c:pt idx="35">
                  <c:v>1.2469714822747824</c:v>
                </c:pt>
                <c:pt idx="36">
                  <c:v>1.0617758473653189</c:v>
                </c:pt>
                <c:pt idx="37">
                  <c:v>0.8787728054835392</c:v>
                </c:pt>
                <c:pt idx="38">
                  <c:v>0.69968489938955736</c:v>
                </c:pt>
                <c:pt idx="39">
                  <c:v>0.5285072320956804</c:v>
                </c:pt>
                <c:pt idx="40">
                  <c:v>0.37619735709916446</c:v>
                </c:pt>
                <c:pt idx="41">
                  <c:v>0.27599389443727146</c:v>
                </c:pt>
                <c:pt idx="42">
                  <c:v>0.28855576447578352</c:v>
                </c:pt>
                <c:pt idx="43">
                  <c:v>0.40348463393920275</c:v>
                </c:pt>
                <c:pt idx="44">
                  <c:v>0.56105159442354169</c:v>
                </c:pt>
                <c:pt idx="45">
                  <c:v>0.73430344855014829</c:v>
                </c:pt>
                <c:pt idx="46">
                  <c:v>0.9143674527603104</c:v>
                </c:pt>
                <c:pt idx="47">
                  <c:v>1.0978969641771559</c:v>
                </c:pt>
                <c:pt idx="48">
                  <c:v>1.2834061206020257</c:v>
                </c:pt>
                <c:pt idx="49">
                  <c:v>1.470145713191513</c:v>
                </c:pt>
                <c:pt idx="50">
                  <c:v>1.657699968872322</c:v>
                </c:pt>
                <c:pt idx="51">
                  <c:v>1.8458205700312578</c:v>
                </c:pt>
              </c:numCache>
            </c:numRef>
          </c:xVal>
          <c:yVal>
            <c:numRef>
              <c:f>Port_Random!$T$4:$T$55</c:f>
              <c:numCache>
                <c:formatCode>0.00%</c:formatCode>
                <c:ptCount val="52"/>
                <c:pt idx="0">
                  <c:v>0.25019039491573858</c:v>
                </c:pt>
                <c:pt idx="1">
                  <c:v>0.15242926139621404</c:v>
                </c:pt>
                <c:pt idx="2">
                  <c:v>0.20475272271492709</c:v>
                </c:pt>
                <c:pt idx="3">
                  <c:v>0.10709813779055383</c:v>
                </c:pt>
                <c:pt idx="4">
                  <c:v>5.5531181172101748E-2</c:v>
                </c:pt>
                <c:pt idx="5">
                  <c:v>0.16962641730111255</c:v>
                </c:pt>
                <c:pt idx="6">
                  <c:v>0.1732392613174395</c:v>
                </c:pt>
                <c:pt idx="7">
                  <c:v>0.11526880807819337</c:v>
                </c:pt>
                <c:pt idx="8">
                  <c:v>0.22941681536785094</c:v>
                </c:pt>
                <c:pt idx="9">
                  <c:v>2.1656565681861722E-2</c:v>
                </c:pt>
                <c:pt idx="10">
                  <c:v>0.13589097341358874</c:v>
                </c:pt>
                <c:pt idx="11">
                  <c:v>0.20212700118854493</c:v>
                </c:pt>
                <c:pt idx="12">
                  <c:v>0.1445358585452152</c:v>
                </c:pt>
                <c:pt idx="13">
                  <c:v>0.18536906533443159</c:v>
                </c:pt>
                <c:pt idx="14">
                  <c:v>0.11907416725544835</c:v>
                </c:pt>
                <c:pt idx="15">
                  <c:v>8.6224874788813785E-2</c:v>
                </c:pt>
                <c:pt idx="16">
                  <c:v>0.20122073459050918</c:v>
                </c:pt>
                <c:pt idx="17">
                  <c:v>0.26964449520786671</c:v>
                </c:pt>
                <c:pt idx="18">
                  <c:v>0.29295608893869385</c:v>
                </c:pt>
                <c:pt idx="19">
                  <c:v>9.4789521408958327E-2</c:v>
                </c:pt>
                <c:pt idx="20">
                  <c:v>0.1595422789604177</c:v>
                </c:pt>
                <c:pt idx="21">
                  <c:v>9.573147759283579E-2</c:v>
                </c:pt>
                <c:pt idx="22">
                  <c:v>0.21961216533785416</c:v>
                </c:pt>
                <c:pt idx="23">
                  <c:v>0.17407208294503745</c:v>
                </c:pt>
                <c:pt idx="24">
                  <c:v>0.13579357091389149</c:v>
                </c:pt>
                <c:pt idx="25">
                  <c:v>0.10851016097358637</c:v>
                </c:pt>
                <c:pt idx="26">
                  <c:v>0.18931820932814647</c:v>
                </c:pt>
                <c:pt idx="27">
                  <c:v>0.16021721244921286</c:v>
                </c:pt>
                <c:pt idx="28">
                  <c:v>0.12681670991284455</c:v>
                </c:pt>
                <c:pt idx="29">
                  <c:v>8.385335081792708E-2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3D-44AF-8D90-AFACC56DD2E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Port_Random!$S$4:$S$55</c:f>
              <c:numCache>
                <c:formatCode>0.00%</c:formatCode>
                <c:ptCount val="52"/>
                <c:pt idx="0">
                  <c:v>1.8348966082633764</c:v>
                </c:pt>
                <c:pt idx="1">
                  <c:v>0.93545965692426203</c:v>
                </c:pt>
                <c:pt idx="2">
                  <c:v>1.2927315602637557</c:v>
                </c:pt>
                <c:pt idx="3">
                  <c:v>0.48272904557641433</c:v>
                </c:pt>
                <c:pt idx="4">
                  <c:v>0.30821312190041539</c:v>
                </c:pt>
                <c:pt idx="5">
                  <c:v>0.93536435362700621</c:v>
                </c:pt>
                <c:pt idx="6">
                  <c:v>1.006956653707193</c:v>
                </c:pt>
                <c:pt idx="7">
                  <c:v>0.39505855020550196</c:v>
                </c:pt>
                <c:pt idx="8">
                  <c:v>1.6269345302545397</c:v>
                </c:pt>
                <c:pt idx="9">
                  <c:v>0.94968385775206721</c:v>
                </c:pt>
                <c:pt idx="10">
                  <c:v>0.8158414741540071</c:v>
                </c:pt>
                <c:pt idx="11">
                  <c:v>1.2740664406575206</c:v>
                </c:pt>
                <c:pt idx="12">
                  <c:v>0.63357558349670406</c:v>
                </c:pt>
                <c:pt idx="13">
                  <c:v>1.2937979876776555</c:v>
                </c:pt>
                <c:pt idx="14">
                  <c:v>0.80081880532023064</c:v>
                </c:pt>
                <c:pt idx="15">
                  <c:v>0.36617242017623769</c:v>
                </c:pt>
                <c:pt idx="16">
                  <c:v>1.3493335528129282</c:v>
                </c:pt>
                <c:pt idx="17">
                  <c:v>1.7377860590675236</c:v>
                </c:pt>
                <c:pt idx="18">
                  <c:v>2.2287522343634181</c:v>
                </c:pt>
                <c:pt idx="19">
                  <c:v>0.50560310867803848</c:v>
                </c:pt>
                <c:pt idx="20">
                  <c:v>1.0484461182343903</c:v>
                </c:pt>
                <c:pt idx="21">
                  <c:v>0.56908204611938373</c:v>
                </c:pt>
                <c:pt idx="22">
                  <c:v>1.185628365985105</c:v>
                </c:pt>
                <c:pt idx="23">
                  <c:v>0.77906974726330858</c:v>
                </c:pt>
                <c:pt idx="24">
                  <c:v>0.5937028165677537</c:v>
                </c:pt>
                <c:pt idx="25">
                  <c:v>0.60751279263575508</c:v>
                </c:pt>
                <c:pt idx="26">
                  <c:v>0.93799414473585263</c:v>
                </c:pt>
                <c:pt idx="27">
                  <c:v>1.1196587355751442</c:v>
                </c:pt>
                <c:pt idx="28">
                  <c:v>0.55658122425416001</c:v>
                </c:pt>
                <c:pt idx="29">
                  <c:v>0.87830663802178488</c:v>
                </c:pt>
                <c:pt idx="30">
                  <c:v>0.31622776601683794</c:v>
                </c:pt>
                <c:pt idx="31">
                  <c:v>0.54772255750516607</c:v>
                </c:pt>
                <c:pt idx="32">
                  <c:v>0.63245553203367588</c:v>
                </c:pt>
                <c:pt idx="33">
                  <c:v>0.70710678118654757</c:v>
                </c:pt>
                <c:pt idx="34">
                  <c:v>0.2649580072312161</c:v>
                </c:pt>
                <c:pt idx="35">
                  <c:v>1.2469714822747824</c:v>
                </c:pt>
                <c:pt idx="36">
                  <c:v>1.0617758473653189</c:v>
                </c:pt>
                <c:pt idx="37">
                  <c:v>0.8787728054835392</c:v>
                </c:pt>
                <c:pt idx="38">
                  <c:v>0.69968489938955736</c:v>
                </c:pt>
                <c:pt idx="39">
                  <c:v>0.5285072320956804</c:v>
                </c:pt>
                <c:pt idx="40">
                  <c:v>0.37619735709916446</c:v>
                </c:pt>
                <c:pt idx="41">
                  <c:v>0.27599389443727146</c:v>
                </c:pt>
                <c:pt idx="42">
                  <c:v>0.28855576447578352</c:v>
                </c:pt>
                <c:pt idx="43">
                  <c:v>0.40348463393920275</c:v>
                </c:pt>
                <c:pt idx="44">
                  <c:v>0.56105159442354169</c:v>
                </c:pt>
                <c:pt idx="45">
                  <c:v>0.73430344855014829</c:v>
                </c:pt>
                <c:pt idx="46">
                  <c:v>0.9143674527603104</c:v>
                </c:pt>
                <c:pt idx="47">
                  <c:v>1.0978969641771559</c:v>
                </c:pt>
                <c:pt idx="48">
                  <c:v>1.2834061206020257</c:v>
                </c:pt>
                <c:pt idx="49">
                  <c:v>1.470145713191513</c:v>
                </c:pt>
                <c:pt idx="50">
                  <c:v>1.657699968872322</c:v>
                </c:pt>
                <c:pt idx="51">
                  <c:v>1.8458205700312578</c:v>
                </c:pt>
              </c:numCache>
            </c:numRef>
          </c:xVal>
          <c:yVal>
            <c:numRef>
              <c:f>Port_Random!$U$4:$U$55</c:f>
              <c:numCache>
                <c:formatCode>General</c:formatCode>
                <c:ptCount val="52"/>
                <c:pt idx="30" formatCode="0.00%">
                  <c:v>0.06</c:v>
                </c:pt>
                <c:pt idx="31" formatCode="0.00%">
                  <c:v>0.08</c:v>
                </c:pt>
                <c:pt idx="32" formatCode="0.00%">
                  <c:v>0.1</c:v>
                </c:pt>
                <c:pt idx="33" formatCode="0.00%">
                  <c:v>0.15</c:v>
                </c:pt>
                <c:pt idx="34" formatCode="0.00%">
                  <c:v>7.6190445960958586E-2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3D-44AF-8D90-AFACC56DD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116160"/>
        <c:axId val="1922119072"/>
      </c:scatterChart>
      <c:valAx>
        <c:axId val="192211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119072"/>
        <c:crosses val="autoZero"/>
        <c:crossBetween val="midCat"/>
      </c:valAx>
      <c:valAx>
        <c:axId val="19221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11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Port10!$AF$108:$AF$121</c:f>
              <c:numCache>
                <c:formatCode>#,##0.000</c:formatCode>
                <c:ptCount val="14"/>
                <c:pt idx="0">
                  <c:v>3.1673552351895097E-2</c:v>
                </c:pt>
                <c:pt idx="1">
                  <c:v>2.8876290114682134E-2</c:v>
                </c:pt>
                <c:pt idx="2">
                  <c:v>2.6719678589229242E-2</c:v>
                </c:pt>
                <c:pt idx="3">
                  <c:v>2.5367640764594541E-2</c:v>
                </c:pt>
                <c:pt idx="4">
                  <c:v>2.4951313651523407E-2</c:v>
                </c:pt>
                <c:pt idx="5">
                  <c:v>2.5516539515327206E-2</c:v>
                </c:pt>
                <c:pt idx="6">
                  <c:v>2.7001748196425871E-2</c:v>
                </c:pt>
                <c:pt idx="7">
                  <c:v>2.9267215504972407E-2</c:v>
                </c:pt>
                <c:pt idx="8">
                  <c:v>3.2148410257603455E-2</c:v>
                </c:pt>
                <c:pt idx="9">
                  <c:v>3.5495711595814584E-2</c:v>
                </c:pt>
                <c:pt idx="10">
                  <c:v>3.9189867086029839E-2</c:v>
                </c:pt>
                <c:pt idx="11">
                  <c:v>4.3141867178803243E-2</c:v>
                </c:pt>
                <c:pt idx="12">
                  <c:v>4.7287108243703094E-2</c:v>
                </c:pt>
                <c:pt idx="13">
                  <c:v>5.1579020825867399E-2</c:v>
                </c:pt>
              </c:numCache>
            </c:numRef>
          </c:xVal>
          <c:yVal>
            <c:numRef>
              <c:f>Port10!$AG$108:$AG$121</c:f>
              <c:numCache>
                <c:formatCode>#,##0.000</c:formatCode>
                <c:ptCount val="14"/>
                <c:pt idx="0">
                  <c:v>1.9322164159555663E-2</c:v>
                </c:pt>
                <c:pt idx="1">
                  <c:v>1.620218869866448E-2</c:v>
                </c:pt>
                <c:pt idx="2">
                  <c:v>1.3082213237773296E-2</c:v>
                </c:pt>
                <c:pt idx="3">
                  <c:v>9.9622377768821112E-3</c:v>
                </c:pt>
                <c:pt idx="4">
                  <c:v>6.8422623159909279E-3</c:v>
                </c:pt>
                <c:pt idx="5">
                  <c:v>3.7222868550997427E-3</c:v>
                </c:pt>
                <c:pt idx="6">
                  <c:v>6.023113942085585E-4</c:v>
                </c:pt>
                <c:pt idx="7">
                  <c:v>-2.5176640666826262E-3</c:v>
                </c:pt>
                <c:pt idx="8">
                  <c:v>-5.63763952757381E-3</c:v>
                </c:pt>
                <c:pt idx="9">
                  <c:v>-8.757614988464996E-3</c:v>
                </c:pt>
                <c:pt idx="10">
                  <c:v>-1.1877590449356179E-2</c:v>
                </c:pt>
                <c:pt idx="11">
                  <c:v>-1.4997565910247363E-2</c:v>
                </c:pt>
                <c:pt idx="12">
                  <c:v>-1.8117541371138544E-2</c:v>
                </c:pt>
                <c:pt idx="13">
                  <c:v>-2.1237516832029735E-2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A0-4262-AE42-F7811B0C4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816319"/>
        <c:axId val="233818815"/>
      </c:scatterChart>
      <c:valAx>
        <c:axId val="23381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818815"/>
        <c:crosses val="autoZero"/>
        <c:crossBetween val="midCat"/>
      </c:valAx>
      <c:valAx>
        <c:axId val="23381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81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4</xdr:row>
      <xdr:rowOff>19056</xdr:rowOff>
    </xdr:from>
    <xdr:to>
      <xdr:col>13</xdr:col>
      <xdr:colOff>371475</xdr:colOff>
      <xdr:row>17</xdr:row>
      <xdr:rowOff>28581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0</xdr:row>
      <xdr:rowOff>0</xdr:rowOff>
    </xdr:from>
    <xdr:to>
      <xdr:col>16</xdr:col>
      <xdr:colOff>247650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0</xdr:row>
      <xdr:rowOff>0</xdr:rowOff>
    </xdr:from>
    <xdr:to>
      <xdr:col>16</xdr:col>
      <xdr:colOff>247650</xdr:colOff>
      <xdr:row>15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316707</xdr:colOff>
      <xdr:row>20</xdr:row>
      <xdr:rowOff>54769</xdr:rowOff>
    </xdr:from>
    <xdr:to>
      <xdr:col>10</xdr:col>
      <xdr:colOff>592932</xdr:colOff>
      <xdr:row>36</xdr:row>
      <xdr:rowOff>188119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322029</xdr:colOff>
      <xdr:row>19</xdr:row>
      <xdr:rowOff>179014</xdr:rowOff>
    </xdr:from>
    <xdr:to>
      <xdr:col>32</xdr:col>
      <xdr:colOff>452999</xdr:colOff>
      <xdr:row>42</xdr:row>
      <xdr:rowOff>50426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202407</xdr:colOff>
      <xdr:row>105</xdr:row>
      <xdr:rowOff>122634</xdr:rowOff>
    </xdr:from>
    <xdr:to>
      <xdr:col>41</xdr:col>
      <xdr:colOff>11907</xdr:colOff>
      <xdr:row>120</xdr:row>
      <xdr:rowOff>8334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476249</xdr:colOff>
      <xdr:row>37</xdr:row>
      <xdr:rowOff>107156</xdr:rowOff>
    </xdr:from>
    <xdr:to>
      <xdr:col>28</xdr:col>
      <xdr:colOff>504824</xdr:colOff>
      <xdr:row>56</xdr:row>
      <xdr:rowOff>180975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5312" y="7274719"/>
          <a:ext cx="731520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USAL/AppData/Local/Microsoft/Windows/Temporary%20Internet%20Files/Content.Outlook/M19HXUWL/Spreadsheet8.1_with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">
          <cell r="B3">
            <v>1.7756999999999998E-2</v>
          </cell>
          <cell r="C3">
            <v>3.7065000000000001E-2</v>
          </cell>
          <cell r="D3">
            <v>2.7659999999999998E-3</v>
          </cell>
          <cell r="E3">
            <v>2.8388E-2</v>
          </cell>
          <cell r="F3">
            <v>-1.5134999999999999E-2</v>
          </cell>
          <cell r="G3">
            <v>-1.8595E-2</v>
          </cell>
          <cell r="H3">
            <v>-2.2869E-2</v>
          </cell>
          <cell r="I3">
            <v>-5.7672000000000001E-2</v>
          </cell>
          <cell r="J3">
            <v>-8.4873000000000004E-2</v>
          </cell>
          <cell r="K3">
            <v>0.113882</v>
          </cell>
          <cell r="L3">
            <v>-6.326E-3</v>
          </cell>
          <cell r="M3">
            <v>3.702E-3</v>
          </cell>
          <cell r="N3">
            <v>5.3877000000000001E-2</v>
          </cell>
          <cell r="O3">
            <v>4.0585999999999997E-2</v>
          </cell>
          <cell r="P3">
            <v>2.3394000000000002E-2</v>
          </cell>
          <cell r="Q3">
            <v>-7.5009999999999999E-3</v>
          </cell>
          <cell r="R3">
            <v>-6.6230999999999998E-2</v>
          </cell>
          <cell r="S3">
            <v>3.7656000000000002E-2</v>
          </cell>
          <cell r="T3">
            <v>9.5659999999999999E-3</v>
          </cell>
          <cell r="U3">
            <v>2.5364999999999999E-2</v>
          </cell>
          <cell r="V3">
            <v>2.5839000000000001E-2</v>
          </cell>
          <cell r="W3">
            <v>-1.5200999999999999E-2</v>
          </cell>
          <cell r="X3">
            <v>4.8929999999999998E-3</v>
          </cell>
          <cell r="Y3">
            <v>1.2130999999999999E-2</v>
          </cell>
          <cell r="Z3">
            <v>5.3593000000000002E-2</v>
          </cell>
          <cell r="AA3">
            <v>7.5310000000000004E-3</v>
          </cell>
          <cell r="AB3">
            <v>3.4473999999999998E-2</v>
          </cell>
          <cell r="AC3">
            <v>1.4445E-2</v>
          </cell>
          <cell r="AD3">
            <v>1.8866000000000001E-2</v>
          </cell>
          <cell r="AE3">
            <v>-1.5339E-2</v>
          </cell>
          <cell r="AF3">
            <v>5.2481E-2</v>
          </cell>
          <cell r="AG3">
            <v>-2.6113999999999998E-2</v>
          </cell>
          <cell r="AH3">
            <v>3.7276999999999998E-2</v>
          </cell>
          <cell r="AI3">
            <v>3.8751000000000001E-2</v>
          </cell>
          <cell r="AJ3">
            <v>2.4447E-2</v>
          </cell>
          <cell r="AK3">
            <v>2.5926000000000001E-2</v>
          </cell>
          <cell r="AL3">
            <v>-3.0157E-2</v>
          </cell>
          <cell r="AM3">
            <v>4.5672999999999998E-2</v>
          </cell>
          <cell r="AN3">
            <v>3.9690000000000003E-3</v>
          </cell>
          <cell r="AO3">
            <v>1.4599999999999999E-3</v>
          </cell>
          <cell r="AP3">
            <v>1.9918000000000002E-2</v>
          </cell>
          <cell r="AQ3">
            <v>2.7740999999999998E-2</v>
          </cell>
          <cell r="AR3">
            <v>-2.0723999999999999E-2</v>
          </cell>
          <cell r="AS3">
            <v>3.9870999999999997E-2</v>
          </cell>
          <cell r="AT3">
            <v>-2.5229000000000001E-2</v>
          </cell>
          <cell r="AU3">
            <v>2.0976000000000002E-2</v>
          </cell>
          <cell r="AV3">
            <v>2.0750000000000001E-2</v>
          </cell>
          <cell r="AW3">
            <v>-3.9160000000000002E-3</v>
          </cell>
          <cell r="AX3">
            <v>-2.7352000000000001E-2</v>
          </cell>
          <cell r="AY3">
            <v>5.5747999999999999E-2</v>
          </cell>
          <cell r="AZ3">
            <v>-1.0638999999999999E-2</v>
          </cell>
          <cell r="BA3">
            <v>8.5220000000000001E-3</v>
          </cell>
          <cell r="BB3">
            <v>1.0222999999999999E-2</v>
          </cell>
          <cell r="BC3">
            <v>-1.9258000000000001E-2</v>
          </cell>
          <cell r="BD3">
            <v>1.1795E-2</v>
          </cell>
          <cell r="BE3">
            <v>-6.0292999999999999E-2</v>
          </cell>
          <cell r="BF3">
            <v>-3.3735000000000001E-2</v>
          </cell>
          <cell r="BG3">
            <v>7.3859999999999995E-2</v>
          </cell>
          <cell r="BH3">
            <v>1.7420000000000001E-3</v>
          </cell>
          <cell r="BI3">
            <v>-2.3961E-2</v>
          </cell>
        </row>
        <row r="4">
          <cell r="B4">
            <v>3.8281000000000003E-2</v>
          </cell>
          <cell r="C4">
            <v>-7.4045E-2</v>
          </cell>
          <cell r="D4">
            <v>7.7689999999999999E-3</v>
          </cell>
          <cell r="E4">
            <v>5.5992E-2</v>
          </cell>
          <cell r="F4">
            <v>1.0803999999999999E-2</v>
          </cell>
          <cell r="G4">
            <v>-3.7867999999999999E-2</v>
          </cell>
          <cell r="H4">
            <v>-8.4919999999999995E-3</v>
          </cell>
          <cell r="I4">
            <v>1.5831000000000001E-2</v>
          </cell>
          <cell r="J4">
            <v>-2.4253E-2</v>
          </cell>
          <cell r="K4">
            <v>9.2771000000000006E-2</v>
          </cell>
          <cell r="L4">
            <v>3.8334E-2</v>
          </cell>
          <cell r="M4">
            <v>2.0798000000000001E-2</v>
          </cell>
          <cell r="N4">
            <v>2.6574E-2</v>
          </cell>
          <cell r="O4">
            <v>-3.7758E-2</v>
          </cell>
          <cell r="P4">
            <v>4.2012000000000001E-2</v>
          </cell>
          <cell r="Q4">
            <v>-3.8117999999999999E-2</v>
          </cell>
          <cell r="R4">
            <v>0.123345</v>
          </cell>
          <cell r="S4">
            <v>5.8753E-2</v>
          </cell>
          <cell r="T4">
            <v>6.6855999999999999E-2</v>
          </cell>
          <cell r="U4">
            <v>-2.0146000000000001E-2</v>
          </cell>
          <cell r="V4">
            <v>1.5828999999999999E-2</v>
          </cell>
          <cell r="W4">
            <v>1.5431E-2</v>
          </cell>
          <cell r="X4">
            <v>-4.1288999999999999E-2</v>
          </cell>
          <cell r="Y4">
            <v>-4.7504999999999999E-2</v>
          </cell>
          <cell r="Z4">
            <v>2.4708999999999998E-2</v>
          </cell>
          <cell r="AA4">
            <v>1.1065999999999999E-2</v>
          </cell>
          <cell r="AB4">
            <v>6.3060000000000005E-2</v>
          </cell>
          <cell r="AC4">
            <v>3.8121000000000002E-2</v>
          </cell>
          <cell r="AD4">
            <v>-3.1209000000000001E-2</v>
          </cell>
          <cell r="AE4">
            <v>-4.9769999999999997E-3</v>
          </cell>
          <cell r="AF4">
            <v>4.6115000000000003E-2</v>
          </cell>
          <cell r="AG4">
            <v>-5.8007999999999997E-2</v>
          </cell>
          <cell r="AH4">
            <v>1.3228E-2</v>
          </cell>
          <cell r="AI4">
            <v>3.6623000000000003E-2</v>
          </cell>
          <cell r="AJ4">
            <v>5.5004999999999998E-2</v>
          </cell>
          <cell r="AK4">
            <v>-2.3036999999999998E-2</v>
          </cell>
          <cell r="AL4">
            <v>-5.1159000000000003E-2</v>
          </cell>
          <cell r="AM4">
            <v>-2.32E-4</v>
          </cell>
          <cell r="AN4">
            <v>2.9085E-2</v>
          </cell>
          <cell r="AO4">
            <v>4.2715000000000003E-2</v>
          </cell>
          <cell r="AP4">
            <v>-3.1161999999999999E-2</v>
          </cell>
          <cell r="AQ4">
            <v>-2.2343999999999999E-2</v>
          </cell>
          <cell r="AR4">
            <v>-2.0048E-2</v>
          </cell>
          <cell r="AS4">
            <v>3.2318E-2</v>
          </cell>
          <cell r="AT4">
            <v>1.2748000000000001E-2</v>
          </cell>
          <cell r="AU4">
            <v>-2.8149999999999998E-3</v>
          </cell>
          <cell r="AV4">
            <v>0.147365</v>
          </cell>
          <cell r="AW4">
            <v>-1.3780000000000001E-2</v>
          </cell>
          <cell r="AX4">
            <v>-1.068E-2</v>
          </cell>
          <cell r="AY4">
            <v>-1.2555999999999999E-2</v>
          </cell>
          <cell r="AZ4">
            <v>-1.4378E-2</v>
          </cell>
          <cell r="BA4">
            <v>-5.1263999999999997E-2</v>
          </cell>
          <cell r="BB4">
            <v>-4.2252999999999999E-2</v>
          </cell>
          <cell r="BC4">
            <v>-4.4970999999999997E-2</v>
          </cell>
          <cell r="BD4">
            <v>1.4503E-2</v>
          </cell>
          <cell r="BE4">
            <v>-9.4214999999999993E-2</v>
          </cell>
          <cell r="BF4">
            <v>1.699E-3</v>
          </cell>
          <cell r="BG4">
            <v>-0.117312</v>
          </cell>
          <cell r="BH4">
            <v>2.7251999999999998E-2</v>
          </cell>
          <cell r="BI4">
            <v>4.8436E-2</v>
          </cell>
        </row>
        <row r="5">
          <cell r="B5">
            <v>-8.9541999999999997E-2</v>
          </cell>
          <cell r="C5">
            <v>-3.8123999999999998E-2</v>
          </cell>
          <cell r="D5">
            <v>-4.8934999999999999E-2</v>
          </cell>
          <cell r="E5">
            <v>-1.8495999999999999E-2</v>
          </cell>
          <cell r="F5">
            <v>1.3649E-2</v>
          </cell>
          <cell r="G5">
            <v>-5.3096999999999998E-2</v>
          </cell>
          <cell r="H5">
            <v>9.7234000000000001E-2</v>
          </cell>
          <cell r="I5">
            <v>9.1219999999999999E-3</v>
          </cell>
          <cell r="J5">
            <v>-5.0900000000000001E-2</v>
          </cell>
          <cell r="K5">
            <v>0.11633599999999999</v>
          </cell>
          <cell r="L5">
            <v>-3.2063000000000001E-2</v>
          </cell>
          <cell r="M5">
            <v>-2.8083E-2</v>
          </cell>
          <cell r="N5">
            <v>-8.2050000000000005E-3</v>
          </cell>
          <cell r="O5">
            <v>0.12103</v>
          </cell>
          <cell r="P5">
            <v>2.7271E-2</v>
          </cell>
          <cell r="Q5">
            <v>-6.3629999999999997E-3</v>
          </cell>
          <cell r="R5">
            <v>3.96E-3</v>
          </cell>
          <cell r="S5">
            <v>4.3350000000000003E-3</v>
          </cell>
          <cell r="T5">
            <v>4.1575000000000001E-2</v>
          </cell>
          <cell r="U5">
            <v>6.1754000000000003E-2</v>
          </cell>
          <cell r="V5">
            <v>-1.0374E-2</v>
          </cell>
          <cell r="W5">
            <v>3.3119999999999998E-3</v>
          </cell>
          <cell r="X5">
            <v>-5.378E-3</v>
          </cell>
          <cell r="Y5">
            <v>-6.3128000000000004E-2</v>
          </cell>
          <cell r="Z5">
            <v>2.0456999999999999E-2</v>
          </cell>
          <cell r="AA5">
            <v>4.7371000000000003E-2</v>
          </cell>
          <cell r="AB5">
            <v>8.6398000000000003E-2</v>
          </cell>
          <cell r="AC5">
            <v>3.0325000000000001E-2</v>
          </cell>
          <cell r="AD5">
            <v>-1.0121E-2</v>
          </cell>
          <cell r="AE5">
            <v>-9.5090000000000001E-3</v>
          </cell>
          <cell r="AF5">
            <v>3.4507999999999997E-2</v>
          </cell>
          <cell r="AG5">
            <v>-0.10580299999999999</v>
          </cell>
          <cell r="AH5">
            <v>1.0383E-2</v>
          </cell>
          <cell r="AI5">
            <v>1.1560000000000001E-2</v>
          </cell>
          <cell r="AJ5">
            <v>-7.1370000000000001E-3</v>
          </cell>
          <cell r="AK5">
            <v>-1.0524E-2</v>
          </cell>
          <cell r="AL5">
            <v>-0.104989</v>
          </cell>
          <cell r="AM5">
            <v>0.111259</v>
          </cell>
          <cell r="AN5">
            <v>-3.2959000000000002E-2</v>
          </cell>
          <cell r="AO5">
            <v>2.0292999999999999E-2</v>
          </cell>
          <cell r="AP5">
            <v>-7.4146000000000004E-2</v>
          </cell>
          <cell r="AQ5">
            <v>2.0766E-2</v>
          </cell>
          <cell r="AR5">
            <v>2.81E-2</v>
          </cell>
          <cell r="AS5">
            <v>1.6480999999999999E-2</v>
          </cell>
          <cell r="AT5">
            <v>4.3348999999999999E-2</v>
          </cell>
          <cell r="AU5">
            <v>-1.392E-2</v>
          </cell>
          <cell r="AV5">
            <v>0.205035</v>
          </cell>
          <cell r="AW5">
            <v>2.5510999999999999E-2</v>
          </cell>
          <cell r="AX5">
            <v>-3.0498999999999998E-2</v>
          </cell>
          <cell r="AY5">
            <v>5.0608E-2</v>
          </cell>
          <cell r="AZ5">
            <v>6.8002000000000007E-2</v>
          </cell>
          <cell r="BA5">
            <v>-3.9677999999999998E-2</v>
          </cell>
          <cell r="BB5">
            <v>1.2711999999999999E-2</v>
          </cell>
          <cell r="BC5">
            <v>2.9123E-2</v>
          </cell>
          <cell r="BD5">
            <v>2.395E-3</v>
          </cell>
          <cell r="BE5">
            <v>-4.4039000000000002E-2</v>
          </cell>
          <cell r="BF5">
            <v>1.2225E-2</v>
          </cell>
          <cell r="BG5">
            <v>-1.8915000000000001E-2</v>
          </cell>
          <cell r="BH5">
            <v>-5.4081999999999998E-2</v>
          </cell>
          <cell r="BI5">
            <v>-1.83E-4</v>
          </cell>
        </row>
        <row r="6">
          <cell r="B6">
            <v>7.7530000000000003E-3</v>
          </cell>
          <cell r="C6">
            <v>3.5395999999999997E-2</v>
          </cell>
          <cell r="D6">
            <v>4.3278999999999998E-2</v>
          </cell>
          <cell r="E6">
            <v>-7.3709999999999999E-3</v>
          </cell>
          <cell r="F6">
            <v>-2.2699E-2</v>
          </cell>
          <cell r="G6">
            <v>7.9229999999999995E-3</v>
          </cell>
          <cell r="H6">
            <v>-3.9413999999999998E-2</v>
          </cell>
          <cell r="I6">
            <v>2.4594999999999999E-2</v>
          </cell>
          <cell r="J6">
            <v>1.7558000000000001E-2</v>
          </cell>
          <cell r="K6">
            <v>1.8377999999999999E-2</v>
          </cell>
          <cell r="L6">
            <v>2.0181000000000001E-2</v>
          </cell>
          <cell r="M6">
            <v>6.3344999999999999E-2</v>
          </cell>
          <cell r="N6">
            <v>-4.9052999999999999E-2</v>
          </cell>
          <cell r="O6">
            <v>1.1349E-2</v>
          </cell>
          <cell r="P6">
            <v>2.5490000000000001E-3</v>
          </cell>
          <cell r="Q6">
            <v>6.8616999999999997E-2</v>
          </cell>
          <cell r="R6">
            <v>3.0504E-2</v>
          </cell>
          <cell r="S6">
            <v>6.6742999999999997E-2</v>
          </cell>
          <cell r="T6">
            <v>2.6303E-2</v>
          </cell>
          <cell r="U6">
            <v>-4.9637000000000001E-2</v>
          </cell>
          <cell r="V6">
            <v>6.0547999999999998E-2</v>
          </cell>
          <cell r="W6">
            <v>-1.0207000000000001E-2</v>
          </cell>
          <cell r="X6">
            <v>-1.2949E-2</v>
          </cell>
          <cell r="Y6">
            <v>-1.9665999999999999E-2</v>
          </cell>
          <cell r="Z6">
            <v>1.9259999999999999E-2</v>
          </cell>
          <cell r="AA6">
            <v>6.6156999999999994E-2</v>
          </cell>
          <cell r="AB6">
            <v>5.5508000000000002E-2</v>
          </cell>
          <cell r="AC6">
            <v>0.106824</v>
          </cell>
          <cell r="AD6">
            <v>-0.100923</v>
          </cell>
          <cell r="AE6">
            <v>3.8066000000000003E-2</v>
          </cell>
          <cell r="AF6">
            <v>-7.0530000000000002E-3</v>
          </cell>
          <cell r="AG6">
            <v>-4.2840999999999997E-2</v>
          </cell>
          <cell r="AH6">
            <v>-1.508E-2</v>
          </cell>
          <cell r="AI6">
            <v>9.2419000000000001E-2</v>
          </cell>
          <cell r="AJ6">
            <v>-1.8120000000000001E-2</v>
          </cell>
          <cell r="AK6">
            <v>-9.8740000000000008E-3</v>
          </cell>
          <cell r="AL6">
            <v>-1.2206E-2</v>
          </cell>
          <cell r="AM6">
            <v>-9.6629999999999997E-3</v>
          </cell>
          <cell r="AN6">
            <v>-7.1000000000000002E-4</v>
          </cell>
          <cell r="AO6">
            <v>-6.7169999999999999E-3</v>
          </cell>
          <cell r="AP6">
            <v>6.8820000000000006E-2</v>
          </cell>
          <cell r="AQ6">
            <v>-2.0816000000000001E-2</v>
          </cell>
          <cell r="AR6">
            <v>4.1083000000000001E-2</v>
          </cell>
          <cell r="AS6">
            <v>-1.2200000000000001E-2</v>
          </cell>
          <cell r="AT6">
            <v>3.3119999999999998E-3</v>
          </cell>
          <cell r="AU6">
            <v>1.6003E-2</v>
          </cell>
          <cell r="AV6">
            <v>6.3660000000000001E-3</v>
          </cell>
          <cell r="AW6">
            <v>-7.5610999999999998E-2</v>
          </cell>
          <cell r="AX6">
            <v>-1.1316E-2</v>
          </cell>
          <cell r="AY6">
            <v>8.1619999999999998E-2</v>
          </cell>
          <cell r="AZ6">
            <v>-1.6781999999999998E-2</v>
          </cell>
          <cell r="BA6">
            <v>4.8329999999999998E-2</v>
          </cell>
          <cell r="BB6">
            <v>-1.9925999999999999E-2</v>
          </cell>
          <cell r="BC6">
            <v>-5.7241E-2</v>
          </cell>
          <cell r="BD6">
            <v>1.5362000000000001E-2</v>
          </cell>
          <cell r="BE6">
            <v>-1.6969999999999999E-2</v>
          </cell>
          <cell r="BF6">
            <v>-5.4336000000000002E-2</v>
          </cell>
          <cell r="BG6">
            <v>9.0339000000000003E-2</v>
          </cell>
          <cell r="BH6">
            <v>-3.1203000000000002E-2</v>
          </cell>
          <cell r="BI6">
            <v>1.5242E-2</v>
          </cell>
        </row>
        <row r="7">
          <cell r="B7">
            <v>-5.0072999999999999E-2</v>
          </cell>
          <cell r="C7">
            <v>3.015E-2</v>
          </cell>
          <cell r="D7">
            <v>7.7977000000000005E-2</v>
          </cell>
          <cell r="E7">
            <v>3.0408999999999999E-2</v>
          </cell>
          <cell r="F7">
            <v>1.3939E-2</v>
          </cell>
          <cell r="G7">
            <v>-4.9529999999999999E-3</v>
          </cell>
          <cell r="H7">
            <v>-5.5160000000000001E-2</v>
          </cell>
          <cell r="I7">
            <v>-2.6858E-2</v>
          </cell>
          <cell r="J7">
            <v>1.405E-3</v>
          </cell>
          <cell r="K7">
            <v>4.2677E-2</v>
          </cell>
          <cell r="L7">
            <v>-1.1358999999999999E-2</v>
          </cell>
          <cell r="M7">
            <v>4.3478000000000003E-2</v>
          </cell>
          <cell r="N7">
            <v>-1.3096999999999999E-2</v>
          </cell>
          <cell r="O7">
            <v>3.9522000000000002E-2</v>
          </cell>
          <cell r="P7">
            <v>2.0322E-2</v>
          </cell>
          <cell r="Q7">
            <v>6.7183000000000007E-2</v>
          </cell>
          <cell r="R7">
            <v>3.7586000000000001E-2</v>
          </cell>
          <cell r="S7">
            <v>4.3105999999999998E-2</v>
          </cell>
          <cell r="T7">
            <v>7.5014999999999998E-2</v>
          </cell>
          <cell r="U7">
            <v>-3.4654999999999998E-2</v>
          </cell>
          <cell r="V7">
            <v>2.8230000000000002E-2</v>
          </cell>
          <cell r="W7">
            <v>-7.1922E-2</v>
          </cell>
          <cell r="X7">
            <v>-1.4599000000000001E-2</v>
          </cell>
          <cell r="Y7">
            <v>-1.2706E-2</v>
          </cell>
          <cell r="Z7">
            <v>4.4887000000000003E-2</v>
          </cell>
          <cell r="AA7">
            <v>3.1392999999999997E-2</v>
          </cell>
          <cell r="AB7">
            <v>2.0920999999999999E-2</v>
          </cell>
          <cell r="AC7">
            <v>3.2752000000000003E-2</v>
          </cell>
          <cell r="AD7">
            <v>-6.6137000000000001E-2</v>
          </cell>
          <cell r="AE7">
            <v>1.1417999999999999E-2</v>
          </cell>
          <cell r="AF7">
            <v>8.8400000000000006E-3</v>
          </cell>
          <cell r="AG7">
            <v>-4.1228000000000001E-2</v>
          </cell>
          <cell r="AH7">
            <v>-4.9600000000000002E-4</v>
          </cell>
          <cell r="AI7">
            <v>8.2577999999999999E-2</v>
          </cell>
          <cell r="AJ7">
            <v>-2.7848000000000001E-2</v>
          </cell>
          <cell r="AK7">
            <v>-1.6199999999999999E-3</v>
          </cell>
          <cell r="AL7">
            <v>-3.9448999999999998E-2</v>
          </cell>
          <cell r="AM7">
            <v>-4.2216999999999998E-2</v>
          </cell>
          <cell r="AN7">
            <v>9.7839999999999996E-2</v>
          </cell>
          <cell r="AO7">
            <v>3.0880999999999999E-2</v>
          </cell>
          <cell r="AP7">
            <v>-6.7429999999999999E-3</v>
          </cell>
          <cell r="AQ7">
            <v>-3.3010000000000001E-3</v>
          </cell>
          <cell r="AR7">
            <v>1.9314000000000001E-2</v>
          </cell>
          <cell r="AS7">
            <v>-1.8002000000000001E-2</v>
          </cell>
          <cell r="AT7">
            <v>7.9089999999999994E-3</v>
          </cell>
          <cell r="AU7">
            <v>1.503E-3</v>
          </cell>
          <cell r="AV7">
            <v>1.5099E-2</v>
          </cell>
          <cell r="AW7">
            <v>-5.0894000000000002E-2</v>
          </cell>
          <cell r="AX7">
            <v>-6.1539999999999997E-3</v>
          </cell>
          <cell r="AY7">
            <v>4.9618000000000002E-2</v>
          </cell>
          <cell r="AZ7">
            <v>-5.5466000000000001E-2</v>
          </cell>
          <cell r="BA7">
            <v>7.5144000000000002E-2</v>
          </cell>
          <cell r="BB7">
            <v>-2.9870000000000001E-3</v>
          </cell>
          <cell r="BC7">
            <v>2.8372999999999999E-2</v>
          </cell>
          <cell r="BD7">
            <v>-9.0270000000000003E-3</v>
          </cell>
          <cell r="BE7">
            <v>-4.4629000000000002E-2</v>
          </cell>
          <cell r="BF7">
            <v>-1.8675000000000001E-2</v>
          </cell>
          <cell r="BG7">
            <v>4.2870999999999999E-2</v>
          </cell>
          <cell r="BH7">
            <v>4.0749999999999996E-3</v>
          </cell>
          <cell r="BI7">
            <v>2.0278000000000001E-2</v>
          </cell>
        </row>
        <row r="8">
          <cell r="B8">
            <v>-5.1429999999999997E-2</v>
          </cell>
          <cell r="C8">
            <v>-5.7526000000000001E-2</v>
          </cell>
          <cell r="D8">
            <v>-9.9019999999999993E-3</v>
          </cell>
          <cell r="E8">
            <v>3.7259E-2</v>
          </cell>
          <cell r="F8">
            <v>-3.5753E-2</v>
          </cell>
          <cell r="G8">
            <v>-7.5937000000000004E-2</v>
          </cell>
          <cell r="H8">
            <v>-0.11497599999999999</v>
          </cell>
          <cell r="I8">
            <v>-8.9470999999999995E-2</v>
          </cell>
          <cell r="J8">
            <v>-0.13039600000000001</v>
          </cell>
          <cell r="K8">
            <v>0.207759</v>
          </cell>
          <cell r="L8">
            <v>-9.2565999999999996E-2</v>
          </cell>
          <cell r="M8">
            <v>1.5094E-2</v>
          </cell>
          <cell r="N8">
            <v>0.158722</v>
          </cell>
          <cell r="O8">
            <v>-3.8210000000000002E-3</v>
          </cell>
          <cell r="P8">
            <v>7.0740000000000004E-3</v>
          </cell>
          <cell r="Q8">
            <v>-9.2483999999999997E-2</v>
          </cell>
          <cell r="R8">
            <v>-6.4530000000000004E-2</v>
          </cell>
          <cell r="S8">
            <v>-9.2355999999999994E-2</v>
          </cell>
          <cell r="T8">
            <v>-3.7196E-2</v>
          </cell>
          <cell r="U8">
            <v>1.5334E-2</v>
          </cell>
          <cell r="V8">
            <v>5.4974000000000002E-2</v>
          </cell>
          <cell r="W8">
            <v>0.13581699999999999</v>
          </cell>
          <cell r="X8">
            <v>2.4686E-2</v>
          </cell>
          <cell r="Y8">
            <v>0.130604</v>
          </cell>
          <cell r="Z8">
            <v>7.2220000000000001E-3</v>
          </cell>
          <cell r="AA8">
            <v>-2.7054999999999999E-2</v>
          </cell>
          <cell r="AB8">
            <v>4.2022999999999998E-2</v>
          </cell>
          <cell r="AC8">
            <v>4.2085999999999998E-2</v>
          </cell>
          <cell r="AD8">
            <v>0.150785</v>
          </cell>
          <cell r="AE8">
            <v>-1.3693E-2</v>
          </cell>
          <cell r="AF8">
            <v>9.7407999999999995E-2</v>
          </cell>
          <cell r="AG8">
            <v>-4.1277000000000001E-2</v>
          </cell>
          <cell r="AH8">
            <v>4.1800999999999998E-2</v>
          </cell>
          <cell r="AI8">
            <v>1.9054000000000001E-2</v>
          </cell>
          <cell r="AJ8">
            <v>-2.2529999999999998E-3</v>
          </cell>
          <cell r="AK8">
            <v>-9.6804000000000001E-2</v>
          </cell>
          <cell r="AL8">
            <v>-2.2558999999999999E-2</v>
          </cell>
          <cell r="AM8">
            <v>2.8243000000000001E-2</v>
          </cell>
          <cell r="AN8">
            <v>1.3145E-2</v>
          </cell>
          <cell r="AO8">
            <v>4.3069000000000003E-2</v>
          </cell>
          <cell r="AP8">
            <v>1.7656999999999999E-2</v>
          </cell>
          <cell r="AQ8">
            <v>4.8461999999999998E-2</v>
          </cell>
          <cell r="AR8">
            <v>-5.7099999999999998E-3</v>
          </cell>
          <cell r="AS8">
            <v>2.2613999999999999E-2</v>
          </cell>
          <cell r="AT8">
            <v>-0.150588</v>
          </cell>
          <cell r="AU8">
            <v>-3.9078000000000002E-2</v>
          </cell>
          <cell r="AV8">
            <v>0.115995</v>
          </cell>
          <cell r="AW8">
            <v>-1.4922E-2</v>
          </cell>
          <cell r="AX8">
            <v>-4.1489999999999999E-2</v>
          </cell>
          <cell r="AY8">
            <v>0.110609</v>
          </cell>
          <cell r="AZ8">
            <v>-1.244E-2</v>
          </cell>
          <cell r="BA8">
            <v>-1.1972E-2</v>
          </cell>
          <cell r="BB8">
            <v>-3.9973000000000002E-2</v>
          </cell>
          <cell r="BC8">
            <v>-1.0547000000000001E-2</v>
          </cell>
          <cell r="BD8">
            <v>-2.2989999999999998E-3</v>
          </cell>
          <cell r="BE8">
            <v>-6.5033999999999995E-2</v>
          </cell>
          <cell r="BF8">
            <v>-2.1628999999999999E-2</v>
          </cell>
          <cell r="BG8">
            <v>0.10233200000000001</v>
          </cell>
          <cell r="BH8">
            <v>-3.3111000000000002E-2</v>
          </cell>
          <cell r="BI8">
            <v>-1.8447999999999999E-2</v>
          </cell>
        </row>
        <row r="9">
          <cell r="B9">
            <v>-1.1438E-2</v>
          </cell>
          <cell r="C9">
            <v>-8.2217999999999999E-2</v>
          </cell>
          <cell r="D9">
            <v>-7.5160000000000005E-2</v>
          </cell>
          <cell r="E9">
            <v>3.3860000000000001E-2</v>
          </cell>
          <cell r="F9">
            <v>-8.9250000000000006E-3</v>
          </cell>
          <cell r="G9">
            <v>-4.5782999999999997E-2</v>
          </cell>
          <cell r="H9">
            <v>-8.8674000000000003E-2</v>
          </cell>
          <cell r="I9">
            <v>-0.13206399999999999</v>
          </cell>
          <cell r="J9">
            <v>-0.160216</v>
          </cell>
          <cell r="K9">
            <v>0.28087099999999998</v>
          </cell>
          <cell r="L9">
            <v>-0.17650199999999999</v>
          </cell>
          <cell r="M9">
            <v>-4.7910000000000001E-2</v>
          </cell>
          <cell r="N9">
            <v>0.18480199999999999</v>
          </cell>
          <cell r="O9">
            <v>8.2664000000000001E-2</v>
          </cell>
          <cell r="P9">
            <v>-1.482E-2</v>
          </cell>
          <cell r="Q9">
            <v>-0.104014</v>
          </cell>
          <cell r="R9">
            <v>-3.5483000000000001E-2</v>
          </cell>
          <cell r="S9">
            <v>-0.11221200000000001</v>
          </cell>
          <cell r="T9">
            <v>-1.207E-3</v>
          </cell>
          <cell r="U9">
            <v>8.2307000000000005E-2</v>
          </cell>
          <cell r="V9">
            <v>6.4874000000000001E-2</v>
          </cell>
          <cell r="W9">
            <v>0.119779</v>
          </cell>
          <cell r="X9">
            <v>1.3602E-2</v>
          </cell>
          <cell r="Y9">
            <v>0.11358799999999999</v>
          </cell>
          <cell r="Z9">
            <v>-2.6168E-2</v>
          </cell>
          <cell r="AA9">
            <v>-3.4264000000000003E-2</v>
          </cell>
          <cell r="AB9">
            <v>2.3878E-2</v>
          </cell>
          <cell r="AC9">
            <v>0.108055</v>
          </cell>
          <cell r="AD9">
            <v>9.8697999999999994E-2</v>
          </cell>
          <cell r="AE9">
            <v>-1.7413999999999999E-2</v>
          </cell>
          <cell r="AF9">
            <v>7.6654E-2</v>
          </cell>
          <cell r="AG9">
            <v>-5.0301999999999999E-2</v>
          </cell>
          <cell r="AH9">
            <v>5.5258000000000002E-2</v>
          </cell>
          <cell r="AI9">
            <v>2.6145000000000002E-2</v>
          </cell>
          <cell r="AJ9">
            <v>4.7673E-2</v>
          </cell>
          <cell r="AK9">
            <v>5.5053999999999999E-2</v>
          </cell>
          <cell r="AL9">
            <v>-0.11740100000000001</v>
          </cell>
          <cell r="AM9">
            <v>2.826E-3</v>
          </cell>
          <cell r="AN9">
            <v>-4.1383999999999997E-2</v>
          </cell>
          <cell r="AO9">
            <v>1.5430000000000001E-3</v>
          </cell>
          <cell r="AP9">
            <v>2.5999999999999999E-3</v>
          </cell>
          <cell r="AQ9">
            <v>5.8215000000000003E-2</v>
          </cell>
          <cell r="AR9">
            <v>-6.8519999999999998E-2</v>
          </cell>
          <cell r="AS9">
            <v>2.8677000000000001E-2</v>
          </cell>
          <cell r="AT9">
            <v>-7.3663000000000006E-2</v>
          </cell>
          <cell r="AU9">
            <v>-1.7107000000000001E-2</v>
          </cell>
          <cell r="AV9">
            <v>6.4250000000000002E-2</v>
          </cell>
          <cell r="AW9">
            <v>5.2946E-2</v>
          </cell>
          <cell r="AX9">
            <v>-6.5796999999999994E-2</v>
          </cell>
          <cell r="AY9">
            <v>0.14357700000000001</v>
          </cell>
          <cell r="AZ9">
            <v>1.2933E-2</v>
          </cell>
          <cell r="BA9">
            <v>-6.5267000000000006E-2</v>
          </cell>
          <cell r="BB9">
            <v>2.5856000000000001E-2</v>
          </cell>
          <cell r="BC9">
            <v>-6.3385999999999998E-2</v>
          </cell>
          <cell r="BD9">
            <v>-5.4906000000000003E-2</v>
          </cell>
          <cell r="BE9">
            <v>-6.5992999999999996E-2</v>
          </cell>
          <cell r="BF9">
            <v>3.1928999999999999E-2</v>
          </cell>
          <cell r="BG9">
            <v>0.16279099999999999</v>
          </cell>
          <cell r="BH9">
            <v>3.6252E-2</v>
          </cell>
          <cell r="BI9">
            <v>-5.2253000000000001E-2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stendata.com/2012/10/install-analysis-toolpak-add-in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29" sqref="J29"/>
    </sheetView>
  </sheetViews>
  <sheetFormatPr defaultRowHeight="15"/>
  <cols>
    <col min="1" max="1" width="11.140625" bestFit="1" customWidth="1"/>
    <col min="2" max="2" width="11.5703125" bestFit="1" customWidth="1"/>
    <col min="3" max="3" width="17" customWidth="1"/>
    <col min="4" max="4" width="16.7109375" bestFit="1" customWidth="1"/>
    <col min="7" max="7" width="9" style="4"/>
  </cols>
  <sheetData>
    <row r="1" spans="1:7" s="2" customFormat="1" ht="19.5">
      <c r="A1" s="2" t="s">
        <v>2</v>
      </c>
      <c r="C1" s="2" t="s">
        <v>3</v>
      </c>
      <c r="E1" s="5" t="s">
        <v>15</v>
      </c>
      <c r="F1" s="5" t="s">
        <v>16</v>
      </c>
      <c r="G1" s="3"/>
    </row>
    <row r="2" spans="1:7">
      <c r="A2" t="s">
        <v>0</v>
      </c>
      <c r="B2" t="s">
        <v>1</v>
      </c>
      <c r="C2" t="s">
        <v>1</v>
      </c>
      <c r="E2" t="s">
        <v>4</v>
      </c>
      <c r="F2" t="s">
        <v>5</v>
      </c>
    </row>
    <row r="3" spans="1:7">
      <c r="A3" s="1">
        <v>41883</v>
      </c>
      <c r="B3">
        <v>88.849997999999999</v>
      </c>
      <c r="C3">
        <v>322.44000199999999</v>
      </c>
    </row>
    <row r="4" spans="1:7">
      <c r="A4" s="1">
        <v>41913</v>
      </c>
      <c r="B4">
        <v>98.599997999999999</v>
      </c>
      <c r="C4">
        <v>305.459991</v>
      </c>
      <c r="E4">
        <f>LN(B4/B3)</f>
        <v>0.10412170923380176</v>
      </c>
      <c r="F4">
        <f>LN(C4/C3)</f>
        <v>-5.4098270939564909E-2</v>
      </c>
      <c r="G4" s="4" t="str">
        <f ca="1">_xlfn.FORMULATEXT(F4)</f>
        <v>=LN(C4/C3)</v>
      </c>
    </row>
    <row r="5" spans="1:7">
      <c r="A5" s="1">
        <v>41944</v>
      </c>
      <c r="B5">
        <v>111.639999</v>
      </c>
      <c r="C5">
        <v>338.64001500000001</v>
      </c>
      <c r="E5">
        <f t="shared" ref="E5:E52" si="0">LN(B5/B4)</f>
        <v>0.12420815838614464</v>
      </c>
      <c r="F5">
        <f t="shared" ref="F5:F52" si="1">LN(C5/C4)</f>
        <v>0.10311883282895394</v>
      </c>
    </row>
    <row r="6" spans="1:7">
      <c r="A6" s="1">
        <v>41974</v>
      </c>
      <c r="B6">
        <v>103.94000200000001</v>
      </c>
      <c r="C6">
        <v>310.35000600000001</v>
      </c>
      <c r="E6">
        <f t="shared" si="0"/>
        <v>-7.1465570888592511E-2</v>
      </c>
      <c r="F6">
        <f t="shared" si="1"/>
        <v>-8.7236928314820938E-2</v>
      </c>
    </row>
    <row r="7" spans="1:7">
      <c r="A7" s="1">
        <v>42005</v>
      </c>
      <c r="B7">
        <v>89.080001999999993</v>
      </c>
      <c r="C7">
        <v>354.52999899999998</v>
      </c>
      <c r="E7">
        <f t="shared" si="0"/>
        <v>-0.15427896398127061</v>
      </c>
      <c r="F7">
        <f t="shared" si="1"/>
        <v>0.13309225361240848</v>
      </c>
    </row>
    <row r="8" spans="1:7">
      <c r="A8" s="1">
        <v>42036</v>
      </c>
      <c r="B8">
        <v>85.120002999999997</v>
      </c>
      <c r="C8">
        <v>380.16000400000001</v>
      </c>
      <c r="E8">
        <f t="shared" si="0"/>
        <v>-4.5472804003200848E-2</v>
      </c>
      <c r="F8">
        <f t="shared" si="1"/>
        <v>6.979926145102977E-2</v>
      </c>
    </row>
    <row r="9" spans="1:7">
      <c r="A9" s="1">
        <v>42064</v>
      </c>
      <c r="B9">
        <v>83.239998</v>
      </c>
      <c r="C9">
        <v>372.10000600000001</v>
      </c>
      <c r="E9">
        <f t="shared" si="0"/>
        <v>-2.2334083339171279E-2</v>
      </c>
      <c r="F9">
        <f t="shared" si="1"/>
        <v>-2.1429575778836519E-2</v>
      </c>
    </row>
    <row r="10" spans="1:7">
      <c r="A10" s="1">
        <v>42095</v>
      </c>
      <c r="B10">
        <v>81.290001000000004</v>
      </c>
      <c r="C10">
        <v>421.77999899999998</v>
      </c>
      <c r="E10">
        <f t="shared" si="0"/>
        <v>-2.3704957438406234E-2</v>
      </c>
      <c r="F10">
        <f t="shared" si="1"/>
        <v>0.12532119723543961</v>
      </c>
    </row>
    <row r="11" spans="1:7">
      <c r="A11" s="1">
        <v>42125</v>
      </c>
      <c r="B11">
        <v>89.32</v>
      </c>
      <c r="C11">
        <v>429.23001099999999</v>
      </c>
      <c r="E11">
        <f t="shared" si="0"/>
        <v>9.4202406911840078E-2</v>
      </c>
      <c r="F11">
        <f t="shared" si="1"/>
        <v>1.750908271209033E-2</v>
      </c>
    </row>
    <row r="12" spans="1:7">
      <c r="A12" s="1">
        <v>42156</v>
      </c>
      <c r="B12">
        <v>82.269997000000004</v>
      </c>
      <c r="C12">
        <v>434.08999599999999</v>
      </c>
      <c r="E12">
        <f t="shared" si="0"/>
        <v>-8.2218942256415947E-2</v>
      </c>
      <c r="F12">
        <f t="shared" si="1"/>
        <v>1.1258945233946025E-2</v>
      </c>
    </row>
    <row r="13" spans="1:7">
      <c r="A13" s="1">
        <v>42186</v>
      </c>
      <c r="B13">
        <v>78.339995999999999</v>
      </c>
      <c r="C13">
        <v>536.15002400000003</v>
      </c>
      <c r="E13">
        <f t="shared" si="0"/>
        <v>-4.8948207537341464E-2</v>
      </c>
      <c r="F13">
        <f t="shared" si="1"/>
        <v>0.21116214077099557</v>
      </c>
    </row>
    <row r="14" spans="1:7">
      <c r="A14" s="1">
        <v>42217</v>
      </c>
      <c r="B14">
        <v>70.839995999999999</v>
      </c>
      <c r="C14">
        <v>512.89001499999995</v>
      </c>
      <c r="E14">
        <f t="shared" si="0"/>
        <v>-0.10063452072884237</v>
      </c>
      <c r="F14">
        <f t="shared" si="1"/>
        <v>-4.435259095652358E-2</v>
      </c>
    </row>
    <row r="15" spans="1:7">
      <c r="A15" s="1">
        <v>42248</v>
      </c>
      <c r="B15">
        <v>58.970001000000003</v>
      </c>
      <c r="C15">
        <v>511.89001500000001</v>
      </c>
      <c r="E15">
        <f t="shared" si="0"/>
        <v>-0.18339489947916957</v>
      </c>
      <c r="F15">
        <f t="shared" si="1"/>
        <v>-1.9516389627689909E-3</v>
      </c>
    </row>
    <row r="16" spans="1:7">
      <c r="A16" s="1">
        <v>42278</v>
      </c>
      <c r="B16">
        <v>83.830001999999993</v>
      </c>
      <c r="C16">
        <v>625.90002400000003</v>
      </c>
      <c r="E16">
        <f t="shared" si="0"/>
        <v>0.35176210553738535</v>
      </c>
      <c r="F16">
        <f t="shared" si="1"/>
        <v>0.20108086476498516</v>
      </c>
    </row>
    <row r="17" spans="1:6">
      <c r="A17" s="1">
        <v>42309</v>
      </c>
      <c r="B17">
        <v>84.080001999999993</v>
      </c>
      <c r="C17">
        <v>664.79998799999998</v>
      </c>
      <c r="E17">
        <f t="shared" si="0"/>
        <v>2.9777878479918724E-3</v>
      </c>
      <c r="F17">
        <f t="shared" si="1"/>
        <v>6.0295573215258073E-2</v>
      </c>
    </row>
    <row r="18" spans="1:6">
      <c r="A18" s="1">
        <v>42339</v>
      </c>
      <c r="B18">
        <v>81.269997000000004</v>
      </c>
      <c r="C18">
        <v>675.89001499999995</v>
      </c>
      <c r="E18">
        <f t="shared" si="0"/>
        <v>-3.3991842504442614E-2</v>
      </c>
      <c r="F18">
        <f t="shared" si="1"/>
        <v>1.6544137611092583E-2</v>
      </c>
    </row>
    <row r="19" spans="1:6">
      <c r="A19" s="1">
        <v>42370</v>
      </c>
      <c r="B19">
        <v>67.029999000000004</v>
      </c>
      <c r="C19">
        <v>587</v>
      </c>
      <c r="E19">
        <f t="shared" si="0"/>
        <v>-0.19263664239994921</v>
      </c>
      <c r="F19">
        <f t="shared" si="1"/>
        <v>-0.14100554327369297</v>
      </c>
    </row>
    <row r="20" spans="1:6">
      <c r="A20" s="1">
        <v>42401</v>
      </c>
      <c r="B20">
        <v>68.809997999999993</v>
      </c>
      <c r="C20">
        <v>552.52002000000005</v>
      </c>
      <c r="E20">
        <f t="shared" si="0"/>
        <v>2.6208788697671927E-2</v>
      </c>
      <c r="F20">
        <f t="shared" si="1"/>
        <v>-6.0535151798553274E-2</v>
      </c>
    </row>
    <row r="21" spans="1:6">
      <c r="A21" s="1">
        <v>42430</v>
      </c>
      <c r="B21">
        <v>79.029999000000004</v>
      </c>
      <c r="C21">
        <v>593.64001499999995</v>
      </c>
      <c r="E21">
        <f t="shared" si="0"/>
        <v>0.13847846041461601</v>
      </c>
      <c r="F21">
        <f t="shared" si="1"/>
        <v>7.178343226591305E-2</v>
      </c>
    </row>
    <row r="22" spans="1:6">
      <c r="A22" s="1">
        <v>42461</v>
      </c>
      <c r="B22">
        <v>76.940002000000007</v>
      </c>
      <c r="C22">
        <v>659.59002699999996</v>
      </c>
      <c r="E22">
        <f t="shared" si="0"/>
        <v>-2.6801591245031113E-2</v>
      </c>
      <c r="F22">
        <f t="shared" si="1"/>
        <v>0.10534537050612541</v>
      </c>
    </row>
    <row r="23" spans="1:6">
      <c r="A23" s="1">
        <v>42491</v>
      </c>
      <c r="B23">
        <v>82</v>
      </c>
      <c r="C23">
        <v>722.78997800000002</v>
      </c>
      <c r="E23">
        <f t="shared" si="0"/>
        <v>6.3693323945822972E-2</v>
      </c>
      <c r="F23">
        <f t="shared" si="1"/>
        <v>9.1500222297398293E-2</v>
      </c>
    </row>
    <row r="24" spans="1:6">
      <c r="A24" s="1">
        <v>42522</v>
      </c>
      <c r="B24">
        <v>79.529999000000004</v>
      </c>
      <c r="C24">
        <v>715.61999500000002</v>
      </c>
      <c r="E24">
        <f t="shared" si="0"/>
        <v>-3.058495086908081E-2</v>
      </c>
      <c r="F24">
        <f t="shared" si="1"/>
        <v>-9.9694002672957097E-3</v>
      </c>
    </row>
    <row r="25" spans="1:6">
      <c r="A25" s="1">
        <v>42552</v>
      </c>
      <c r="B25">
        <v>82.480002999999996</v>
      </c>
      <c r="C25">
        <v>758.80999799999995</v>
      </c>
      <c r="E25">
        <f t="shared" si="0"/>
        <v>3.6421579685985285E-2</v>
      </c>
      <c r="F25">
        <f t="shared" si="1"/>
        <v>5.8602121209846161E-2</v>
      </c>
    </row>
    <row r="26" spans="1:6">
      <c r="A26" s="1">
        <v>42583</v>
      </c>
      <c r="B26">
        <v>97.190002000000007</v>
      </c>
      <c r="C26">
        <v>769.15997300000004</v>
      </c>
      <c r="E26">
        <f t="shared" si="0"/>
        <v>0.16411197001247024</v>
      </c>
      <c r="F26">
        <f t="shared" si="1"/>
        <v>1.354756113762587E-2</v>
      </c>
    </row>
    <row r="27" spans="1:6">
      <c r="A27" s="1">
        <v>42614</v>
      </c>
      <c r="B27">
        <v>105.790001</v>
      </c>
      <c r="C27">
        <v>837.30999799999995</v>
      </c>
      <c r="E27">
        <f t="shared" si="0"/>
        <v>8.4788160357744544E-2</v>
      </c>
      <c r="F27">
        <f t="shared" si="1"/>
        <v>8.4895394721912362E-2</v>
      </c>
    </row>
    <row r="28" spans="1:6">
      <c r="A28" s="1">
        <v>42644</v>
      </c>
      <c r="B28">
        <v>101.69000200000001</v>
      </c>
      <c r="C28">
        <v>789.82000700000003</v>
      </c>
      <c r="E28">
        <f t="shared" si="0"/>
        <v>-3.9527016980709213E-2</v>
      </c>
      <c r="F28">
        <f t="shared" si="1"/>
        <v>-5.8389289639810826E-2</v>
      </c>
    </row>
    <row r="29" spans="1:6">
      <c r="A29" s="1">
        <v>42675</v>
      </c>
      <c r="B29">
        <v>94.019997000000004</v>
      </c>
      <c r="C29">
        <v>750.57000700000003</v>
      </c>
      <c r="E29">
        <f t="shared" si="0"/>
        <v>-7.8421495782783873E-2</v>
      </c>
      <c r="F29">
        <f t="shared" si="1"/>
        <v>-5.0972153058414578E-2</v>
      </c>
    </row>
    <row r="30" spans="1:6">
      <c r="A30" s="1">
        <v>42705</v>
      </c>
      <c r="B30">
        <v>87.809997999999993</v>
      </c>
      <c r="C30">
        <v>768.65997300000004</v>
      </c>
      <c r="E30">
        <f t="shared" si="0"/>
        <v>-6.8332127092424616E-2</v>
      </c>
      <c r="F30">
        <f t="shared" si="1"/>
        <v>2.3815776767489815E-2</v>
      </c>
    </row>
    <row r="31" spans="1:6">
      <c r="A31" s="1">
        <v>42736</v>
      </c>
      <c r="B31">
        <v>101.30999799999999</v>
      </c>
      <c r="C31">
        <v>823.47997999999995</v>
      </c>
      <c r="E31">
        <f t="shared" si="0"/>
        <v>0.14300973672874323</v>
      </c>
      <c r="F31">
        <f t="shared" si="1"/>
        <v>6.8890534483602384E-2</v>
      </c>
    </row>
    <row r="32" spans="1:6">
      <c r="A32" s="1">
        <v>42767</v>
      </c>
      <c r="B32">
        <v>102.900002</v>
      </c>
      <c r="C32">
        <v>845.03997800000002</v>
      </c>
      <c r="E32">
        <f t="shared" si="0"/>
        <v>1.5572558952151828E-2</v>
      </c>
      <c r="F32">
        <f t="shared" si="1"/>
        <v>2.5844699026700214E-2</v>
      </c>
    </row>
    <row r="33" spans="1:6">
      <c r="A33" s="1">
        <v>42795</v>
      </c>
      <c r="B33">
        <v>107.83000199999999</v>
      </c>
      <c r="C33">
        <v>886.53997800000002</v>
      </c>
      <c r="E33">
        <f t="shared" si="0"/>
        <v>4.6798269165344991E-2</v>
      </c>
      <c r="F33">
        <f t="shared" si="1"/>
        <v>4.7942283463512946E-2</v>
      </c>
    </row>
    <row r="34" spans="1:6">
      <c r="A34" s="1">
        <v>42826</v>
      </c>
      <c r="B34">
        <v>115.5</v>
      </c>
      <c r="C34">
        <v>924.98999000000003</v>
      </c>
      <c r="E34">
        <f t="shared" si="0"/>
        <v>6.8714598520153547E-2</v>
      </c>
      <c r="F34">
        <f t="shared" si="1"/>
        <v>4.245669488810043E-2</v>
      </c>
    </row>
    <row r="35" spans="1:6">
      <c r="A35" s="1">
        <v>42856</v>
      </c>
      <c r="B35">
        <v>122.459999</v>
      </c>
      <c r="C35">
        <v>994.61999500000002</v>
      </c>
      <c r="E35">
        <f t="shared" si="0"/>
        <v>5.8513907922028312E-2</v>
      </c>
      <c r="F35">
        <f t="shared" si="1"/>
        <v>7.2577833805534647E-2</v>
      </c>
    </row>
    <row r="36" spans="1:6">
      <c r="A36" s="1">
        <v>42887</v>
      </c>
      <c r="B36">
        <v>140.89999399999999</v>
      </c>
      <c r="C36">
        <v>968</v>
      </c>
      <c r="E36">
        <f t="shared" si="0"/>
        <v>0.14026593843736451</v>
      </c>
      <c r="F36">
        <f t="shared" si="1"/>
        <v>-2.7128662361207066E-2</v>
      </c>
    </row>
    <row r="37" spans="1:6">
      <c r="A37" s="1">
        <v>42917</v>
      </c>
      <c r="B37">
        <v>154.949997</v>
      </c>
      <c r="C37">
        <v>987.78002900000001</v>
      </c>
      <c r="E37">
        <f t="shared" si="0"/>
        <v>9.5052088551431699E-2</v>
      </c>
      <c r="F37">
        <f t="shared" si="1"/>
        <v>2.0227942970172167E-2</v>
      </c>
    </row>
    <row r="38" spans="1:6">
      <c r="A38" s="1">
        <v>42948</v>
      </c>
      <c r="B38">
        <v>171.740005</v>
      </c>
      <c r="C38">
        <v>980.59997599999997</v>
      </c>
      <c r="E38">
        <f t="shared" si="0"/>
        <v>0.10287926948544197</v>
      </c>
      <c r="F38">
        <f t="shared" si="1"/>
        <v>-7.2954255044278991E-3</v>
      </c>
    </row>
    <row r="39" spans="1:6">
      <c r="A39" s="1">
        <v>42979</v>
      </c>
      <c r="B39">
        <v>172.71000699999999</v>
      </c>
      <c r="C39">
        <v>961.34997599999997</v>
      </c>
      <c r="E39">
        <f t="shared" si="0"/>
        <v>5.6321935280809815E-3</v>
      </c>
      <c r="F39">
        <f t="shared" si="1"/>
        <v>-1.982608308886917E-2</v>
      </c>
    </row>
    <row r="40" spans="1:6">
      <c r="A40" s="1">
        <v>43009</v>
      </c>
      <c r="B40">
        <v>184.88999899999999</v>
      </c>
      <c r="C40">
        <v>1105.280029</v>
      </c>
      <c r="E40">
        <f t="shared" si="0"/>
        <v>6.8147120347444134E-2</v>
      </c>
      <c r="F40">
        <f t="shared" si="1"/>
        <v>0.13951548010250206</v>
      </c>
    </row>
    <row r="41" spans="1:6">
      <c r="A41" s="1">
        <v>43040</v>
      </c>
      <c r="B41">
        <v>177.08000200000001</v>
      </c>
      <c r="C41">
        <v>1176.75</v>
      </c>
      <c r="E41">
        <f t="shared" si="0"/>
        <v>-4.3159429075369515E-2</v>
      </c>
      <c r="F41">
        <f t="shared" si="1"/>
        <v>6.2657678525297536E-2</v>
      </c>
    </row>
    <row r="42" spans="1:6">
      <c r="A42" s="1">
        <v>43070</v>
      </c>
      <c r="B42">
        <v>172.429993</v>
      </c>
      <c r="C42">
        <v>1169.469971</v>
      </c>
      <c r="E42">
        <f t="shared" si="0"/>
        <v>-2.6610302742415104E-2</v>
      </c>
      <c r="F42">
        <f t="shared" si="1"/>
        <v>-6.2057713716230263E-3</v>
      </c>
    </row>
    <row r="43" spans="1:6">
      <c r="A43" s="1">
        <v>43101</v>
      </c>
      <c r="B43">
        <v>204.28999300000001</v>
      </c>
      <c r="C43">
        <v>1450.8900149999999</v>
      </c>
      <c r="E43">
        <f t="shared" si="0"/>
        <v>0.16954920231869064</v>
      </c>
      <c r="F43">
        <f t="shared" si="1"/>
        <v>0.21562654165297973</v>
      </c>
    </row>
    <row r="44" spans="1:6">
      <c r="A44" s="1">
        <v>43132</v>
      </c>
      <c r="B44">
        <v>186.13999899999999</v>
      </c>
      <c r="C44">
        <v>1512.4499510000001</v>
      </c>
      <c r="E44">
        <f t="shared" si="0"/>
        <v>-9.3041445349282201E-2</v>
      </c>
      <c r="F44">
        <f t="shared" si="1"/>
        <v>4.1553648546959927E-2</v>
      </c>
    </row>
    <row r="45" spans="1:6">
      <c r="A45" s="1">
        <v>43160</v>
      </c>
      <c r="B45">
        <v>183.53999300000001</v>
      </c>
      <c r="C45">
        <v>1447.339966</v>
      </c>
      <c r="E45">
        <f t="shared" si="0"/>
        <v>-1.4066484133222847E-2</v>
      </c>
      <c r="F45">
        <f t="shared" si="1"/>
        <v>-4.4003454669149025E-2</v>
      </c>
    </row>
    <row r="46" spans="1:6">
      <c r="A46" s="1">
        <v>43191</v>
      </c>
      <c r="B46">
        <v>178.53999300000001</v>
      </c>
      <c r="C46">
        <v>1566.130005</v>
      </c>
      <c r="E46">
        <f t="shared" si="0"/>
        <v>-2.7619962707726251E-2</v>
      </c>
      <c r="F46">
        <f t="shared" si="1"/>
        <v>7.8880245905968011E-2</v>
      </c>
    </row>
    <row r="47" spans="1:6">
      <c r="A47" s="1">
        <v>43221</v>
      </c>
      <c r="B47">
        <v>198.009995</v>
      </c>
      <c r="C47">
        <v>1629.619995</v>
      </c>
      <c r="E47">
        <f t="shared" si="0"/>
        <v>0.10350488267413797</v>
      </c>
      <c r="F47">
        <f t="shared" si="1"/>
        <v>3.9739244373114081E-2</v>
      </c>
    </row>
    <row r="48" spans="1:6">
      <c r="A48" s="1">
        <v>43252</v>
      </c>
      <c r="B48">
        <v>185.529999</v>
      </c>
      <c r="C48">
        <v>1699.8000489999999</v>
      </c>
      <c r="E48">
        <f t="shared" si="0"/>
        <v>-6.5100920569630405E-2</v>
      </c>
      <c r="F48">
        <f t="shared" si="1"/>
        <v>4.2163770171944864E-2</v>
      </c>
    </row>
    <row r="49" spans="1:7">
      <c r="A49" s="1">
        <v>43282</v>
      </c>
      <c r="B49">
        <v>187.229996</v>
      </c>
      <c r="C49">
        <v>1777.4399410000001</v>
      </c>
      <c r="E49">
        <f t="shared" si="0"/>
        <v>9.1211976011408707E-3</v>
      </c>
      <c r="F49">
        <f t="shared" si="1"/>
        <v>4.4663467748158651E-2</v>
      </c>
    </row>
    <row r="50" spans="1:7">
      <c r="A50" s="1">
        <v>43313</v>
      </c>
      <c r="B50">
        <v>175.009995</v>
      </c>
      <c r="C50">
        <v>2012.709961</v>
      </c>
      <c r="E50">
        <f t="shared" si="0"/>
        <v>-6.7494699671693761E-2</v>
      </c>
      <c r="F50">
        <f t="shared" si="1"/>
        <v>0.12430795965848446</v>
      </c>
    </row>
    <row r="51" spans="1:7">
      <c r="A51" s="1">
        <v>43344</v>
      </c>
      <c r="B51">
        <v>164.759995</v>
      </c>
      <c r="C51">
        <v>2003</v>
      </c>
      <c r="E51">
        <f t="shared" si="0"/>
        <v>-6.0353247357561778E-2</v>
      </c>
      <c r="F51">
        <f t="shared" si="1"/>
        <v>-4.8359966322712193E-3</v>
      </c>
    </row>
    <row r="52" spans="1:7">
      <c r="A52" s="1">
        <v>43374</v>
      </c>
      <c r="B52">
        <v>141.89999399999999</v>
      </c>
      <c r="C52">
        <v>1719.3599850000001</v>
      </c>
      <c r="E52">
        <f t="shared" si="0"/>
        <v>-0.14936729733800996</v>
      </c>
      <c r="F52">
        <f t="shared" si="1"/>
        <v>-0.152693936849538</v>
      </c>
    </row>
    <row r="53" spans="1:7">
      <c r="A53" s="1"/>
    </row>
    <row r="54" spans="1:7">
      <c r="E54" t="s">
        <v>4</v>
      </c>
      <c r="F54" t="s">
        <v>6</v>
      </c>
    </row>
    <row r="55" spans="1:7">
      <c r="D55" t="s">
        <v>7</v>
      </c>
      <c r="E55">
        <f>AVERAGE(E4:E52)</f>
        <v>9.5545512202425548E-3</v>
      </c>
      <c r="F55">
        <f>AVERAGE(F4:F52)</f>
        <v>3.415898612649336E-2</v>
      </c>
      <c r="G55" s="4" t="str">
        <f ca="1">_xlfn.FORMULATEXT(F55)</f>
        <v>=AVERAGE(F4:F52)</v>
      </c>
    </row>
    <row r="56" spans="1:7">
      <c r="D56" t="s">
        <v>8</v>
      </c>
      <c r="E56">
        <f>_xlfn.VAR.P(E4:E52)</f>
        <v>1.0459505875905672E-2</v>
      </c>
      <c r="F56">
        <f>_xlfn.VAR.P(F4:F52)</f>
        <v>6.1240181192295656E-3</v>
      </c>
      <c r="G56" s="4" t="str">
        <f ca="1">_xlfn.FORMULATEXT(F56)</f>
        <v>=VAR.P(F4:F52)</v>
      </c>
    </row>
    <row r="57" spans="1:7">
      <c r="D57" t="s">
        <v>9</v>
      </c>
      <c r="E57">
        <f>SQRT(E56)</f>
        <v>0.10227172569144256</v>
      </c>
      <c r="F57">
        <f>SQRT(F56)</f>
        <v>7.825610595493214E-2</v>
      </c>
      <c r="G57" s="4" t="str">
        <f ca="1">_xlfn.FORMULATEXT(F57)</f>
        <v>=SQRT(F56)</v>
      </c>
    </row>
    <row r="59" spans="1:7">
      <c r="D59" t="s">
        <v>10</v>
      </c>
      <c r="E59">
        <f>E55*12</f>
        <v>0.11465461464291066</v>
      </c>
      <c r="F59">
        <f>F55*12</f>
        <v>0.40990783351792032</v>
      </c>
      <c r="G59" s="4" t="str">
        <f ca="1">_xlfn.FORMULATEXT(F59)</f>
        <v>=F55*12</v>
      </c>
    </row>
    <row r="60" spans="1:7">
      <c r="D60" t="s">
        <v>11</v>
      </c>
      <c r="E60">
        <f>E56*12</f>
        <v>0.12551407051086805</v>
      </c>
      <c r="F60">
        <f>F56*12</f>
        <v>7.3488217430754788E-2</v>
      </c>
      <c r="G60" s="4" t="str">
        <f ca="1">_xlfn.FORMULATEXT(F60)</f>
        <v>=F56*12</v>
      </c>
    </row>
    <row r="61" spans="1:7">
      <c r="D61" t="s">
        <v>12</v>
      </c>
      <c r="E61">
        <f>E57*SQRT(12)</f>
        <v>0.35427965015065155</v>
      </c>
      <c r="F61">
        <f>F57*SQRT(12)</f>
        <v>0.27108710303287165</v>
      </c>
      <c r="G61" s="4" t="str">
        <f ca="1">_xlfn.FORMULATEXT(F61)</f>
        <v>=F57*SQRT(12)</v>
      </c>
    </row>
    <row r="63" spans="1:7">
      <c r="D63" t="s">
        <v>13</v>
      </c>
      <c r="E63">
        <f>_xlfn.COVARIANCE.P(E4:E52,F4:F52)</f>
        <v>3.3334926474666475E-3</v>
      </c>
      <c r="G63" s="4" t="str">
        <f ca="1">_xlfn.FORMULATEXT(E63)</f>
        <v>=COVARIANCE.P(E4:E52,F4:F52)</v>
      </c>
    </row>
    <row r="64" spans="1:7">
      <c r="D64" t="s">
        <v>14</v>
      </c>
      <c r="E64">
        <f>CORREL(E4:E52,F4:F52)</f>
        <v>0.41651024081103533</v>
      </c>
      <c r="G64" s="4" t="str">
        <f ca="1">_xlfn.FORMULATEXT(E64)</f>
        <v>=CORREL(E4:E52,F4:F52)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workbookViewId="0">
      <selection activeCell="F32" sqref="F32"/>
    </sheetView>
  </sheetViews>
  <sheetFormatPr defaultRowHeight="15"/>
  <cols>
    <col min="1" max="1" width="10.85546875" bestFit="1" customWidth="1"/>
    <col min="2" max="2" width="9.85546875" customWidth="1"/>
    <col min="3" max="3" width="10" customWidth="1"/>
    <col min="4" max="4" width="8" customWidth="1"/>
  </cols>
  <sheetData>
    <row r="2" spans="1:5">
      <c r="B2" t="s">
        <v>22</v>
      </c>
      <c r="C2" t="s">
        <v>23</v>
      </c>
    </row>
    <row r="3" spans="1:5">
      <c r="A3" t="s">
        <v>18</v>
      </c>
      <c r="B3" s="7">
        <f>RawData!E55</f>
        <v>9.5545512202425548E-3</v>
      </c>
      <c r="C3" s="7">
        <f>RawData!E57</f>
        <v>0.10227172569144256</v>
      </c>
      <c r="D3">
        <f>C3^2</f>
        <v>1.0459505875905674E-2</v>
      </c>
    </row>
    <row r="4" spans="1:5">
      <c r="A4" t="s">
        <v>20</v>
      </c>
      <c r="B4" s="7">
        <f>RawData!F55</f>
        <v>3.415898612649336E-2</v>
      </c>
      <c r="C4" s="7">
        <f>RawData!F57</f>
        <v>7.825610595493214E-2</v>
      </c>
      <c r="D4">
        <f>C4^2</f>
        <v>6.1240181192295656E-3</v>
      </c>
    </row>
    <row r="5" spans="1:5">
      <c r="A5" t="s">
        <v>25</v>
      </c>
      <c r="C5">
        <f>C6*C3*C4</f>
        <v>2.4010161005709853E-3</v>
      </c>
      <c r="D5">
        <f>C6*C3*C4</f>
        <v>2.4010161005709853E-3</v>
      </c>
      <c r="E5" s="10" t="str">
        <f ca="1">_xlfn.FORMULATEXT(D5)</f>
        <v>=C6*C3*C4</v>
      </c>
    </row>
    <row r="6" spans="1:5">
      <c r="A6" t="s">
        <v>26</v>
      </c>
      <c r="C6" s="11">
        <v>0.3</v>
      </c>
      <c r="D6" s="10"/>
    </row>
    <row r="9" spans="1:5">
      <c r="A9" t="s">
        <v>27</v>
      </c>
    </row>
    <row r="10" spans="1:5">
      <c r="A10" t="s">
        <v>28</v>
      </c>
      <c r="B10" s="8">
        <v>0.25</v>
      </c>
      <c r="D10" s="10"/>
    </row>
    <row r="11" spans="1:5">
      <c r="A11" t="s">
        <v>29</v>
      </c>
      <c r="B11" s="9">
        <f>B10*B3+(1-B10)*B4</f>
        <v>2.8007877399930659E-2</v>
      </c>
      <c r="D11" s="10" t="str">
        <f ca="1">_xlfn.FORMULATEXT(B11)</f>
        <v>=B10*B3+(1-B10)*B4</v>
      </c>
    </row>
    <row r="12" spans="1:5">
      <c r="A12" t="s">
        <v>31</v>
      </c>
      <c r="B12">
        <f>(B10^2)*(C3^2)+((1-B10)^2)*(C4^2)+2*B10*(1-B10)*C5</f>
        <v>4.998860347024855E-3</v>
      </c>
      <c r="D12" s="10" t="str">
        <f ca="1">_xlfn.FORMULATEXT(B12)</f>
        <v>=(B10^2)*(C3^2)+((1-B10)^2)*(C4^2)+2*B10*(1-B10)*C5</v>
      </c>
    </row>
    <row r="13" spans="1:5">
      <c r="A13" t="s">
        <v>32</v>
      </c>
      <c r="B13" s="9">
        <f>SQRT(B12)</f>
        <v>7.0702619095934879E-2</v>
      </c>
      <c r="D13" s="10" t="str">
        <f ca="1">_xlfn.FORMULATEXT(B13)</f>
        <v>=SQRT(B12)</v>
      </c>
    </row>
    <row r="15" spans="1:5">
      <c r="A15" t="s">
        <v>33</v>
      </c>
    </row>
    <row r="16" spans="1:5">
      <c r="B16" t="s">
        <v>34</v>
      </c>
      <c r="C16" t="s">
        <v>29</v>
      </c>
    </row>
    <row r="17" spans="1:3">
      <c r="B17" s="9">
        <f>B13</f>
        <v>7.0702619095934879E-2</v>
      </c>
      <c r="C17" s="9">
        <f>B11</f>
        <v>2.8007877399930659E-2</v>
      </c>
    </row>
    <row r="18" spans="1:3">
      <c r="A18" s="8">
        <v>-0.3</v>
      </c>
      <c r="B18" s="7">
        <f t="dataTable" ref="B18:C34" dt2D="0" dtr="0" r1="B10"/>
        <v>9.7047171993232803E-2</v>
      </c>
      <c r="C18" s="7">
        <v>4.1540316598368605E-2</v>
      </c>
    </row>
    <row r="19" spans="1:3">
      <c r="A19" s="8">
        <v>-0.2</v>
      </c>
      <c r="B19" s="7">
        <v>8.9913728642809193E-2</v>
      </c>
      <c r="C19" s="7">
        <v>3.9079873107743517E-2</v>
      </c>
    </row>
    <row r="20" spans="1:3">
      <c r="A20" s="8">
        <v>-0.1</v>
      </c>
      <c r="B20" s="11">
        <v>8.3584887634674823E-2</v>
      </c>
      <c r="C20" s="11">
        <v>3.6619429617118449E-2</v>
      </c>
    </row>
    <row r="21" spans="1:3">
      <c r="A21" s="8">
        <v>0</v>
      </c>
      <c r="B21" s="7">
        <v>7.825610595493214E-2</v>
      </c>
      <c r="C21" s="7">
        <v>3.415898612649336E-2</v>
      </c>
    </row>
    <row r="22" spans="1:3">
      <c r="A22" s="8">
        <v>0.1</v>
      </c>
      <c r="B22" s="7">
        <v>7.4143324941883901E-2</v>
      </c>
      <c r="C22" s="7">
        <v>3.1698542635868278E-2</v>
      </c>
    </row>
    <row r="23" spans="1:3">
      <c r="A23" s="8">
        <v>0.2</v>
      </c>
      <c r="B23" s="7">
        <v>7.1456819013484399E-2</v>
      </c>
      <c r="C23" s="7">
        <v>2.9238099145243203E-2</v>
      </c>
    </row>
    <row r="24" spans="1:3">
      <c r="A24" s="8">
        <v>0.3</v>
      </c>
      <c r="B24" s="7">
        <v>7.0360153279351301E-2</v>
      </c>
      <c r="C24" s="7">
        <v>2.6777655654618114E-2</v>
      </c>
    </row>
    <row r="25" spans="1:3">
      <c r="A25" s="8">
        <v>0.4</v>
      </c>
      <c r="B25" s="7">
        <v>7.092711182151451E-2</v>
      </c>
      <c r="C25" s="7">
        <v>2.4317212163993036E-2</v>
      </c>
    </row>
    <row r="26" spans="1:3">
      <c r="A26" s="8">
        <v>0.5</v>
      </c>
      <c r="B26" s="7">
        <v>7.3119006072766765E-2</v>
      </c>
      <c r="C26" s="7">
        <v>2.1856768673367957E-2</v>
      </c>
    </row>
    <row r="27" spans="1:3">
      <c r="A27" s="8">
        <v>0.6</v>
      </c>
      <c r="B27" s="7">
        <v>7.6796827686284319E-2</v>
      </c>
      <c r="C27" s="7">
        <v>1.9396325182742879E-2</v>
      </c>
    </row>
    <row r="28" spans="1:3">
      <c r="A28" s="8">
        <v>0.7</v>
      </c>
      <c r="B28" s="7">
        <v>8.1760297652126085E-2</v>
      </c>
      <c r="C28" s="7">
        <v>1.6935881692117797E-2</v>
      </c>
    </row>
    <row r="29" spans="1:3">
      <c r="A29" s="8">
        <v>0.8</v>
      </c>
      <c r="B29" s="7">
        <v>8.7791626238107309E-2</v>
      </c>
      <c r="C29" s="7">
        <v>1.4475438201492715E-2</v>
      </c>
    </row>
    <row r="30" spans="1:3">
      <c r="A30" s="8">
        <v>0.9</v>
      </c>
      <c r="B30" s="7">
        <v>9.4686972909575423E-2</v>
      </c>
      <c r="C30" s="7">
        <v>1.2014994710867635E-2</v>
      </c>
    </row>
    <row r="31" spans="1:3">
      <c r="A31" s="8">
        <v>1</v>
      </c>
      <c r="B31" s="7">
        <v>0.10227172569144256</v>
      </c>
      <c r="C31" s="7">
        <v>9.5545512202425548E-3</v>
      </c>
    </row>
    <row r="32" spans="1:3">
      <c r="A32" s="8">
        <v>1.1000000000000001</v>
      </c>
      <c r="B32" s="7">
        <v>0.11040388919287467</v>
      </c>
      <c r="C32" s="7">
        <v>7.094107729617472E-3</v>
      </c>
    </row>
    <row r="33" spans="1:3">
      <c r="A33" s="8">
        <v>1.2</v>
      </c>
      <c r="B33" s="7">
        <v>0.11897126315963566</v>
      </c>
      <c r="C33" s="7">
        <v>4.6336642389923953E-3</v>
      </c>
    </row>
    <row r="34" spans="1:3">
      <c r="A34" s="8">
        <v>1.3</v>
      </c>
      <c r="B34" s="7">
        <v>0.12788641054688291</v>
      </c>
      <c r="C34" s="7">
        <v>2.1732207483673126E-3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Normal="100" workbookViewId="0">
      <selection activeCell="H18" sqref="H18"/>
    </sheetView>
  </sheetViews>
  <sheetFormatPr defaultRowHeight="15"/>
  <cols>
    <col min="1" max="1" width="10.85546875" bestFit="1" customWidth="1"/>
    <col min="2" max="2" width="9.85546875" customWidth="1"/>
    <col min="3" max="3" width="10" customWidth="1"/>
    <col min="4" max="4" width="8" customWidth="1"/>
  </cols>
  <sheetData>
    <row r="2" spans="1:5">
      <c r="B2" t="s">
        <v>22</v>
      </c>
      <c r="C2" t="s">
        <v>23</v>
      </c>
    </row>
    <row r="3" spans="1:5">
      <c r="A3" t="s">
        <v>116</v>
      </c>
      <c r="B3" s="7">
        <f>RawData!E55</f>
        <v>9.5545512202425548E-3</v>
      </c>
      <c r="C3" s="7">
        <v>0</v>
      </c>
      <c r="D3">
        <f>C3^2</f>
        <v>0</v>
      </c>
    </row>
    <row r="4" spans="1:5">
      <c r="A4" t="s">
        <v>5</v>
      </c>
      <c r="B4" s="7">
        <f>RawData!F55</f>
        <v>3.415898612649336E-2</v>
      </c>
      <c r="C4" s="7">
        <f>RawData!F57</f>
        <v>7.825610595493214E-2</v>
      </c>
      <c r="D4">
        <f>C4^2</f>
        <v>6.1240181192295656E-3</v>
      </c>
    </row>
    <row r="5" spans="1:5">
      <c r="A5" t="s">
        <v>25</v>
      </c>
      <c r="C5">
        <f>C6*C3*C4</f>
        <v>0</v>
      </c>
      <c r="D5">
        <f>C6*C3*C4</f>
        <v>0</v>
      </c>
      <c r="E5" s="10" t="str">
        <f ca="1">_xlfn.FORMULATEXT(D5)</f>
        <v>=C6*C3*C4</v>
      </c>
    </row>
    <row r="6" spans="1:5">
      <c r="A6" t="s">
        <v>26</v>
      </c>
      <c r="C6" s="11">
        <v>0</v>
      </c>
      <c r="D6" s="10"/>
    </row>
    <row r="9" spans="1:5">
      <c r="A9" t="s">
        <v>27</v>
      </c>
    </row>
    <row r="10" spans="1:5">
      <c r="A10" t="s">
        <v>28</v>
      </c>
      <c r="B10" s="8">
        <v>0.25</v>
      </c>
      <c r="D10" s="10"/>
    </row>
    <row r="11" spans="1:5">
      <c r="A11" t="s">
        <v>22</v>
      </c>
      <c r="B11" s="9">
        <f>B10*B3+(1-B10)*B4</f>
        <v>2.8007877399930659E-2</v>
      </c>
      <c r="D11" s="10" t="str">
        <f ca="1">_xlfn.FORMULATEXT(B11)</f>
        <v>=B10*B3+(1-B10)*B4</v>
      </c>
    </row>
    <row r="12" spans="1:5">
      <c r="A12" t="s">
        <v>31</v>
      </c>
      <c r="B12">
        <f>(B10^2)*(C3^2)+((1-B10)^2)*(C4^2)+2*B10*(1-B10)*C5</f>
        <v>3.4447601920666307E-3</v>
      </c>
      <c r="D12" s="10" t="str">
        <f ca="1">_xlfn.FORMULATEXT(B12)</f>
        <v>=(B10^2)*(C3^2)+((1-B10)^2)*(C4^2)+2*B10*(1-B10)*C5</v>
      </c>
    </row>
    <row r="13" spans="1:5">
      <c r="A13" t="s">
        <v>23</v>
      </c>
      <c r="B13" s="9">
        <f>SQRT(B12)</f>
        <v>5.8692079466199108E-2</v>
      </c>
      <c r="D13" s="10" t="str">
        <f ca="1">_xlfn.FORMULATEXT(B13)</f>
        <v>=SQRT(B12)</v>
      </c>
    </row>
    <row r="15" spans="1:5">
      <c r="A15" t="s">
        <v>28</v>
      </c>
    </row>
    <row r="16" spans="1:5">
      <c r="B16" t="s">
        <v>23</v>
      </c>
      <c r="C16" t="s">
        <v>22</v>
      </c>
    </row>
    <row r="17" spans="1:3">
      <c r="B17" s="9">
        <f>B13</f>
        <v>5.8692079466199108E-2</v>
      </c>
      <c r="C17" s="9">
        <f>B11</f>
        <v>2.8007877399930659E-2</v>
      </c>
    </row>
    <row r="18" spans="1:3">
      <c r="A18" s="8">
        <v>-0.3</v>
      </c>
      <c r="B18" s="7">
        <f t="dataTable" ref="B18:C34" dt2D="0" dtr="0" r1="B10"/>
        <v>0.10173293774141179</v>
      </c>
      <c r="C18" s="7">
        <v>4.1540316598368605E-2</v>
      </c>
    </row>
    <row r="19" spans="1:3">
      <c r="A19" s="8">
        <v>-0.2</v>
      </c>
      <c r="B19" s="7">
        <v>9.3907327145918568E-2</v>
      </c>
      <c r="C19" s="7">
        <v>3.9079873107743517E-2</v>
      </c>
    </row>
    <row r="20" spans="1:3">
      <c r="A20" s="8">
        <v>-0.1</v>
      </c>
      <c r="B20" s="11">
        <v>8.6081716550425361E-2</v>
      </c>
      <c r="C20" s="11">
        <v>3.6619429617118449E-2</v>
      </c>
    </row>
    <row r="21" spans="1:3">
      <c r="A21" s="8">
        <v>0</v>
      </c>
      <c r="B21" s="7">
        <v>7.825610595493214E-2</v>
      </c>
      <c r="C21" s="7">
        <v>3.415898612649336E-2</v>
      </c>
    </row>
    <row r="22" spans="1:3">
      <c r="A22" s="8">
        <v>0.1</v>
      </c>
      <c r="B22" s="7">
        <v>7.0430495359438933E-2</v>
      </c>
      <c r="C22" s="7">
        <v>3.1698542635868278E-2</v>
      </c>
    </row>
    <row r="23" spans="1:3">
      <c r="A23" s="8">
        <v>0.2</v>
      </c>
      <c r="B23" s="7">
        <v>6.2604884763945712E-2</v>
      </c>
      <c r="C23" s="7">
        <v>2.9238099145243203E-2</v>
      </c>
    </row>
    <row r="24" spans="1:3">
      <c r="A24" s="8">
        <v>0.3</v>
      </c>
      <c r="B24" s="7">
        <v>5.4779274168452491E-2</v>
      </c>
      <c r="C24" s="7">
        <v>2.6777655654618114E-2</v>
      </c>
    </row>
    <row r="25" spans="1:3">
      <c r="A25" s="8">
        <v>0.4</v>
      </c>
      <c r="B25" s="7">
        <v>4.6953663572959284E-2</v>
      </c>
      <c r="C25" s="7">
        <v>2.4317212163993036E-2</v>
      </c>
    </row>
    <row r="26" spans="1:3">
      <c r="A26" s="8">
        <v>0.5</v>
      </c>
      <c r="B26" s="7">
        <v>3.912805297746607E-2</v>
      </c>
      <c r="C26" s="7">
        <v>2.1856768673367957E-2</v>
      </c>
    </row>
    <row r="27" spans="1:3">
      <c r="A27" s="8">
        <v>0.6</v>
      </c>
      <c r="B27" s="7">
        <v>3.1302442381972856E-2</v>
      </c>
      <c r="C27" s="7">
        <v>1.9396325182742879E-2</v>
      </c>
    </row>
    <row r="28" spans="1:3">
      <c r="A28" s="8">
        <v>0.7</v>
      </c>
      <c r="B28" s="7">
        <v>2.3476831786479645E-2</v>
      </c>
      <c r="C28" s="7">
        <v>1.6935881692117797E-2</v>
      </c>
    </row>
    <row r="29" spans="1:3">
      <c r="A29" s="8">
        <v>0.8</v>
      </c>
      <c r="B29" s="7">
        <v>1.5651221190986424E-2</v>
      </c>
      <c r="C29" s="7">
        <v>1.4475438201492715E-2</v>
      </c>
    </row>
    <row r="30" spans="1:3">
      <c r="A30" s="8">
        <v>0.9</v>
      </c>
      <c r="B30" s="7">
        <v>7.8256105954932122E-3</v>
      </c>
      <c r="C30" s="7">
        <v>1.2014994710867635E-2</v>
      </c>
    </row>
    <row r="31" spans="1:3">
      <c r="A31" s="8">
        <v>1</v>
      </c>
      <c r="B31" s="7">
        <v>0</v>
      </c>
      <c r="C31" s="7">
        <v>9.5545512202425548E-3</v>
      </c>
    </row>
    <row r="32" spans="1:3">
      <c r="A32" s="8">
        <v>1.1000000000000001</v>
      </c>
      <c r="B32" s="7">
        <v>7.8256105954932209E-3</v>
      </c>
      <c r="C32" s="7">
        <v>7.094107729617472E-3</v>
      </c>
    </row>
    <row r="33" spans="1:3">
      <c r="A33" s="8">
        <v>1.2</v>
      </c>
      <c r="B33" s="7">
        <v>1.5651221190986424E-2</v>
      </c>
      <c r="C33" s="7">
        <v>4.6336642389923953E-3</v>
      </c>
    </row>
    <row r="34" spans="1:3">
      <c r="A34" s="8">
        <v>1.3</v>
      </c>
      <c r="B34" s="7">
        <v>2.3476831786479645E-2</v>
      </c>
      <c r="C34" s="7">
        <v>2.1732207483673126E-3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zoomScaleNormal="100" workbookViewId="0">
      <selection activeCell="D35" sqref="D35"/>
    </sheetView>
  </sheetViews>
  <sheetFormatPr defaultRowHeight="15"/>
  <cols>
    <col min="2" max="2" width="10.7109375" customWidth="1"/>
    <col min="3" max="3" width="11.42578125" customWidth="1"/>
    <col min="4" max="4" width="10.5703125" bestFit="1" customWidth="1"/>
    <col min="7" max="7" width="21.42578125" bestFit="1" customWidth="1"/>
  </cols>
  <sheetData>
    <row r="2" spans="2:12">
      <c r="B2" t="s">
        <v>35</v>
      </c>
      <c r="H2" t="s">
        <v>36</v>
      </c>
    </row>
    <row r="3" spans="2:12">
      <c r="B3">
        <v>1</v>
      </c>
      <c r="C3">
        <v>2</v>
      </c>
      <c r="D3">
        <v>3</v>
      </c>
      <c r="E3">
        <v>2</v>
      </c>
      <c r="H3">
        <f t="array" ref="H3">MMULT(B3:E3,B6:B9)</f>
        <v>30</v>
      </c>
      <c r="I3" s="10" t="str">
        <f ca="1">_xlfn.FORMULATEXT(H3)</f>
        <v>{=MMULT(B3:E3,B6:B9)}</v>
      </c>
    </row>
    <row r="5" spans="2:12">
      <c r="B5" t="s">
        <v>38</v>
      </c>
      <c r="H5">
        <f t="array" ref="H5:K8">MMULT(B6:B9,B3:E3)</f>
        <v>2</v>
      </c>
      <c r="I5">
        <v>4</v>
      </c>
      <c r="J5">
        <v>6</v>
      </c>
      <c r="K5">
        <v>4</v>
      </c>
      <c r="L5" s="10" t="str">
        <f ca="1">_xlfn.FORMULATEXT(K5)</f>
        <v>{=MMULT(B6:B9,B3:E3)}</v>
      </c>
    </row>
    <row r="6" spans="2:12">
      <c r="B6">
        <v>2</v>
      </c>
      <c r="F6">
        <f t="array" ref="F6:F9">TRANSPOSE(B3:E3)</f>
        <v>1</v>
      </c>
      <c r="G6" s="10" t="str">
        <f ca="1">_xlfn.FORMULATEXT(F6)</f>
        <v>{=TRANSPOSE(B3:E3)}</v>
      </c>
      <c r="H6">
        <v>3</v>
      </c>
      <c r="I6">
        <v>6</v>
      </c>
      <c r="J6">
        <v>9</v>
      </c>
      <c r="K6">
        <v>6</v>
      </c>
    </row>
    <row r="7" spans="2:12">
      <c r="B7">
        <v>3</v>
      </c>
      <c r="F7">
        <v>2</v>
      </c>
      <c r="H7">
        <v>4</v>
      </c>
      <c r="I7">
        <v>8</v>
      </c>
      <c r="J7">
        <v>12</v>
      </c>
      <c r="K7">
        <v>8</v>
      </c>
    </row>
    <row r="8" spans="2:12">
      <c r="B8">
        <v>4</v>
      </c>
      <c r="F8">
        <v>3</v>
      </c>
      <c r="H8">
        <v>5</v>
      </c>
      <c r="I8">
        <v>10</v>
      </c>
      <c r="J8">
        <v>15</v>
      </c>
      <c r="K8">
        <v>10</v>
      </c>
    </row>
    <row r="9" spans="2:12">
      <c r="B9">
        <v>5</v>
      </c>
      <c r="F9">
        <v>2</v>
      </c>
    </row>
    <row r="11" spans="2:12">
      <c r="B11" t="s">
        <v>37</v>
      </c>
    </row>
    <row r="12" spans="2:12">
      <c r="B12">
        <v>1</v>
      </c>
      <c r="C12">
        <v>2</v>
      </c>
      <c r="D12">
        <v>4</v>
      </c>
      <c r="E12">
        <v>3</v>
      </c>
      <c r="H12">
        <f t="array" ref="H12:H14">MMULT(B12:E14,B6:B9)</f>
        <v>39</v>
      </c>
      <c r="I12" s="10" t="str">
        <f ca="1">_xlfn.FORMULATEXT(H12)</f>
        <v>{=MMULT(B12:E14,B6:B9)}</v>
      </c>
    </row>
    <row r="13" spans="2:12">
      <c r="B13">
        <v>2</v>
      </c>
      <c r="C13">
        <v>3</v>
      </c>
      <c r="D13">
        <v>3</v>
      </c>
      <c r="E13">
        <v>2</v>
      </c>
      <c r="H13">
        <v>35</v>
      </c>
    </row>
    <row r="14" spans="2:12">
      <c r="B14">
        <v>2</v>
      </c>
      <c r="C14">
        <v>1</v>
      </c>
      <c r="D14">
        <v>3</v>
      </c>
      <c r="E14">
        <v>3</v>
      </c>
      <c r="H14">
        <v>34</v>
      </c>
    </row>
    <row r="17" spans="1:5">
      <c r="A17" t="s">
        <v>39</v>
      </c>
      <c r="B17" s="12">
        <v>2</v>
      </c>
      <c r="C17" s="12">
        <v>3</v>
      </c>
      <c r="D17" s="12">
        <v>2</v>
      </c>
    </row>
    <row r="18" spans="1:5">
      <c r="B18" s="12">
        <v>2</v>
      </c>
      <c r="C18" s="12">
        <v>1</v>
      </c>
      <c r="D18" s="12">
        <v>1</v>
      </c>
    </row>
    <row r="19" spans="1:5">
      <c r="B19" s="12">
        <v>1</v>
      </c>
      <c r="C19" s="12">
        <v>2</v>
      </c>
      <c r="D19" s="12">
        <v>3</v>
      </c>
    </row>
    <row r="21" spans="1:5">
      <c r="A21" t="s">
        <v>40</v>
      </c>
      <c r="B21" s="14">
        <f t="array" ref="B21:D23">MINVERSE(B17:D19)</f>
        <v>-0.14285714285714285</v>
      </c>
      <c r="C21" s="14">
        <v>0.71428571428571419</v>
      </c>
      <c r="D21" s="14">
        <v>-0.14285714285714285</v>
      </c>
      <c r="E21" s="10" t="str">
        <f ca="1">_xlfn.FORMULATEXT(D21)</f>
        <v>{=MINVERSE(B17:D19)}</v>
      </c>
    </row>
    <row r="22" spans="1:5">
      <c r="B22" s="14">
        <v>0.7142857142857143</v>
      </c>
      <c r="C22" s="14">
        <v>-0.5714285714285714</v>
      </c>
      <c r="D22" s="14">
        <v>-0.2857142857142857</v>
      </c>
    </row>
    <row r="23" spans="1:5">
      <c r="B23" s="14">
        <v>-0.42857142857142855</v>
      </c>
      <c r="C23" s="14">
        <v>0.14285714285714285</v>
      </c>
      <c r="D23" s="14">
        <v>0.5714285714285714</v>
      </c>
    </row>
    <row r="25" spans="1:5">
      <c r="B25" s="13">
        <f t="array" ref="B25:D27">MMULT(B17:D19,B21:D23)</f>
        <v>1</v>
      </c>
      <c r="C25" s="13">
        <v>-1.1102230246251565E-16</v>
      </c>
      <c r="D25" s="13">
        <v>0</v>
      </c>
    </row>
    <row r="26" spans="1:5">
      <c r="B26" s="13">
        <v>5.5511151231257827E-17</v>
      </c>
      <c r="C26" s="13">
        <v>0.99999999999999978</v>
      </c>
      <c r="D26" s="13">
        <v>0</v>
      </c>
    </row>
    <row r="27" spans="1:5">
      <c r="B27" s="13">
        <v>2.2204460492503131E-16</v>
      </c>
      <c r="C27" s="13">
        <v>-5.5511151231257827E-17</v>
      </c>
      <c r="D27" s="13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5"/>
  <sheetViews>
    <sheetView zoomScale="85" zoomScaleNormal="85" workbookViewId="0">
      <selection activeCell="O6" sqref="O6"/>
    </sheetView>
  </sheetViews>
  <sheetFormatPr defaultRowHeight="15"/>
  <cols>
    <col min="1" max="1" width="10.28515625" style="15" customWidth="1"/>
    <col min="2" max="3" width="9.42578125" bestFit="1" customWidth="1"/>
    <col min="24" max="24" width="10" customWidth="1"/>
  </cols>
  <sheetData>
    <row r="1" spans="1:30">
      <c r="A1" s="17" t="s">
        <v>48</v>
      </c>
      <c r="J1" t="s">
        <v>114</v>
      </c>
    </row>
    <row r="2" spans="1:30">
      <c r="A2" s="15" t="s">
        <v>55</v>
      </c>
      <c r="B2" s="15" t="s">
        <v>41</v>
      </c>
      <c r="C2" s="15" t="s">
        <v>45</v>
      </c>
      <c r="D2" s="15" t="s">
        <v>46</v>
      </c>
      <c r="E2" s="15" t="s">
        <v>47</v>
      </c>
      <c r="G2" s="15" t="s">
        <v>54</v>
      </c>
      <c r="H2" s="15" t="s">
        <v>53</v>
      </c>
      <c r="J2" s="15" t="s">
        <v>57</v>
      </c>
      <c r="K2" s="15" t="s">
        <v>61</v>
      </c>
      <c r="N2" t="s">
        <v>104</v>
      </c>
      <c r="X2" t="s">
        <v>110</v>
      </c>
    </row>
    <row r="3" spans="1:30">
      <c r="A3" s="15" t="s">
        <v>41</v>
      </c>
      <c r="B3">
        <v>0.1</v>
      </c>
      <c r="C3">
        <v>0.01</v>
      </c>
      <c r="D3">
        <v>0.03</v>
      </c>
      <c r="E3">
        <v>0.05</v>
      </c>
      <c r="G3" s="15" t="s">
        <v>49</v>
      </c>
      <c r="H3">
        <v>0.06</v>
      </c>
      <c r="J3" s="19">
        <v>0.25</v>
      </c>
      <c r="K3" s="21">
        <v>0.1</v>
      </c>
      <c r="L3">
        <v>1</v>
      </c>
      <c r="O3" t="s">
        <v>105</v>
      </c>
      <c r="P3" t="s">
        <v>106</v>
      </c>
      <c r="Q3" t="s">
        <v>107</v>
      </c>
      <c r="R3" t="s">
        <v>108</v>
      </c>
      <c r="S3" t="s">
        <v>109</v>
      </c>
      <c r="T3" t="s">
        <v>21</v>
      </c>
      <c r="X3" t="s">
        <v>92</v>
      </c>
      <c r="Y3" s="8">
        <v>0.02</v>
      </c>
      <c r="Z3" s="8">
        <v>0.04</v>
      </c>
      <c r="AA3" t="s">
        <v>111</v>
      </c>
      <c r="AC3" s="8"/>
      <c r="AD3" s="8"/>
    </row>
    <row r="4" spans="1:30">
      <c r="A4" s="15" t="s">
        <v>42</v>
      </c>
      <c r="B4">
        <v>0.01</v>
      </c>
      <c r="C4">
        <v>0.3</v>
      </c>
      <c r="D4">
        <v>0.06</v>
      </c>
      <c r="E4">
        <v>-0.04</v>
      </c>
      <c r="G4" s="15" t="s">
        <v>50</v>
      </c>
      <c r="H4">
        <v>0.08</v>
      </c>
      <c r="J4" s="19">
        <v>0.25</v>
      </c>
      <c r="K4" s="21">
        <v>0.1</v>
      </c>
      <c r="L4">
        <v>1</v>
      </c>
      <c r="N4">
        <v>1</v>
      </c>
      <c r="O4" s="7">
        <f ca="1">RAND()*2-1</f>
        <v>-0.57226968934475231</v>
      </c>
      <c r="P4" s="7">
        <f ca="1">RAND()*2-1</f>
        <v>-4.6810634439716114E-2</v>
      </c>
      <c r="Q4" s="7">
        <f ca="1">RAND()*2-1</f>
        <v>-0.90818756927861477</v>
      </c>
      <c r="R4" s="7">
        <f ca="1">1-O4-P4-Q4</f>
        <v>2.5272678930630832</v>
      </c>
      <c r="S4" s="7">
        <f t="array" aca="1" ref="S4" ca="1">SQRT(MMULT(O4:R4,MMULT($B$3:$E$6,TRANSPOSE(O4:R4))))</f>
        <v>1.8348966082633764</v>
      </c>
      <c r="T4" s="7">
        <f ca="1">MMULT(O4:R4,$H$3:$H$6)</f>
        <v>0.25019039491573858</v>
      </c>
      <c r="X4" t="s">
        <v>105</v>
      </c>
      <c r="Y4">
        <f t="array" ref="Y4:Y7">MMULT(MINVERSE(B3:E6),H3:H6-Y3)/SUM(MMULT(MINVERSE(B3:E6),H3:H6-Y3))</f>
        <v>0.26679604433655119</v>
      </c>
      <c r="Z4" s="53">
        <f t="array" ref="Z4:Z7">MMULT(MINVERSE(B3:E6),H3:H6-Z3)/SUM(MMULT(MINVERSE(B3:E6),H3:H6-Z3))</f>
        <v>7.8856320831872787E-2</v>
      </c>
      <c r="AA4" s="52">
        <f t="array" ref="AA4:AA7">MMULT(MINVERSE(B3:E6),L3:L6)/SUM(MMULT(MINVERSE(B3:E6),L3:L6))</f>
        <v>0.60718139977781305</v>
      </c>
    </row>
    <row r="5" spans="1:30">
      <c r="A5" s="15" t="s">
        <v>43</v>
      </c>
      <c r="B5">
        <v>0.03</v>
      </c>
      <c r="C5">
        <v>6.3E-2</v>
      </c>
      <c r="D5">
        <v>0.4</v>
      </c>
      <c r="E5">
        <v>0.02</v>
      </c>
      <c r="G5" s="15" t="s">
        <v>51</v>
      </c>
      <c r="H5">
        <v>0.1</v>
      </c>
      <c r="J5" s="19">
        <v>0.25</v>
      </c>
      <c r="K5" s="21">
        <v>0.1</v>
      </c>
      <c r="L5">
        <v>1</v>
      </c>
      <c r="N5">
        <v>2</v>
      </c>
      <c r="O5" s="7">
        <f t="shared" ref="O5:Q33" ca="1" si="0">RAND()*2-1</f>
        <v>0.26795129939869966</v>
      </c>
      <c r="P5" s="7">
        <f t="shared" ca="1" si="0"/>
        <v>-0.85336224471507705</v>
      </c>
      <c r="Q5" s="7">
        <f t="shared" ca="1" si="0"/>
        <v>0.6638095757591671</v>
      </c>
      <c r="R5" s="7">
        <f t="shared" ref="R5:R33" ca="1" si="1">1-O5-P5-Q5</f>
        <v>0.92160136955721028</v>
      </c>
      <c r="S5" s="7">
        <f t="array" aca="1" ref="S5" ca="1">SQRT(MMULT(O5:R5,MMULT($B$3:$E$6,TRANSPOSE(O5:R5))))</f>
        <v>0.93545965692426203</v>
      </c>
      <c r="T5" s="7">
        <f t="shared" ref="T5:T33" ca="1" si="2">MMULT(O5:R5,$H$3:$H$6)</f>
        <v>0.15242926139621404</v>
      </c>
      <c r="X5" t="s">
        <v>106</v>
      </c>
      <c r="Y5">
        <v>0.24721955625811551</v>
      </c>
      <c r="Z5" s="53">
        <v>0.26910269891342453</v>
      </c>
      <c r="AA5" s="52">
        <v>0.20758609744485004</v>
      </c>
    </row>
    <row r="6" spans="1:30">
      <c r="A6" s="15" t="s">
        <v>44</v>
      </c>
      <c r="B6">
        <v>0.05</v>
      </c>
      <c r="C6">
        <v>-0.04</v>
      </c>
      <c r="D6">
        <v>0.02</v>
      </c>
      <c r="E6">
        <v>0.5</v>
      </c>
      <c r="G6" s="15" t="s">
        <v>52</v>
      </c>
      <c r="H6">
        <v>0.15</v>
      </c>
      <c r="J6" s="19">
        <v>0.25</v>
      </c>
      <c r="K6" s="21">
        <f>1-SUM(K3:K5)</f>
        <v>0.7</v>
      </c>
      <c r="L6">
        <v>1</v>
      </c>
      <c r="N6">
        <v>3</v>
      </c>
      <c r="O6" s="7">
        <f t="shared" ca="1" si="0"/>
        <v>-0.23586841482337118</v>
      </c>
      <c r="P6" s="7">
        <f t="shared" ca="1" si="0"/>
        <v>-0.26707686212638482</v>
      </c>
      <c r="Q6" s="7">
        <f t="shared" ca="1" si="0"/>
        <v>-0.29658370063953532</v>
      </c>
      <c r="R6" s="7">
        <f t="shared" ca="1" si="1"/>
        <v>1.7995289775892913</v>
      </c>
      <c r="S6" s="7">
        <f t="array" aca="1" ref="S6" ca="1">SQRT(MMULT(O6:R6,MMULT($B$3:$E$6,TRANSPOSE(O6:R6))))</f>
        <v>1.2927315602637557</v>
      </c>
      <c r="T6" s="7">
        <f t="shared" ca="1" si="2"/>
        <v>0.20475272271492709</v>
      </c>
      <c r="X6" t="s">
        <v>107</v>
      </c>
      <c r="Y6">
        <v>0.1752467585012891</v>
      </c>
      <c r="Z6" s="53">
        <v>0.22085487498539561</v>
      </c>
      <c r="AA6" s="52">
        <v>9.2644024757974938E-2</v>
      </c>
    </row>
    <row r="7" spans="1:30">
      <c r="K7" s="20"/>
      <c r="N7">
        <v>4</v>
      </c>
      <c r="O7" s="7">
        <f t="shared" ca="1" si="0"/>
        <v>-0.22433657567588705</v>
      </c>
      <c r="P7" s="7">
        <f t="shared" ca="1" si="0"/>
        <v>0.51632373605581816</v>
      </c>
      <c r="Q7" s="7">
        <f t="shared" ca="1" si="0"/>
        <v>0.53898984992737464</v>
      </c>
      <c r="R7" s="7">
        <f t="shared" ca="1" si="1"/>
        <v>0.16902298969269425</v>
      </c>
      <c r="S7" s="7">
        <f t="array" aca="1" ref="S7" ca="1">SQRT(MMULT(O7:R7,MMULT($B$3:$E$6,TRANSPOSE(O7:R7))))</f>
        <v>0.48272904557641433</v>
      </c>
      <c r="T7" s="7">
        <f t="shared" ca="1" si="2"/>
        <v>0.10709813779055383</v>
      </c>
      <c r="X7" t="s">
        <v>108</v>
      </c>
      <c r="Y7">
        <v>0.3107376409040441</v>
      </c>
      <c r="Z7" s="53">
        <v>0.43118610526930723</v>
      </c>
      <c r="AA7" s="52">
        <v>9.2588478019362028E-2</v>
      </c>
    </row>
    <row r="8" spans="1:30">
      <c r="B8" t="s">
        <v>22</v>
      </c>
      <c r="C8" t="s">
        <v>59</v>
      </c>
      <c r="N8">
        <v>5</v>
      </c>
      <c r="O8" s="7">
        <f t="shared" ca="1" si="0"/>
        <v>0.95472631139084285</v>
      </c>
      <c r="P8" s="7">
        <f t="shared" ca="1" si="0"/>
        <v>0.14636589500913377</v>
      </c>
      <c r="Q8" s="7">
        <f t="shared" ca="1" si="0"/>
        <v>-3.404323695833944E-2</v>
      </c>
      <c r="R8" s="7">
        <f t="shared" ca="1" si="1"/>
        <v>-6.7048969441637185E-2</v>
      </c>
      <c r="S8" s="7">
        <f t="array" aca="1" ref="S8" ca="1">SQRT(MMULT(O8:R8,MMULT($B$3:$E$6,TRANSPOSE(O8:R8))))</f>
        <v>0.30821312190041539</v>
      </c>
      <c r="T8" s="7">
        <f t="shared" ca="1" si="2"/>
        <v>5.5531181172101748E-2</v>
      </c>
      <c r="Y8">
        <f>SUM(Y4:Y7)</f>
        <v>0.99999999999999989</v>
      </c>
      <c r="Z8">
        <f>SUM(Z4:Z7)</f>
        <v>1</v>
      </c>
      <c r="AA8">
        <f>SUM(AA4:AA7)</f>
        <v>1</v>
      </c>
    </row>
    <row r="9" spans="1:30">
      <c r="A9" s="15" t="s">
        <v>58</v>
      </c>
      <c r="B9" s="6">
        <f t="array" ref="B9">MMULT(TRANSPOSE(J3:J6),H3:H6)</f>
        <v>9.7500000000000003E-2</v>
      </c>
      <c r="C9" s="22">
        <f t="array" ref="C9">MMULT(MMULT(TRANSPOSE(J3:J6),B3:E6),J3:J6)</f>
        <v>9.7687499999999997E-2</v>
      </c>
      <c r="D9" s="10" t="str">
        <f ca="1">_xlfn.FORMULATEXT(C9)</f>
        <v>{=MMULT(MMULT(TRANSPOSE(J3:J6),B3:E6),J3:J6)}</v>
      </c>
      <c r="N9">
        <v>6</v>
      </c>
      <c r="O9" s="7">
        <f t="shared" ca="1" si="0"/>
        <v>-0.27961948709571449</v>
      </c>
      <c r="P9" s="7">
        <f t="shared" ca="1" si="0"/>
        <v>0.37407342003156208</v>
      </c>
      <c r="Q9" s="7">
        <f t="shared" ca="1" si="0"/>
        <v>-0.41291605729415193</v>
      </c>
      <c r="R9" s="7">
        <f t="shared" ca="1" si="1"/>
        <v>1.3184621243583043</v>
      </c>
      <c r="S9" s="7">
        <f t="array" aca="1" ref="S9" ca="1">SQRT(MMULT(O9:R9,MMULT($B$3:$E$6,TRANSPOSE(O9:R9))))</f>
        <v>0.93536435362700621</v>
      </c>
      <c r="T9" s="7">
        <f t="shared" ca="1" si="2"/>
        <v>0.16962641730111255</v>
      </c>
      <c r="X9" t="s">
        <v>21</v>
      </c>
      <c r="Y9" s="52">
        <f>SUMPRODUCT(H3:H6,Y4:Y7)</f>
        <v>9.9920649146577847E-2</v>
      </c>
      <c r="Z9" s="52">
        <f>SUMPRODUCT(H3:H6,Z4:Z7)</f>
        <v>0.11302299845192197</v>
      </c>
      <c r="AA9">
        <f>SUMPRODUCT(H3:H6,AA4:AA7)</f>
        <v>7.6190445960958586E-2</v>
      </c>
    </row>
    <row r="10" spans="1:30">
      <c r="A10" s="15" t="s">
        <v>61</v>
      </c>
      <c r="B10" s="6">
        <f t="array" ref="B10">MMULT(TRANSPOSE(K3:K6),H3:H6)</f>
        <v>0.129</v>
      </c>
      <c r="C10" s="22">
        <f t="array" ref="C10">MMULT(MMULT(TRANSPOSE(K3:K6),B3:E6),K3:K6)</f>
        <v>0.25922999999999996</v>
      </c>
      <c r="D10" s="10" t="str">
        <f ca="1">_xlfn.FORMULATEXT(C10)</f>
        <v>{=MMULT(MMULT(TRANSPOSE(K3:K6),B3:E6),K3:K6)}</v>
      </c>
      <c r="N10">
        <v>7</v>
      </c>
      <c r="O10" s="7">
        <f t="shared" ca="1" si="0"/>
        <v>-6.6839503237016373E-2</v>
      </c>
      <c r="P10" s="7">
        <f t="shared" ca="1" si="0"/>
        <v>-0.75635425605894069</v>
      </c>
      <c r="Q10" s="7">
        <f t="shared" ca="1" si="0"/>
        <v>0.71442183796035641</v>
      </c>
      <c r="R10" s="7">
        <f t="shared" ca="1" si="1"/>
        <v>1.1087719213356007</v>
      </c>
      <c r="S10" s="7">
        <f t="array" aca="1" ref="S10" ca="1">SQRT(MMULT(O10:R10,MMULT($B$3:$E$6,TRANSPOSE(O10:R10))))</f>
        <v>1.006956653707193</v>
      </c>
      <c r="T10" s="7">
        <f t="shared" ca="1" si="2"/>
        <v>0.1732392613174395</v>
      </c>
      <c r="X10" t="s">
        <v>30</v>
      </c>
      <c r="Y10">
        <f t="array" ref="Y10">MMULT(TRANSPOSE(Y4:Y7),MMULT(B3:E6,Y4:Y7))</f>
        <v>9.9793087981611919E-2</v>
      </c>
      <c r="Z10">
        <f t="array" ref="Z10">MMULT(TRANSPOSE(Z4:Z7),MMULT(B3:E6,Z4:Z7))</f>
        <v>0.14152445148839626</v>
      </c>
      <c r="AA10">
        <f t="array" ref="AA10">MMULT(TRANSPOSE(AA4:AA7),MMULT(B3:E6,AA4:AA7))</f>
        <v>7.0202745595937172E-2</v>
      </c>
    </row>
    <row r="11" spans="1:30">
      <c r="A11" s="15" t="s">
        <v>25</v>
      </c>
      <c r="C11">
        <f t="array" ref="C11">MMULT(MMULT(TRANSPOSE(J3:J6),B3:E6),K3:K6)</f>
        <v>0.118575</v>
      </c>
      <c r="D11" s="10" t="str">
        <f ca="1">_xlfn.FORMULATEXT(C11)</f>
        <v>{=MMULT(MMULT(TRANSPOSE(J3:J6),B3:E6),K3:K6)}</v>
      </c>
      <c r="N11">
        <v>8</v>
      </c>
      <c r="O11" s="7">
        <f t="shared" ca="1" si="0"/>
        <v>-3.697047934054476E-2</v>
      </c>
      <c r="P11" s="7">
        <f t="shared" ca="1" si="0"/>
        <v>0.39560897390806571</v>
      </c>
      <c r="Q11" s="7">
        <f t="shared" ca="1" si="0"/>
        <v>0.20731813777782104</v>
      </c>
      <c r="R11" s="7">
        <f t="shared" ca="1" si="1"/>
        <v>0.43404336765465801</v>
      </c>
      <c r="S11" s="7">
        <f t="array" aca="1" ref="S11" ca="1">SQRT(MMULT(O11:R11,MMULT($B$3:$E$6,TRANSPOSE(O11:R11))))</f>
        <v>0.39505855020550196</v>
      </c>
      <c r="T11" s="7">
        <f t="shared" ca="1" si="2"/>
        <v>0.11526880807819337</v>
      </c>
      <c r="X11" t="s">
        <v>109</v>
      </c>
      <c r="Y11">
        <f>SQRT(Y10)</f>
        <v>0.31590043998325157</v>
      </c>
      <c r="Z11">
        <f>SQRT(Z10)</f>
        <v>0.37619735709916446</v>
      </c>
      <c r="AA11">
        <f>SQRT(AA10)</f>
        <v>0.2649580072312161</v>
      </c>
    </row>
    <row r="12" spans="1:30">
      <c r="N12">
        <v>9</v>
      </c>
      <c r="O12" s="7">
        <f t="shared" ca="1" si="0"/>
        <v>-0.13952872445811249</v>
      </c>
      <c r="P12" s="7">
        <f t="shared" ca="1" si="0"/>
        <v>-0.81364631267009346</v>
      </c>
      <c r="Q12" s="7">
        <f t="shared" ca="1" si="0"/>
        <v>-0.19807976559428542</v>
      </c>
      <c r="R12" s="7">
        <f t="shared" ca="1" si="1"/>
        <v>2.1512548027224914</v>
      </c>
      <c r="S12" s="7">
        <f t="array" aca="1" ref="S12" ca="1">SQRT(MMULT(O12:R12,MMULT($B$3:$E$6,TRANSPOSE(O12:R12))))</f>
        <v>1.6269345302545397</v>
      </c>
      <c r="T12" s="7">
        <f t="shared" ca="1" si="2"/>
        <v>0.22941681536785094</v>
      </c>
      <c r="X12" t="s">
        <v>24</v>
      </c>
      <c r="Y12">
        <f>AA15</f>
        <v>0.11613104341204805</v>
      </c>
    </row>
    <row r="13" spans="1:30">
      <c r="A13" s="16" t="s">
        <v>62</v>
      </c>
      <c r="B13" s="19">
        <v>0.2</v>
      </c>
      <c r="N13">
        <v>10</v>
      </c>
      <c r="O13" s="7">
        <f t="shared" ca="1" si="0"/>
        <v>0.52584141442568266</v>
      </c>
      <c r="P13" s="7">
        <f t="shared" ca="1" si="0"/>
        <v>0.53351903091102337</v>
      </c>
      <c r="Q13" s="7">
        <f t="shared" ca="1" si="0"/>
        <v>0.87342749712110468</v>
      </c>
      <c r="R13" s="7">
        <f t="shared" ca="1" si="1"/>
        <v>-0.93278794245781071</v>
      </c>
      <c r="S13" s="7">
        <f t="array" aca="1" ref="S13" ca="1">SQRT(MMULT(O13:R13,MMULT($B$3:$E$6,TRANSPOSE(O13:R13))))</f>
        <v>0.94968385775206721</v>
      </c>
      <c r="T13" s="7">
        <f t="shared" ca="1" si="2"/>
        <v>2.1656565681861722E-2</v>
      </c>
      <c r="AA13" t="s">
        <v>115</v>
      </c>
    </row>
    <row r="14" spans="1:30">
      <c r="A14" s="16" t="s">
        <v>63</v>
      </c>
      <c r="B14" s="24">
        <f>B13*B9+(1-B13)*B10</f>
        <v>0.12270000000000002</v>
      </c>
      <c r="C14" s="10" t="str">
        <f ca="1">_xlfn.FORMULATEXT(B14)</f>
        <v>=B13*B9+(1-B13)*B10</v>
      </c>
      <c r="K14">
        <f>1100/1058</f>
        <v>1.0396975425330812</v>
      </c>
      <c r="N14">
        <v>11</v>
      </c>
      <c r="O14" s="7">
        <f t="shared" ca="1" si="0"/>
        <v>-1.1109747136939463E-2</v>
      </c>
      <c r="P14" s="7">
        <f t="shared" ca="1" si="0"/>
        <v>0.68924872722210795</v>
      </c>
      <c r="Q14" s="7">
        <f t="shared" ca="1" si="0"/>
        <v>-0.66277014153623504</v>
      </c>
      <c r="R14" s="7">
        <f t="shared" ca="1" si="1"/>
        <v>0.98463116145106655</v>
      </c>
      <c r="S14" s="7">
        <f t="array" aca="1" ref="S14" ca="1">SQRT(MMULT(O14:R14,MMULT($B$3:$E$6,TRANSPOSE(O14:R14))))</f>
        <v>0.8158414741540071</v>
      </c>
      <c r="T14" s="7">
        <f t="shared" ca="1" si="2"/>
        <v>0.13589097341358874</v>
      </c>
      <c r="X14" t="s">
        <v>112</v>
      </c>
      <c r="Y14" s="8">
        <v>0.25</v>
      </c>
      <c r="AA14">
        <f>Y10</f>
        <v>9.9793087981611919E-2</v>
      </c>
      <c r="AB14">
        <f>AA15</f>
        <v>0.11613104341204805</v>
      </c>
    </row>
    <row r="15" spans="1:30">
      <c r="A15" s="16" t="s">
        <v>59</v>
      </c>
      <c r="B15" s="12">
        <f>(B13^2)*C9+((1-B13)^2)*C10+2*B13*(1-B13)*C11</f>
        <v>0.20775870000000002</v>
      </c>
      <c r="C15" s="10" t="str">
        <f ca="1">_xlfn.FORMULATEXT(B15)</f>
        <v>=(B13^2)*C9+((1-B13)^2)*C10+2*B13*(1-B13)*C11</v>
      </c>
      <c r="K15">
        <f>800/K14</f>
        <v>769.4545454545455</v>
      </c>
      <c r="N15">
        <v>12</v>
      </c>
      <c r="O15" s="7">
        <f t="shared" ca="1" si="0"/>
        <v>-0.63135018512018304</v>
      </c>
      <c r="P15" s="7">
        <f t="shared" ca="1" si="0"/>
        <v>0.57054579360334134</v>
      </c>
      <c r="Q15" s="7">
        <f t="shared" ca="1" si="0"/>
        <v>-0.70487380159924773</v>
      </c>
      <c r="R15" s="7">
        <f t="shared" ca="1" si="1"/>
        <v>1.7656781931160894</v>
      </c>
      <c r="S15" s="7">
        <f t="array" aca="1" ref="S15" ca="1">SQRT(MMULT(O15:R15,MMULT($B$3:$E$6,TRANSPOSE(O15:R15))))</f>
        <v>1.2740664406575206</v>
      </c>
      <c r="T15" s="7">
        <f t="shared" ca="1" si="2"/>
        <v>0.20212700118854493</v>
      </c>
      <c r="X15" t="s">
        <v>113</v>
      </c>
      <c r="Y15" s="8">
        <f>1-Y14</f>
        <v>0.75</v>
      </c>
      <c r="AA15">
        <f t="array" ref="AA15">MMULT(TRANSPOSE(Y4:Y7),MMULT(B3:E6,Z4:Z7))</f>
        <v>0.11613104341204805</v>
      </c>
      <c r="AB15">
        <f>Z10</f>
        <v>0.14152445148839626</v>
      </c>
    </row>
    <row r="16" spans="1:30">
      <c r="A16" s="16" t="s">
        <v>64</v>
      </c>
      <c r="B16" s="12">
        <f>SQRT(B15)</f>
        <v>0.4558055506463255</v>
      </c>
      <c r="C16" s="10" t="str">
        <f ca="1">_xlfn.FORMULATEXT(B16)</f>
        <v>=SQRT(B15)</v>
      </c>
      <c r="K16">
        <f>1400/K14</f>
        <v>1346.5454545454547</v>
      </c>
      <c r="N16">
        <v>13</v>
      </c>
      <c r="O16" s="7">
        <f t="shared" ca="1" si="0"/>
        <v>-0.18387755694005636</v>
      </c>
      <c r="P16" s="7">
        <f t="shared" ca="1" si="0"/>
        <v>0.3840042141106903</v>
      </c>
      <c r="Q16" s="7">
        <f t="shared" ca="1" si="0"/>
        <v>-9.7343468167168767E-2</v>
      </c>
      <c r="R16" s="7">
        <f t="shared" ca="1" si="1"/>
        <v>0.89721681099653483</v>
      </c>
      <c r="S16" s="7">
        <f t="array" aca="1" ref="S16" ca="1">SQRT(MMULT(O16:R16,MMULT($B$3:$E$6,TRANSPOSE(O16:R16))))</f>
        <v>0.63357558349670406</v>
      </c>
      <c r="T16" s="7">
        <f t="shared" ca="1" si="2"/>
        <v>0.1445358585452152</v>
      </c>
      <c r="X16" t="s">
        <v>21</v>
      </c>
      <c r="Y16">
        <f t="array" ref="Y16">MMULT(Y9:Z9,Y14:Y15)</f>
        <v>0.10974741112558593</v>
      </c>
    </row>
    <row r="17" spans="1:26">
      <c r="K17">
        <f>1000-K15</f>
        <v>230.5454545454545</v>
      </c>
      <c r="N17">
        <v>14</v>
      </c>
      <c r="O17" s="7">
        <f t="shared" ca="1" si="0"/>
        <v>-5.2776409811422065E-2</v>
      </c>
      <c r="P17" s="7">
        <f t="shared" ca="1" si="0"/>
        <v>0.1556871252220966</v>
      </c>
      <c r="Q17" s="7">
        <f t="shared" ca="1" si="0"/>
        <v>-0.83034574433900787</v>
      </c>
      <c r="R17" s="7">
        <f t="shared" ca="1" si="1"/>
        <v>1.7274350289283333</v>
      </c>
      <c r="S17" s="7">
        <f t="array" aca="1" ref="S17" ca="1">SQRT(MMULT(O17:R17,MMULT($B$3:$E$6,TRANSPOSE(O17:R17))))</f>
        <v>1.2937979876776555</v>
      </c>
      <c r="T17" s="7">
        <f t="shared" ca="1" si="2"/>
        <v>0.18536906533443159</v>
      </c>
      <c r="X17" t="s">
        <v>30</v>
      </c>
      <c r="Y17">
        <f t="array" ref="Y17">MMULT(TRANSPOSE(Y14:Y15),MMULT(AA14:AB15,Y14:Y15))</f>
        <v>0.12939371324059165</v>
      </c>
    </row>
    <row r="18" spans="1:26">
      <c r="N18">
        <v>15</v>
      </c>
      <c r="O18" s="7">
        <f t="shared" ca="1" si="0"/>
        <v>9.7658669494320449E-3</v>
      </c>
      <c r="P18" s="7">
        <f t="shared" ca="1" si="0"/>
        <v>0.97101783015890275</v>
      </c>
      <c r="Q18" s="7">
        <f t="shared" ca="1" si="0"/>
        <v>-0.75848686784040842</v>
      </c>
      <c r="R18" s="7">
        <f t="shared" ca="1" si="1"/>
        <v>0.77770317073207362</v>
      </c>
      <c r="S18" s="7">
        <f t="array" aca="1" ref="S18" ca="1">SQRT(MMULT(O18:R18,MMULT($B$3:$E$6,TRANSPOSE(O18:R18))))</f>
        <v>0.80081880532023064</v>
      </c>
      <c r="T18" s="7">
        <f t="shared" ca="1" si="2"/>
        <v>0.11907416725544835</v>
      </c>
      <c r="X18" t="s">
        <v>109</v>
      </c>
      <c r="Y18">
        <f>SQRT(Y17)</f>
        <v>0.35971337651050961</v>
      </c>
    </row>
    <row r="19" spans="1:26">
      <c r="A19" s="15" t="s">
        <v>62</v>
      </c>
      <c r="B19" s="15" t="s">
        <v>65</v>
      </c>
      <c r="C19" s="15" t="s">
        <v>66</v>
      </c>
      <c r="N19">
        <v>16</v>
      </c>
      <c r="O19" s="7">
        <f t="shared" ca="1" si="0"/>
        <v>0.15602946229776893</v>
      </c>
      <c r="P19" s="7">
        <f t="shared" ca="1" si="0"/>
        <v>0.57049023418017808</v>
      </c>
      <c r="Q19" s="7">
        <f t="shared" ca="1" si="0"/>
        <v>0.19596314423549099</v>
      </c>
      <c r="R19" s="7">
        <f t="shared" ca="1" si="1"/>
        <v>7.7517159286561998E-2</v>
      </c>
      <c r="S19" s="7">
        <f t="array" aca="1" ref="S19" ca="1">SQRT(MMULT(O19:R19,MMULT($B$3:$E$6,TRANSPOSE(O19:R19))))</f>
        <v>0.36617242017623769</v>
      </c>
      <c r="T19" s="7">
        <f t="shared" ca="1" si="2"/>
        <v>8.6224874788813785E-2</v>
      </c>
    </row>
    <row r="20" spans="1:26">
      <c r="A20" s="23"/>
      <c r="B20" s="7">
        <f>B16</f>
        <v>0.4558055506463255</v>
      </c>
      <c r="C20" s="7">
        <f>B14</f>
        <v>0.12270000000000002</v>
      </c>
      <c r="N20">
        <v>17</v>
      </c>
      <c r="O20" s="7">
        <f t="shared" ca="1" si="0"/>
        <v>1.176648152726556E-2</v>
      </c>
      <c r="P20" s="7">
        <f t="shared" ca="1" si="0"/>
        <v>-0.60340446508585255</v>
      </c>
      <c r="Q20" s="7">
        <f t="shared" ca="1" si="0"/>
        <v>-0.20082810743906787</v>
      </c>
      <c r="R20" s="7">
        <f t="shared" ca="1" si="1"/>
        <v>1.7924660909976549</v>
      </c>
      <c r="S20" s="7">
        <f t="array" aca="1" ref="S20" ca="1">SQRT(MMULT(O20:R20,MMULT($B$3:$E$6,TRANSPOSE(O20:R20))))</f>
        <v>1.3493335528129282</v>
      </c>
      <c r="T20" s="7">
        <f t="shared" ca="1" si="2"/>
        <v>0.20122073459050918</v>
      </c>
      <c r="Y20" t="s">
        <v>109</v>
      </c>
      <c r="Z20" t="s">
        <v>21</v>
      </c>
    </row>
    <row r="21" spans="1:26">
      <c r="A21" s="23">
        <v>-0.3</v>
      </c>
      <c r="B21" s="7">
        <f t="dataTable" ref="B21:C48" dt2D="0" dtr="0" r1="B13"/>
        <v>0.59531678541764632</v>
      </c>
      <c r="C21" s="7">
        <v>0.13845000000000002</v>
      </c>
      <c r="D21" s="10"/>
      <c r="N21">
        <v>18</v>
      </c>
      <c r="O21" s="7">
        <f t="shared" ca="1" si="0"/>
        <v>-0.91297459366271339</v>
      </c>
      <c r="P21" s="7">
        <f t="shared" ca="1" si="0"/>
        <v>-0.91647539270217937</v>
      </c>
      <c r="Q21" s="7">
        <f t="shared" ca="1" si="0"/>
        <v>0.53352991421860096</v>
      </c>
      <c r="R21" s="7">
        <f t="shared" ca="1" si="1"/>
        <v>2.2959200721462918</v>
      </c>
      <c r="S21" s="7">
        <f t="array" aca="1" ref="S21" ca="1">SQRT(MMULT(O21:R21,MMULT($B$3:$E$6,TRANSPOSE(O21:R21))))</f>
        <v>1.7377860590675236</v>
      </c>
      <c r="T21" s="7">
        <f t="shared" ca="1" si="2"/>
        <v>0.26964449520786671</v>
      </c>
      <c r="Y21" s="7">
        <f>Y18</f>
        <v>0.35971337651050961</v>
      </c>
      <c r="Z21" s="7">
        <f>Y16</f>
        <v>0.10974741112558593</v>
      </c>
    </row>
    <row r="22" spans="1:26">
      <c r="A22" s="23">
        <v>-0.2</v>
      </c>
      <c r="B22" s="7">
        <v>0.56593524364541914</v>
      </c>
      <c r="C22" s="7">
        <v>0.13529999999999998</v>
      </c>
      <c r="N22">
        <v>19</v>
      </c>
      <c r="O22" s="7">
        <f t="shared" ca="1" si="0"/>
        <v>-0.76905663634361487</v>
      </c>
      <c r="P22" s="7">
        <f t="shared" ca="1" si="0"/>
        <v>-0.44697081105119274</v>
      </c>
      <c r="Q22" s="7">
        <f t="shared" ca="1" si="0"/>
        <v>-0.84906069788370075</v>
      </c>
      <c r="R22" s="7">
        <f t="shared" ca="1" si="1"/>
        <v>3.0650881452785086</v>
      </c>
      <c r="S22" s="7">
        <f t="array" aca="1" ref="S22" ca="1">SQRT(MMULT(O22:R22,MMULT($B$3:$E$6,TRANSPOSE(O22:R22))))</f>
        <v>2.2287522343634181</v>
      </c>
      <c r="T22" s="7">
        <f t="shared" ca="1" si="2"/>
        <v>0.29295608893869385</v>
      </c>
      <c r="X22" s="8">
        <v>-10</v>
      </c>
      <c r="Y22" s="7">
        <f t="dataTable" ref="Y22:Z38" dt2D="0" dtr="0" r1="Y14"/>
        <v>1.2469714822747824</v>
      </c>
      <c r="Z22" s="7">
        <v>0.24404649150536317</v>
      </c>
    </row>
    <row r="23" spans="1:26">
      <c r="A23" s="23">
        <v>-0.1</v>
      </c>
      <c r="B23" s="7">
        <v>0.53717657711408084</v>
      </c>
      <c r="C23" s="7">
        <v>0.13215000000000002</v>
      </c>
      <c r="N23">
        <v>20</v>
      </c>
      <c r="O23" s="7">
        <f t="shared" ca="1" si="0"/>
        <v>0.37052318239379112</v>
      </c>
      <c r="P23" s="7">
        <f t="shared" ca="1" si="0"/>
        <v>-0.21523764248322319</v>
      </c>
      <c r="Q23" s="7">
        <f t="shared" ca="1" si="0"/>
        <v>0.73860054298852185</v>
      </c>
      <c r="R23" s="7">
        <f t="shared" ca="1" si="1"/>
        <v>0.10611391710091023</v>
      </c>
      <c r="S23" s="7">
        <f t="array" aca="1" ref="S23" ca="1">SQRT(MMULT(O23:R23,MMULT($B$3:$E$6,TRANSPOSE(O23:R23))))</f>
        <v>0.50560310867803848</v>
      </c>
      <c r="T23" s="7">
        <f t="shared" ca="1" si="2"/>
        <v>9.4789521408958327E-2</v>
      </c>
      <c r="X23" s="8">
        <v>-8</v>
      </c>
      <c r="Y23" s="7">
        <v>1.0617758473653189</v>
      </c>
      <c r="Z23" s="7">
        <v>0.21784179289467487</v>
      </c>
    </row>
    <row r="24" spans="1:26">
      <c r="A24" s="23">
        <v>0</v>
      </c>
      <c r="B24" s="7">
        <v>0.50914634438440187</v>
      </c>
      <c r="C24" s="7">
        <v>0.129</v>
      </c>
      <c r="N24">
        <v>21</v>
      </c>
      <c r="O24" s="7">
        <f t="shared" ca="1" si="0"/>
        <v>0.45140687029641158</v>
      </c>
      <c r="P24" s="7">
        <f t="shared" ca="1" si="0"/>
        <v>-0.77790014655993511</v>
      </c>
      <c r="Q24" s="7">
        <f t="shared" ca="1" si="0"/>
        <v>8.5682259442014574E-2</v>
      </c>
      <c r="R24" s="7">
        <f t="shared" ca="1" si="1"/>
        <v>1.240811016821509</v>
      </c>
      <c r="S24" s="7">
        <f t="array" aca="1" ref="S24" ca="1">SQRT(MMULT(O24:R24,MMULT($B$3:$E$6,TRANSPOSE(O24:R24))))</f>
        <v>1.0484461182343903</v>
      </c>
      <c r="T24" s="7">
        <f ca="1">MMULT(O24:R24,$H$3:$H$6)</f>
        <v>0.1595422789604177</v>
      </c>
      <c r="X24" s="8">
        <v>-6</v>
      </c>
      <c r="Y24" s="7">
        <v>0.8787728054835392</v>
      </c>
      <c r="Z24" s="7">
        <v>0.19163709428398668</v>
      </c>
    </row>
    <row r="25" spans="1:26">
      <c r="A25" s="23">
        <v>0.1</v>
      </c>
      <c r="B25" s="7">
        <v>0.4819716537307977</v>
      </c>
      <c r="C25" s="7">
        <v>0.12585000000000002</v>
      </c>
      <c r="N25">
        <v>22</v>
      </c>
      <c r="O25" s="7">
        <f t="shared" ca="1" si="0"/>
        <v>0.60546623686141166</v>
      </c>
      <c r="P25" s="7">
        <f t="shared" ca="1" si="0"/>
        <v>-0.49631121370666498</v>
      </c>
      <c r="Q25" s="7">
        <f t="shared" ca="1" si="0"/>
        <v>0.69036692098207419</v>
      </c>
      <c r="R25" s="7">
        <f t="shared" ca="1" si="1"/>
        <v>0.20047805586317913</v>
      </c>
      <c r="S25" s="7">
        <f t="array" aca="1" ref="S25" ca="1">SQRT(MMULT(O25:R25,MMULT($B$3:$E$6,TRANSPOSE(O25:R25))))</f>
        <v>0.56908204611938373</v>
      </c>
      <c r="T25" s="7">
        <f t="shared" ca="1" si="2"/>
        <v>9.573147759283579E-2</v>
      </c>
      <c r="X25" s="8">
        <v>-4</v>
      </c>
      <c r="Y25" s="7">
        <v>0.69968489938955736</v>
      </c>
      <c r="Z25" s="7">
        <v>0.16543239567329843</v>
      </c>
    </row>
    <row r="26" spans="1:26">
      <c r="A26" s="23">
        <v>0.2</v>
      </c>
      <c r="B26" s="7">
        <v>0.4558055506463255</v>
      </c>
      <c r="C26" s="7">
        <v>0.12270000000000002</v>
      </c>
      <c r="N26">
        <v>23</v>
      </c>
      <c r="O26" s="7">
        <f t="shared" ca="1" si="0"/>
        <v>-0.86622223968841761</v>
      </c>
      <c r="P26" s="7">
        <f t="shared" ca="1" si="0"/>
        <v>-0.38262401935678558</v>
      </c>
      <c r="Q26" s="7">
        <f t="shared" ca="1" si="0"/>
        <v>0.70263035178156885</v>
      </c>
      <c r="R26" s="7">
        <f t="shared" ca="1" si="1"/>
        <v>1.5462159072636346</v>
      </c>
      <c r="S26" s="7">
        <f t="array" aca="1" ref="S26" ca="1">SQRT(MMULT(O26:R26,MMULT($B$3:$E$6,TRANSPOSE(O26:R26))))</f>
        <v>1.185628365985105</v>
      </c>
      <c r="T26" s="7">
        <f t="shared" ca="1" si="2"/>
        <v>0.21961216533785416</v>
      </c>
      <c r="X26" s="8">
        <v>-2</v>
      </c>
      <c r="Y26" s="7">
        <v>0.5285072320956804</v>
      </c>
      <c r="Z26" s="7">
        <v>0.13922769706261021</v>
      </c>
    </row>
    <row r="27" spans="1:26">
      <c r="A27" s="23">
        <v>0.3</v>
      </c>
      <c r="B27" s="7">
        <v>0.43083184074531905</v>
      </c>
      <c r="C27" s="7">
        <v>0.11954999999999999</v>
      </c>
      <c r="N27">
        <v>24</v>
      </c>
      <c r="O27" s="7">
        <f t="shared" ca="1" si="0"/>
        <v>-0.78647475591843063</v>
      </c>
      <c r="P27" s="7">
        <f t="shared" ca="1" si="0"/>
        <v>0.17189476812479465</v>
      </c>
      <c r="Q27" s="7">
        <f t="shared" ca="1" si="0"/>
        <v>0.69356022637771342</v>
      </c>
      <c r="R27" s="7">
        <f t="shared" ca="1" si="1"/>
        <v>0.92101976141592257</v>
      </c>
      <c r="S27" s="7">
        <f t="array" aca="1" ref="S27" ca="1">SQRT(MMULT(O27:R27,MMULT($B$3:$E$6,TRANSPOSE(O27:R27))))</f>
        <v>0.77906974726330858</v>
      </c>
      <c r="T27" s="7">
        <f t="shared" ca="1" si="2"/>
        <v>0.17407208294503745</v>
      </c>
      <c r="X27" s="8">
        <v>0</v>
      </c>
      <c r="Y27" s="7">
        <v>0.37619735709916446</v>
      </c>
      <c r="Z27" s="7">
        <v>0.11302299845192197</v>
      </c>
    </row>
    <row r="28" spans="1:26">
      <c r="A28" s="23">
        <v>0.4</v>
      </c>
      <c r="B28" s="7">
        <v>0.40726993505536346</v>
      </c>
      <c r="C28" s="7">
        <v>0.1164</v>
      </c>
      <c r="N28">
        <v>25</v>
      </c>
      <c r="O28" s="7">
        <f t="shared" ca="1" si="0"/>
        <v>-0.56875747137893162</v>
      </c>
      <c r="P28" s="7">
        <f t="shared" ca="1" si="0"/>
        <v>0.45537044414714889</v>
      </c>
      <c r="Q28" s="7">
        <f t="shared" ca="1" si="0"/>
        <v>0.67037340839823889</v>
      </c>
      <c r="R28" s="7">
        <f t="shared" ca="1" si="1"/>
        <v>0.44301361883354384</v>
      </c>
      <c r="S28" s="7">
        <f t="array" aca="1" ref="S28" ca="1">SQRT(MMULT(O28:R28,MMULT($B$3:$E$6,TRANSPOSE(O28:R28))))</f>
        <v>0.5937028165677537</v>
      </c>
      <c r="T28" s="7">
        <f t="shared" ca="1" si="2"/>
        <v>0.13579357091389149</v>
      </c>
      <c r="X28" s="8">
        <v>2</v>
      </c>
      <c r="Y28" s="7">
        <v>0.27599389443727146</v>
      </c>
      <c r="Z28" s="7">
        <v>8.6818299841233723E-2</v>
      </c>
    </row>
    <row r="29" spans="1:26">
      <c r="A29" s="23">
        <v>0.5</v>
      </c>
      <c r="B29" s="7">
        <v>0.38537887202076865</v>
      </c>
      <c r="C29" s="7">
        <v>0.11325</v>
      </c>
      <c r="N29">
        <v>26</v>
      </c>
      <c r="O29" s="7">
        <f t="shared" ca="1" si="0"/>
        <v>-0.34812233984801355</v>
      </c>
      <c r="P29" s="7">
        <f t="shared" ca="1" si="0"/>
        <v>0.45364530762305555</v>
      </c>
      <c r="Q29" s="7">
        <f t="shared" ca="1" si="0"/>
        <v>0.82131356158241919</v>
      </c>
      <c r="R29" s="7">
        <f t="shared" ca="1" si="1"/>
        <v>7.3163470642538808E-2</v>
      </c>
      <c r="S29" s="7">
        <f t="array" aca="1" ref="S29" ca="1">SQRT(MMULT(O29:R29,MMULT($B$3:$E$6,TRANSPOSE(O29:R29))))</f>
        <v>0.60751279263575508</v>
      </c>
      <c r="T29" s="7">
        <f t="shared" ca="1" si="2"/>
        <v>0.10851016097358637</v>
      </c>
      <c r="X29" s="8">
        <v>4</v>
      </c>
      <c r="Y29" s="7">
        <v>0.28855576447578352</v>
      </c>
      <c r="Z29" s="7">
        <v>6.0613601230545489E-2</v>
      </c>
    </row>
    <row r="30" spans="1:26">
      <c r="A30" s="23">
        <v>0.6</v>
      </c>
      <c r="B30" s="7">
        <v>0.36545902643114453</v>
      </c>
      <c r="C30" s="7">
        <v>0.1101</v>
      </c>
      <c r="N30">
        <v>27</v>
      </c>
      <c r="O30" s="7">
        <f t="shared" ca="1" si="0"/>
        <v>-0.75527457641420859</v>
      </c>
      <c r="P30" s="7">
        <f t="shared" ca="1" si="0"/>
        <v>0.44240665127073364</v>
      </c>
      <c r="Q30" s="7">
        <f t="shared" ca="1" si="0"/>
        <v>-4.6239260796381298E-2</v>
      </c>
      <c r="R30" s="7">
        <f t="shared" ca="1" si="1"/>
        <v>1.3591071859398562</v>
      </c>
      <c r="S30" s="7">
        <f t="array" aca="1" ref="S30" ca="1">SQRT(MMULT(O30:R30,MMULT($B$3:$E$6,TRANSPOSE(O30:R30))))</f>
        <v>0.93799414473585263</v>
      </c>
      <c r="T30" s="7">
        <f t="shared" ca="1" si="2"/>
        <v>0.18931820932814647</v>
      </c>
      <c r="X30" s="8">
        <v>6</v>
      </c>
      <c r="Y30" s="7">
        <v>0.40348463393920275</v>
      </c>
      <c r="Z30" s="7">
        <v>3.4408902619857296E-2</v>
      </c>
    </row>
    <row r="31" spans="1:26">
      <c r="A31" s="23">
        <v>0.7</v>
      </c>
      <c r="B31" s="7">
        <v>0.34784921302196442</v>
      </c>
      <c r="C31" s="7">
        <v>0.10694999999999999</v>
      </c>
      <c r="N31">
        <v>28</v>
      </c>
      <c r="O31" s="7">
        <f t="shared" ca="1" si="0"/>
        <v>0.53868496908723151</v>
      </c>
      <c r="P31" s="7">
        <f t="shared" ca="1" si="0"/>
        <v>-0.68926120835585447</v>
      </c>
      <c r="Q31" s="7">
        <f t="shared" ca="1" si="0"/>
        <v>-0.20901150164307802</v>
      </c>
      <c r="R31" s="7">
        <f t="shared" ca="1" si="1"/>
        <v>1.359587740911701</v>
      </c>
      <c r="S31" s="7">
        <f t="array" aca="1" ref="S31" ca="1">SQRT(MMULT(O31:R31,MMULT($B$3:$E$6,TRANSPOSE(O31:R31))))</f>
        <v>1.1196587355751442</v>
      </c>
      <c r="T31" s="7">
        <f t="shared" ca="1" si="2"/>
        <v>0.16021721244921286</v>
      </c>
      <c r="X31" s="8">
        <v>8</v>
      </c>
      <c r="Y31" s="7">
        <v>0.56105159442354169</v>
      </c>
      <c r="Z31" s="7">
        <v>8.2042040091689916E-3</v>
      </c>
    </row>
    <row r="32" spans="1:26">
      <c r="A32" s="23">
        <v>0.8</v>
      </c>
      <c r="B32" s="7">
        <v>0.33291620567343966</v>
      </c>
      <c r="C32" s="7">
        <v>0.1038</v>
      </c>
      <c r="N32">
        <v>29</v>
      </c>
      <c r="O32" s="7">
        <f t="shared" ca="1" si="0"/>
        <v>0.17218562335450227</v>
      </c>
      <c r="P32" s="7">
        <f t="shared" ca="1" si="0"/>
        <v>0.22544137281045318</v>
      </c>
      <c r="Q32" s="7">
        <f t="shared" ca="1" si="0"/>
        <v>-0.16188624222962966</v>
      </c>
      <c r="R32" s="7">
        <f t="shared" ca="1" si="1"/>
        <v>0.76425924606467421</v>
      </c>
      <c r="S32" s="7">
        <f t="array" aca="1" ref="S32" ca="1">SQRT(MMULT(O32:R32,MMULT($B$3:$E$6,TRANSPOSE(O32:R32))))</f>
        <v>0.55658122425416001</v>
      </c>
      <c r="T32" s="7">
        <f t="shared" ca="1" si="2"/>
        <v>0.12681670991284455</v>
      </c>
      <c r="X32" s="8">
        <v>10</v>
      </c>
      <c r="Y32" s="7">
        <v>0.73430344855014829</v>
      </c>
      <c r="Z32" s="7">
        <v>-1.8000494601519201E-2</v>
      </c>
    </row>
    <row r="33" spans="1:26">
      <c r="A33" s="23">
        <v>0.9</v>
      </c>
      <c r="B33" s="7">
        <v>0.32103375990696054</v>
      </c>
      <c r="C33" s="7">
        <v>0.10065</v>
      </c>
      <c r="N33">
        <v>30</v>
      </c>
      <c r="O33" s="7">
        <f t="shared" ca="1" si="0"/>
        <v>-0.47078979433022883</v>
      </c>
      <c r="P33" s="7">
        <f t="shared" ca="1" si="0"/>
        <v>0.86533623976336305</v>
      </c>
      <c r="Q33" s="7">
        <f t="shared" ca="1" si="0"/>
        <v>0.95888387776716222</v>
      </c>
      <c r="R33" s="7">
        <f t="shared" ca="1" si="1"/>
        <v>-0.35343032320029644</v>
      </c>
      <c r="S33" s="7">
        <f t="array" aca="1" ref="S33" ca="1">SQRT(MMULT(O33:R33,MMULT($B$3:$E$6,TRANSPOSE(O33:R33))))</f>
        <v>0.87830663802178488</v>
      </c>
      <c r="T33" s="7">
        <f t="shared" ca="1" si="2"/>
        <v>8.385335081792708E-2</v>
      </c>
      <c r="X33" s="8">
        <v>12</v>
      </c>
      <c r="Y33" s="7">
        <v>0.9143674527603104</v>
      </c>
      <c r="Z33" s="7">
        <v>-4.4205193212207394E-2</v>
      </c>
    </row>
    <row r="34" spans="1:26">
      <c r="A34" s="23">
        <v>1</v>
      </c>
      <c r="B34" s="7">
        <v>0.31254999600063987</v>
      </c>
      <c r="C34" s="7">
        <v>9.7500000000000003E-2</v>
      </c>
      <c r="N34">
        <v>31</v>
      </c>
      <c r="O34" s="50">
        <v>1</v>
      </c>
      <c r="P34" s="50">
        <v>0</v>
      </c>
      <c r="Q34" s="50">
        <v>0</v>
      </c>
      <c r="R34" s="50">
        <v>0</v>
      </c>
      <c r="S34" s="7">
        <f t="array" ref="S34">SQRT(MMULT(O34:R34,MMULT($B$3:$E$6,TRANSPOSE(O34:R34))))</f>
        <v>0.31622776601683794</v>
      </c>
      <c r="U34" s="7">
        <f>MMULT(O34:R34,$H$3:$H$6)</f>
        <v>0.06</v>
      </c>
      <c r="X34" s="8">
        <v>14</v>
      </c>
      <c r="Y34" s="7">
        <v>1.0978969641771559</v>
      </c>
      <c r="Z34" s="7">
        <v>-7.0409891822895698E-2</v>
      </c>
    </row>
    <row r="35" spans="1:26">
      <c r="A35" s="23">
        <v>1.1000000000000001</v>
      </c>
      <c r="B35" s="7">
        <v>0.30774612101535903</v>
      </c>
      <c r="C35" s="7">
        <v>9.4350000000000003E-2</v>
      </c>
      <c r="N35">
        <v>32</v>
      </c>
      <c r="O35" s="50">
        <v>0</v>
      </c>
      <c r="P35" s="50">
        <v>1</v>
      </c>
      <c r="Q35" s="50">
        <v>0</v>
      </c>
      <c r="R35" s="50">
        <v>0</v>
      </c>
      <c r="S35" s="7">
        <f t="array" ref="S35">SQRT(MMULT(O35:R35,MMULT($B$3:$E$6,TRANSPOSE(O35:R35))))</f>
        <v>0.54772255750516607</v>
      </c>
      <c r="U35" s="7">
        <f>MMULT(O35:R35,$H$3:$H$6)</f>
        <v>0.08</v>
      </c>
      <c r="X35" s="8">
        <v>16</v>
      </c>
      <c r="Y35" s="7">
        <v>1.2834061206020257</v>
      </c>
      <c r="Z35" s="7">
        <v>-9.6614590433584002E-2</v>
      </c>
    </row>
    <row r="36" spans="1:26">
      <c r="A36" s="23">
        <v>1.2</v>
      </c>
      <c r="B36" s="7">
        <v>0.30679504559233023</v>
      </c>
      <c r="C36" s="7">
        <v>9.1200000000000003E-2</v>
      </c>
      <c r="N36">
        <v>33</v>
      </c>
      <c r="O36" s="50">
        <v>0</v>
      </c>
      <c r="P36" s="50">
        <v>0</v>
      </c>
      <c r="Q36" s="50">
        <v>1</v>
      </c>
      <c r="R36" s="50">
        <v>0</v>
      </c>
      <c r="S36" s="7">
        <f t="array" ref="S36">SQRT(MMULT(O36:R36,MMULT($B$3:$E$6,TRANSPOSE(O36:R36))))</f>
        <v>0.63245553203367588</v>
      </c>
      <c r="U36" s="7">
        <f>MMULT(O36:R36,$H$3:$H$6)</f>
        <v>0.1</v>
      </c>
      <c r="X36" s="8">
        <v>18</v>
      </c>
      <c r="Y36" s="7">
        <v>1.470145713191513</v>
      </c>
      <c r="Z36" s="7">
        <v>-0.12281928904427231</v>
      </c>
    </row>
    <row r="37" spans="1:26">
      <c r="A37" s="23">
        <v>1.3</v>
      </c>
      <c r="B37" s="7">
        <v>0.30973226341471111</v>
      </c>
      <c r="C37" s="7">
        <v>8.8049999999999989E-2</v>
      </c>
      <c r="N37">
        <v>34</v>
      </c>
      <c r="O37" s="50">
        <v>0</v>
      </c>
      <c r="P37" s="50">
        <v>0</v>
      </c>
      <c r="Q37" s="50">
        <v>0</v>
      </c>
      <c r="R37" s="50">
        <v>1</v>
      </c>
      <c r="S37" s="7">
        <f t="array" ref="S37">SQRT(MMULT(O37:R37,MMULT($B$3:$E$6,TRANSPOSE(O37:R37))))</f>
        <v>0.70710678118654757</v>
      </c>
      <c r="U37" s="7">
        <f>MMULT(O37:R37,$H$3:$H$6)</f>
        <v>0.15</v>
      </c>
      <c r="X37" s="8">
        <v>20</v>
      </c>
      <c r="Y37" s="7">
        <v>1.657699968872322</v>
      </c>
      <c r="Z37" s="7">
        <v>-0.14902398765496039</v>
      </c>
    </row>
    <row r="38" spans="1:26">
      <c r="A38" s="23">
        <v>1.4</v>
      </c>
      <c r="B38" s="7">
        <v>0.31644952204103577</v>
      </c>
      <c r="C38" s="7">
        <v>8.4899999999999989E-2</v>
      </c>
      <c r="N38">
        <v>35</v>
      </c>
      <c r="O38" s="50">
        <f t="array" ref="O38:R38">TRANSPOSE(AA4:AA7)</f>
        <v>0.60718139977781305</v>
      </c>
      <c r="P38" s="50">
        <v>0.20758609744485004</v>
      </c>
      <c r="Q38" s="50">
        <v>9.2644024757974938E-2</v>
      </c>
      <c r="R38" s="50">
        <v>9.2588478019362028E-2</v>
      </c>
      <c r="S38" s="51">
        <f t="array" ref="S38">SQRT(MMULT(O38:R38,MMULT($B$3:$E$6,TRANSPOSE(O38:R38))))</f>
        <v>0.2649580072312161</v>
      </c>
      <c r="U38" s="51">
        <f>MMULT(O38:R38,$H$3:$H$6)</f>
        <v>7.6190445960958586E-2</v>
      </c>
      <c r="X38" s="8">
        <v>22</v>
      </c>
      <c r="Y38" s="7">
        <v>1.8458205700312578</v>
      </c>
      <c r="Z38" s="7">
        <v>-0.17522868626564847</v>
      </c>
    </row>
    <row r="39" spans="1:26">
      <c r="A39" s="23">
        <v>1.5</v>
      </c>
      <c r="B39" s="7">
        <v>0.32671375085845411</v>
      </c>
      <c r="C39" s="7">
        <v>8.1749999999999989E-2</v>
      </c>
      <c r="N39">
        <v>1</v>
      </c>
      <c r="S39" s="7">
        <f t="shared" ref="S39:S55" si="3">Y22</f>
        <v>1.2469714822747824</v>
      </c>
      <c r="V39">
        <f t="shared" ref="V39:V55" si="4">Z22</f>
        <v>0.24404649150536317</v>
      </c>
    </row>
    <row r="40" spans="1:26">
      <c r="A40" s="23">
        <v>1.6</v>
      </c>
      <c r="B40" s="7">
        <v>0.34020405641320617</v>
      </c>
      <c r="C40" s="7">
        <v>7.8600000000000017E-2</v>
      </c>
      <c r="N40">
        <v>2</v>
      </c>
      <c r="S40" s="7">
        <f t="shared" si="3"/>
        <v>1.0617758473653189</v>
      </c>
      <c r="V40">
        <f t="shared" si="4"/>
        <v>0.21784179289467487</v>
      </c>
    </row>
    <row r="41" spans="1:26">
      <c r="A41" s="23">
        <v>1.7</v>
      </c>
      <c r="B41" s="7">
        <v>0.35655444885739396</v>
      </c>
      <c r="C41" s="7">
        <v>7.5450000000000017E-2</v>
      </c>
      <c r="N41">
        <v>3</v>
      </c>
      <c r="S41" s="7">
        <f t="shared" si="3"/>
        <v>0.8787728054835392</v>
      </c>
      <c r="V41">
        <f t="shared" si="4"/>
        <v>0.19163709428398668</v>
      </c>
    </row>
    <row r="42" spans="1:26">
      <c r="A42" s="23">
        <v>1.8</v>
      </c>
      <c r="B42" s="7">
        <v>0.37539139574582681</v>
      </c>
      <c r="C42" s="7">
        <v>7.2300000000000003E-2</v>
      </c>
      <c r="N42">
        <v>4</v>
      </c>
      <c r="S42" s="7">
        <f t="shared" si="3"/>
        <v>0.69968489938955736</v>
      </c>
      <c r="V42">
        <f t="shared" si="4"/>
        <v>0.16543239567329843</v>
      </c>
    </row>
    <row r="43" spans="1:26">
      <c r="A43" s="23">
        <v>1.9</v>
      </c>
      <c r="B43" s="7">
        <v>0.39636053663300019</v>
      </c>
      <c r="C43" s="7">
        <v>6.9150000000000003E-2</v>
      </c>
      <c r="N43">
        <v>5</v>
      </c>
      <c r="S43" s="7">
        <f t="shared" si="3"/>
        <v>0.5285072320956804</v>
      </c>
      <c r="V43">
        <f t="shared" si="4"/>
        <v>0.13922769706261021</v>
      </c>
    </row>
    <row r="44" spans="1:26">
      <c r="A44" s="23">
        <v>2</v>
      </c>
      <c r="B44" s="7">
        <v>0.41914198071775155</v>
      </c>
      <c r="C44" s="7">
        <v>6.6000000000000003E-2</v>
      </c>
      <c r="N44">
        <v>6</v>
      </c>
      <c r="S44" s="7">
        <f t="shared" si="3"/>
        <v>0.37619735709916446</v>
      </c>
      <c r="V44">
        <f t="shared" si="4"/>
        <v>0.11302299845192197</v>
      </c>
    </row>
    <row r="45" spans="1:26">
      <c r="A45" s="23">
        <v>2.1</v>
      </c>
      <c r="B45" s="7">
        <v>0.44345650857778585</v>
      </c>
      <c r="C45" s="7">
        <v>6.2849999999999989E-2</v>
      </c>
      <c r="N45">
        <v>7</v>
      </c>
      <c r="S45" s="7">
        <f t="shared" si="3"/>
        <v>0.27599389443727146</v>
      </c>
      <c r="V45">
        <f t="shared" si="4"/>
        <v>8.6818299841233723E-2</v>
      </c>
    </row>
    <row r="46" spans="1:26">
      <c r="A46" s="23">
        <v>2.2000000000000002</v>
      </c>
      <c r="B46" s="7">
        <v>0.46906577363947577</v>
      </c>
      <c r="C46" s="7">
        <v>5.9700000000000003E-2</v>
      </c>
      <c r="N46">
        <v>8</v>
      </c>
      <c r="S46" s="7">
        <f t="shared" si="3"/>
        <v>0.28855576447578352</v>
      </c>
      <c r="V46">
        <f t="shared" si="4"/>
        <v>6.0613601230545489E-2</v>
      </c>
    </row>
    <row r="47" spans="1:26">
      <c r="A47" s="23">
        <v>2.2999999999999998</v>
      </c>
      <c r="B47" s="7">
        <v>0.49576917512084173</v>
      </c>
      <c r="C47" s="7">
        <v>5.6549999999999989E-2</v>
      </c>
      <c r="N47">
        <v>9</v>
      </c>
      <c r="S47" s="7">
        <f t="shared" si="3"/>
        <v>0.40348463393920275</v>
      </c>
      <c r="V47">
        <f t="shared" si="4"/>
        <v>3.4408902619857296E-2</v>
      </c>
    </row>
    <row r="48" spans="1:26">
      <c r="A48" s="23">
        <v>2.4</v>
      </c>
      <c r="B48" s="7">
        <v>0.52339927397733355</v>
      </c>
      <c r="C48" s="7">
        <v>5.3400000000000003E-2</v>
      </c>
      <c r="N48">
        <v>10</v>
      </c>
      <c r="S48" s="7">
        <f t="shared" si="3"/>
        <v>0.56105159442354169</v>
      </c>
      <c r="V48">
        <f t="shared" si="4"/>
        <v>8.2042040091689916E-3</v>
      </c>
    </row>
    <row r="49" spans="1:22">
      <c r="A49" s="15" t="s">
        <v>67</v>
      </c>
      <c r="B49" s="7">
        <f>SQRT(B3)</f>
        <v>0.31622776601683794</v>
      </c>
      <c r="D49" s="18">
        <v>0.06</v>
      </c>
      <c r="N49">
        <v>11</v>
      </c>
      <c r="S49" s="7">
        <f t="shared" si="3"/>
        <v>0.73430344855014829</v>
      </c>
      <c r="V49">
        <f t="shared" si="4"/>
        <v>-1.8000494601519201E-2</v>
      </c>
    </row>
    <row r="50" spans="1:22">
      <c r="A50" s="15" t="s">
        <v>45</v>
      </c>
      <c r="B50" s="7">
        <f>SQRT(C4)</f>
        <v>0.54772255750516607</v>
      </c>
      <c r="D50" s="18">
        <v>0.08</v>
      </c>
      <c r="N50">
        <v>12</v>
      </c>
      <c r="S50" s="7">
        <f t="shared" si="3"/>
        <v>0.9143674527603104</v>
      </c>
      <c r="V50">
        <f t="shared" si="4"/>
        <v>-4.4205193212207394E-2</v>
      </c>
    </row>
    <row r="51" spans="1:22">
      <c r="A51" s="15" t="s">
        <v>68</v>
      </c>
      <c r="B51" s="7">
        <f>SQRT(D5)</f>
        <v>0.63245553203367588</v>
      </c>
      <c r="D51" s="18">
        <v>0.1</v>
      </c>
      <c r="N51">
        <v>13</v>
      </c>
      <c r="S51" s="7">
        <f t="shared" si="3"/>
        <v>1.0978969641771559</v>
      </c>
      <c r="V51">
        <f t="shared" si="4"/>
        <v>-7.0409891822895698E-2</v>
      </c>
    </row>
    <row r="52" spans="1:22">
      <c r="A52" s="15" t="s">
        <v>69</v>
      </c>
      <c r="B52" s="7">
        <f>SQRT(E6)</f>
        <v>0.70710678118654757</v>
      </c>
      <c r="D52" s="18">
        <v>0.12</v>
      </c>
      <c r="N52">
        <v>14</v>
      </c>
      <c r="S52" s="7">
        <f t="shared" si="3"/>
        <v>1.2834061206020257</v>
      </c>
      <c r="V52">
        <f t="shared" si="4"/>
        <v>-9.6614590433584002E-2</v>
      </c>
    </row>
    <row r="53" spans="1:22">
      <c r="N53">
        <v>15</v>
      </c>
      <c r="S53" s="7">
        <f t="shared" si="3"/>
        <v>1.470145713191513</v>
      </c>
      <c r="V53">
        <f t="shared" si="4"/>
        <v>-0.12281928904427231</v>
      </c>
    </row>
    <row r="54" spans="1:22">
      <c r="N54">
        <v>16</v>
      </c>
      <c r="S54" s="7">
        <f t="shared" si="3"/>
        <v>1.657699968872322</v>
      </c>
      <c r="V54">
        <f t="shared" si="4"/>
        <v>-0.14902398765496039</v>
      </c>
    </row>
    <row r="55" spans="1:22">
      <c r="N55">
        <v>17</v>
      </c>
      <c r="S55" s="7">
        <f t="shared" si="3"/>
        <v>1.8458205700312578</v>
      </c>
      <c r="V55">
        <f t="shared" si="4"/>
        <v>-0.17522868626564847</v>
      </c>
    </row>
  </sheetData>
  <phoneticPr fontId="3" type="noConversion"/>
  <pageMargins left="0.7" right="0.7" top="0.75" bottom="0.75" header="0.3" footer="0.3"/>
  <pageSetup paperSize="9" scale="4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23"/>
  <sheetViews>
    <sheetView topLeftCell="I69" zoomScale="80" zoomScaleNormal="80" workbookViewId="0">
      <selection activeCell="AF83" sqref="AF83"/>
    </sheetView>
  </sheetViews>
  <sheetFormatPr defaultColWidth="9" defaultRowHeight="15"/>
  <cols>
    <col min="1" max="1" width="12.42578125" style="27" customWidth="1"/>
    <col min="2" max="4" width="9" style="26"/>
    <col min="5" max="5" width="10" style="26" customWidth="1"/>
    <col min="6" max="8" width="9" style="26"/>
    <col min="9" max="9" width="10.5703125" style="26" customWidth="1"/>
    <col min="10" max="11" width="9" style="26"/>
    <col min="12" max="12" width="12.5703125" style="27" bestFit="1" customWidth="1"/>
    <col min="13" max="16384" width="9" style="27"/>
  </cols>
  <sheetData>
    <row r="1" spans="1:22">
      <c r="A1" s="25" t="s">
        <v>70</v>
      </c>
      <c r="B1" s="26" t="s">
        <v>71</v>
      </c>
      <c r="M1" s="27" t="s">
        <v>72</v>
      </c>
    </row>
    <row r="2" spans="1:22">
      <c r="A2" s="28" t="s">
        <v>0</v>
      </c>
      <c r="B2" s="29" t="s">
        <v>17</v>
      </c>
      <c r="C2" s="29" t="s">
        <v>19</v>
      </c>
      <c r="D2" s="29" t="s">
        <v>73</v>
      </c>
      <c r="E2" s="29" t="s">
        <v>74</v>
      </c>
      <c r="F2" s="29" t="s">
        <v>75</v>
      </c>
      <c r="G2" s="29" t="s">
        <v>76</v>
      </c>
      <c r="H2" s="29" t="s">
        <v>77</v>
      </c>
      <c r="I2" s="29" t="s">
        <v>78</v>
      </c>
      <c r="J2" s="29" t="s">
        <v>79</v>
      </c>
      <c r="K2" s="29" t="s">
        <v>80</v>
      </c>
      <c r="M2" s="29" t="s">
        <v>17</v>
      </c>
      <c r="N2" s="29" t="s">
        <v>19</v>
      </c>
      <c r="O2" s="29" t="s">
        <v>73</v>
      </c>
      <c r="P2" s="29" t="s">
        <v>74</v>
      </c>
      <c r="Q2" s="29" t="s">
        <v>75</v>
      </c>
      <c r="R2" s="29" t="s">
        <v>76</v>
      </c>
      <c r="S2" s="29" t="s">
        <v>77</v>
      </c>
      <c r="T2" s="29" t="s">
        <v>78</v>
      </c>
      <c r="U2" s="29" t="s">
        <v>79</v>
      </c>
      <c r="V2" s="29" t="s">
        <v>80</v>
      </c>
    </row>
    <row r="3" spans="1:22">
      <c r="A3" s="30">
        <v>41548</v>
      </c>
      <c r="B3" s="26">
        <v>511.96020499999997</v>
      </c>
      <c r="C3" s="26">
        <v>364.02999899999998</v>
      </c>
      <c r="D3" s="26">
        <v>159.94000199999999</v>
      </c>
      <c r="E3" s="26">
        <v>597000</v>
      </c>
      <c r="F3" s="26">
        <v>21.989946</v>
      </c>
      <c r="G3" s="26">
        <v>61.18224</v>
      </c>
      <c r="H3" s="26">
        <v>31.298151000000001</v>
      </c>
      <c r="I3" s="26">
        <v>172994</v>
      </c>
      <c r="J3" s="26">
        <v>50.209999000000003</v>
      </c>
      <c r="K3" s="27">
        <v>1756.540039</v>
      </c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>
      <c r="A4" s="30">
        <v>41579</v>
      </c>
      <c r="B4" s="26">
        <v>526.37145999999996</v>
      </c>
      <c r="C4" s="26">
        <v>393.61999500000002</v>
      </c>
      <c r="D4" s="26">
        <v>127.279999</v>
      </c>
      <c r="E4" s="26">
        <v>692000</v>
      </c>
      <c r="F4" s="26">
        <v>22.427385000000001</v>
      </c>
      <c r="G4" s="26">
        <v>65.088202999999993</v>
      </c>
      <c r="H4" s="26">
        <v>33.702305000000003</v>
      </c>
      <c r="I4" s="26">
        <v>174750</v>
      </c>
      <c r="J4" s="26">
        <v>47.009998000000003</v>
      </c>
      <c r="K4" s="27">
        <v>1805.8100589999999</v>
      </c>
      <c r="L4" s="26">
        <v>1</v>
      </c>
      <c r="M4" s="31">
        <f>LN(B4/B3)</f>
        <v>2.7760263806648255E-2</v>
      </c>
      <c r="N4" s="31">
        <f t="shared" ref="N4:V19" si="0">LN(C4/C3)</f>
        <v>7.8149685116695136E-2</v>
      </c>
      <c r="O4" s="31">
        <f t="shared" si="0"/>
        <v>-0.2284093812355954</v>
      </c>
      <c r="P4" s="31">
        <f t="shared" si="0"/>
        <v>0.14766884222506746</v>
      </c>
      <c r="Q4" s="31">
        <f t="shared" si="0"/>
        <v>1.969740790267932E-2</v>
      </c>
      <c r="R4" s="31">
        <f t="shared" si="0"/>
        <v>6.1886367950885882E-2</v>
      </c>
      <c r="S4" s="31">
        <f t="shared" si="0"/>
        <v>7.4007210326645353E-2</v>
      </c>
      <c r="T4" s="31">
        <f t="shared" si="0"/>
        <v>1.0099469298502924E-2</v>
      </c>
      <c r="U4" s="31">
        <f t="shared" si="0"/>
        <v>-6.5853887638363862E-2</v>
      </c>
      <c r="V4" s="31">
        <f t="shared" si="0"/>
        <v>2.7663290033784871E-2</v>
      </c>
    </row>
    <row r="5" spans="1:22">
      <c r="A5" s="30">
        <v>41609</v>
      </c>
      <c r="B5" s="26">
        <v>556.73400900000001</v>
      </c>
      <c r="C5" s="26">
        <v>398.790009</v>
      </c>
      <c r="D5" s="26">
        <v>150.429993</v>
      </c>
      <c r="E5" s="26">
        <v>724000</v>
      </c>
      <c r="F5" s="26">
        <v>23.579884</v>
      </c>
      <c r="G5" s="26">
        <v>68.448830000000001</v>
      </c>
      <c r="H5" s="26">
        <v>33.316676999999999</v>
      </c>
      <c r="I5" s="26">
        <v>177900</v>
      </c>
      <c r="J5" s="26">
        <v>54.650002000000001</v>
      </c>
      <c r="K5" s="27">
        <v>1848.3599850000001</v>
      </c>
      <c r="L5" s="26">
        <v>2</v>
      </c>
      <c r="M5" s="31">
        <f t="shared" ref="M5:V43" si="1">LN(B5/B4)</f>
        <v>5.608042246132644E-2</v>
      </c>
      <c r="N5" s="31">
        <f t="shared" si="0"/>
        <v>1.3049020923201645E-2</v>
      </c>
      <c r="O5" s="31">
        <f t="shared" si="0"/>
        <v>0.16710843700362241</v>
      </c>
      <c r="P5" s="31">
        <f t="shared" si="0"/>
        <v>4.5205436768046781E-2</v>
      </c>
      <c r="Q5" s="31">
        <f t="shared" si="0"/>
        <v>5.0111218869214852E-2</v>
      </c>
      <c r="R5" s="31">
        <f t="shared" si="0"/>
        <v>5.0343139544225826E-2</v>
      </c>
      <c r="S5" s="31">
        <f t="shared" si="0"/>
        <v>-1.1508150212089115E-2</v>
      </c>
      <c r="T5" s="31">
        <f t="shared" si="0"/>
        <v>1.7865213557869786E-2</v>
      </c>
      <c r="U5" s="31">
        <f t="shared" si="0"/>
        <v>0.15058894872717152</v>
      </c>
      <c r="V5" s="31">
        <f t="shared" si="0"/>
        <v>2.3289474066882893E-2</v>
      </c>
    </row>
    <row r="6" spans="1:22">
      <c r="A6" s="30">
        <v>41640</v>
      </c>
      <c r="B6" s="26">
        <v>586.66931199999999</v>
      </c>
      <c r="C6" s="26">
        <v>358.69000199999999</v>
      </c>
      <c r="D6" s="26">
        <v>181.41000399999999</v>
      </c>
      <c r="E6" s="26">
        <v>675000</v>
      </c>
      <c r="F6" s="26">
        <v>21.311342</v>
      </c>
      <c r="G6" s="26">
        <v>61.077103000000001</v>
      </c>
      <c r="H6" s="26">
        <v>33.699623000000003</v>
      </c>
      <c r="I6" s="26">
        <v>169511</v>
      </c>
      <c r="J6" s="26">
        <v>62.57</v>
      </c>
      <c r="K6" s="27">
        <v>1782.589966</v>
      </c>
      <c r="L6" s="26">
        <v>3</v>
      </c>
      <c r="M6" s="31">
        <f t="shared" si="1"/>
        <v>5.2373724767437374E-2</v>
      </c>
      <c r="N6" s="31">
        <f t="shared" si="0"/>
        <v>-0.10597647384037338</v>
      </c>
      <c r="O6" s="31">
        <f t="shared" si="0"/>
        <v>0.18726187182627205</v>
      </c>
      <c r="P6" s="31">
        <f t="shared" si="0"/>
        <v>-7.007870151318657E-2</v>
      </c>
      <c r="Q6" s="31">
        <f t="shared" si="0"/>
        <v>-0.10115455641716152</v>
      </c>
      <c r="R6" s="31">
        <f t="shared" si="0"/>
        <v>-0.11394940919484202</v>
      </c>
      <c r="S6" s="31">
        <f t="shared" si="0"/>
        <v>1.1428567918792761E-2</v>
      </c>
      <c r="T6" s="31">
        <f t="shared" si="0"/>
        <v>-4.8303773201825537E-2</v>
      </c>
      <c r="U6" s="31">
        <f t="shared" si="0"/>
        <v>0.13533667879120195</v>
      </c>
      <c r="V6" s="31">
        <f t="shared" si="0"/>
        <v>-3.623140748501559E-2</v>
      </c>
    </row>
    <row r="7" spans="1:22">
      <c r="A7" s="30">
        <v>41671</v>
      </c>
      <c r="B7" s="26">
        <v>603.89721699999996</v>
      </c>
      <c r="C7" s="26">
        <v>362.10000600000001</v>
      </c>
      <c r="D7" s="26">
        <v>244.80999800000001</v>
      </c>
      <c r="E7" s="26">
        <v>817000</v>
      </c>
      <c r="F7" s="26">
        <v>21.599678000000001</v>
      </c>
      <c r="G7" s="26">
        <v>64.205405999999996</v>
      </c>
      <c r="H7" s="26">
        <v>34.118206000000001</v>
      </c>
      <c r="I7" s="26">
        <v>173708</v>
      </c>
      <c r="J7" s="26">
        <v>68.459998999999996</v>
      </c>
      <c r="K7" s="27">
        <v>1859.4499510000001</v>
      </c>
      <c r="L7" s="26">
        <v>4</v>
      </c>
      <c r="M7" s="31">
        <f t="shared" si="1"/>
        <v>2.8942704479535238E-2</v>
      </c>
      <c r="N7" s="31">
        <f t="shared" si="0"/>
        <v>9.4619220660906861E-3</v>
      </c>
      <c r="O7" s="31">
        <f t="shared" si="0"/>
        <v>0.29972270630471554</v>
      </c>
      <c r="P7" s="31">
        <f t="shared" si="0"/>
        <v>0.19092640398747301</v>
      </c>
      <c r="Q7" s="31">
        <f t="shared" si="0"/>
        <v>1.3438987914872516E-2</v>
      </c>
      <c r="R7" s="31">
        <f t="shared" si="0"/>
        <v>4.9950363133210093E-2</v>
      </c>
      <c r="S7" s="31">
        <f t="shared" si="0"/>
        <v>1.2344491756552155E-2</v>
      </c>
      <c r="T7" s="31">
        <f t="shared" si="0"/>
        <v>2.4457907135644462E-2</v>
      </c>
      <c r="U7" s="31">
        <f t="shared" si="0"/>
        <v>8.9963688484697088E-2</v>
      </c>
      <c r="V7" s="31">
        <f t="shared" si="0"/>
        <v>4.2213374879040998E-2</v>
      </c>
    </row>
    <row r="8" spans="1:22">
      <c r="A8" s="30">
        <v>41699</v>
      </c>
      <c r="B8" s="26">
        <v>555.44500700000003</v>
      </c>
      <c r="C8" s="26">
        <v>336.36999500000002</v>
      </c>
      <c r="D8" s="26">
        <v>208.449997</v>
      </c>
      <c r="E8" s="26">
        <v>774000</v>
      </c>
      <c r="F8" s="26">
        <v>22.147686</v>
      </c>
      <c r="G8" s="26">
        <v>68.332603000000006</v>
      </c>
      <c r="H8" s="26">
        <v>36.778708999999999</v>
      </c>
      <c r="I8" s="26">
        <v>187350</v>
      </c>
      <c r="J8" s="26">
        <v>60.240001999999997</v>
      </c>
      <c r="K8" s="27">
        <v>1872.339966</v>
      </c>
      <c r="L8" s="26">
        <v>5</v>
      </c>
      <c r="M8" s="31">
        <f t="shared" si="1"/>
        <v>-8.3634406044967413E-2</v>
      </c>
      <c r="N8" s="31">
        <f t="shared" si="0"/>
        <v>-7.3708703632283726E-2</v>
      </c>
      <c r="O8" s="31">
        <f t="shared" si="0"/>
        <v>-0.16078320137258226</v>
      </c>
      <c r="P8" s="31">
        <f t="shared" si="0"/>
        <v>-5.4067221270275821E-2</v>
      </c>
      <c r="Q8" s="31">
        <f t="shared" si="0"/>
        <v>2.5054614336268849E-2</v>
      </c>
      <c r="R8" s="31">
        <f t="shared" si="0"/>
        <v>6.2299589850006568E-2</v>
      </c>
      <c r="S8" s="31">
        <f t="shared" si="0"/>
        <v>7.508797585330973E-2</v>
      </c>
      <c r="T8" s="31">
        <f t="shared" si="0"/>
        <v>7.5602796634087963E-2</v>
      </c>
      <c r="U8" s="31">
        <f t="shared" si="0"/>
        <v>-0.12791300180280052</v>
      </c>
      <c r="V8" s="31">
        <f t="shared" si="0"/>
        <v>6.9082486153468677E-3</v>
      </c>
    </row>
    <row r="9" spans="1:22">
      <c r="A9" s="30">
        <v>41730</v>
      </c>
      <c r="B9" s="26">
        <v>523.77996800000005</v>
      </c>
      <c r="C9" s="26">
        <v>304.13000499999998</v>
      </c>
      <c r="D9" s="26">
        <v>207.88999899999999</v>
      </c>
      <c r="E9" s="26">
        <v>738000</v>
      </c>
      <c r="F9" s="26">
        <v>23.003140999999999</v>
      </c>
      <c r="G9" s="26">
        <v>75.124626000000006</v>
      </c>
      <c r="H9" s="26">
        <v>36.249313000000001</v>
      </c>
      <c r="I9" s="26">
        <v>193275</v>
      </c>
      <c r="J9" s="26">
        <v>59.779998999999997</v>
      </c>
      <c r="K9" s="27">
        <v>1883.9499510000001</v>
      </c>
      <c r="L9" s="26">
        <v>6</v>
      </c>
      <c r="M9" s="31">
        <f t="shared" si="1"/>
        <v>-5.8697919141521511E-2</v>
      </c>
      <c r="N9" s="31">
        <f t="shared" si="0"/>
        <v>-0.10075647169213836</v>
      </c>
      <c r="O9" s="31">
        <f t="shared" si="0"/>
        <v>-2.6901010860787191E-3</v>
      </c>
      <c r="P9" s="31">
        <f t="shared" si="0"/>
        <v>-4.7628048989254587E-2</v>
      </c>
      <c r="Q9" s="31">
        <f t="shared" si="0"/>
        <v>3.7897750314496229E-2</v>
      </c>
      <c r="R9" s="31">
        <f t="shared" si="0"/>
        <v>9.4761411865289635E-2</v>
      </c>
      <c r="S9" s="31">
        <f t="shared" si="0"/>
        <v>-1.4498688565023701E-2</v>
      </c>
      <c r="T9" s="31">
        <f t="shared" si="0"/>
        <v>3.1135519966841982E-2</v>
      </c>
      <c r="U9" s="31">
        <f t="shared" si="0"/>
        <v>-7.6654765643797904E-3</v>
      </c>
      <c r="V9" s="31">
        <f t="shared" si="0"/>
        <v>6.18164317838415E-3</v>
      </c>
    </row>
    <row r="10" spans="1:22">
      <c r="A10" s="30">
        <v>41760</v>
      </c>
      <c r="B10" s="26">
        <v>556.82824700000003</v>
      </c>
      <c r="C10" s="26">
        <v>312.54998799999998</v>
      </c>
      <c r="D10" s="26">
        <v>207.770004</v>
      </c>
      <c r="E10" s="26">
        <v>758000</v>
      </c>
      <c r="F10" s="26">
        <v>22.917597000000001</v>
      </c>
      <c r="G10" s="26">
        <v>80.587517000000005</v>
      </c>
      <c r="H10" s="26">
        <v>36.733837000000001</v>
      </c>
      <c r="I10" s="26">
        <v>192000</v>
      </c>
      <c r="J10" s="26">
        <v>63.299999</v>
      </c>
      <c r="K10" s="27">
        <v>1923.5699460000001</v>
      </c>
      <c r="L10" s="26">
        <v>7</v>
      </c>
      <c r="M10" s="31">
        <f t="shared" si="1"/>
        <v>6.1185150958204787E-2</v>
      </c>
      <c r="N10" s="31">
        <f t="shared" si="0"/>
        <v>2.7309159966781946E-2</v>
      </c>
      <c r="O10" s="31">
        <f t="shared" si="0"/>
        <v>-5.7737094003452853E-4</v>
      </c>
      <c r="P10" s="31">
        <f t="shared" si="0"/>
        <v>2.6739561041899087E-2</v>
      </c>
      <c r="Q10" s="31">
        <f t="shared" si="0"/>
        <v>-3.7257284041632192E-3</v>
      </c>
      <c r="R10" s="31">
        <f t="shared" si="0"/>
        <v>7.0195347113951048E-2</v>
      </c>
      <c r="S10" s="31">
        <f t="shared" si="0"/>
        <v>1.327788999350068E-2</v>
      </c>
      <c r="T10" s="31">
        <f t="shared" si="0"/>
        <v>-6.618673178756888E-3</v>
      </c>
      <c r="U10" s="31">
        <f t="shared" si="0"/>
        <v>5.7214173224553216E-2</v>
      </c>
      <c r="V10" s="31">
        <f t="shared" si="0"/>
        <v>2.0812195954315483E-2</v>
      </c>
    </row>
    <row r="11" spans="1:22">
      <c r="A11" s="30">
        <v>41791</v>
      </c>
      <c r="B11" s="26">
        <v>572.134094</v>
      </c>
      <c r="C11" s="26">
        <v>324.77999899999998</v>
      </c>
      <c r="D11" s="26">
        <v>240.05999800000001</v>
      </c>
      <c r="E11" s="26">
        <v>835000</v>
      </c>
      <c r="F11" s="26">
        <v>22.481316</v>
      </c>
      <c r="G11" s="26">
        <v>86.166938999999999</v>
      </c>
      <c r="H11" s="26">
        <v>37.679713999999997</v>
      </c>
      <c r="I11" s="26">
        <v>189900</v>
      </c>
      <c r="J11" s="26">
        <v>67.290001000000004</v>
      </c>
      <c r="K11" s="27">
        <v>1960.2299800000001</v>
      </c>
      <c r="L11" s="26">
        <v>8</v>
      </c>
      <c r="M11" s="31">
        <f t="shared" si="1"/>
        <v>2.7116555279211019E-2</v>
      </c>
      <c r="N11" s="31">
        <f t="shared" si="0"/>
        <v>3.8383608973970564E-2</v>
      </c>
      <c r="O11" s="31">
        <f t="shared" si="0"/>
        <v>0.14445716585719606</v>
      </c>
      <c r="P11" s="31">
        <f t="shared" si="0"/>
        <v>9.6748339208483872E-2</v>
      </c>
      <c r="Q11" s="31">
        <f t="shared" si="0"/>
        <v>-1.9220479180893233E-2</v>
      </c>
      <c r="R11" s="31">
        <f t="shared" si="0"/>
        <v>6.6942804229419575E-2</v>
      </c>
      <c r="S11" s="31">
        <f t="shared" si="0"/>
        <v>2.5423540055350195E-2</v>
      </c>
      <c r="T11" s="31">
        <f t="shared" si="0"/>
        <v>-1.0997754209541398E-2</v>
      </c>
      <c r="U11" s="31">
        <f t="shared" si="0"/>
        <v>6.1126338708933629E-2</v>
      </c>
      <c r="V11" s="31">
        <f t="shared" si="0"/>
        <v>1.8878996624704429E-2</v>
      </c>
    </row>
    <row r="12" spans="1:22">
      <c r="A12" s="30">
        <v>41821</v>
      </c>
      <c r="B12" s="26">
        <v>568.474243</v>
      </c>
      <c r="C12" s="26">
        <v>312.98998999999998</v>
      </c>
      <c r="D12" s="26">
        <v>223.300003</v>
      </c>
      <c r="E12" s="26">
        <v>749000</v>
      </c>
      <c r="F12" s="26">
        <v>21.692122999999999</v>
      </c>
      <c r="G12" s="26">
        <v>88.642608999999993</v>
      </c>
      <c r="H12" s="26">
        <v>38.998958999999999</v>
      </c>
      <c r="I12" s="26">
        <v>188124</v>
      </c>
      <c r="J12" s="26">
        <v>72.650002000000001</v>
      </c>
      <c r="K12" s="27">
        <v>1930.670044</v>
      </c>
      <c r="L12" s="26">
        <v>9</v>
      </c>
      <c r="M12" s="31">
        <f t="shared" si="1"/>
        <v>-6.4173887592019899E-3</v>
      </c>
      <c r="N12" s="31">
        <f t="shared" si="0"/>
        <v>-3.697681775984954E-2</v>
      </c>
      <c r="O12" s="31">
        <f t="shared" si="0"/>
        <v>-7.2372711484995009E-2</v>
      </c>
      <c r="P12" s="31">
        <f t="shared" si="0"/>
        <v>-0.10869274133363595</v>
      </c>
      <c r="Q12" s="31">
        <f t="shared" si="0"/>
        <v>-3.5735364981370324E-2</v>
      </c>
      <c r="R12" s="31">
        <f t="shared" si="0"/>
        <v>2.8326090413106145E-2</v>
      </c>
      <c r="S12" s="31">
        <f t="shared" si="0"/>
        <v>3.4413094019897485E-2</v>
      </c>
      <c r="T12" s="31">
        <f t="shared" si="0"/>
        <v>-9.3962979438458674E-3</v>
      </c>
      <c r="U12" s="31">
        <f t="shared" si="0"/>
        <v>7.6641765484265587E-2</v>
      </c>
      <c r="V12" s="31">
        <f t="shared" si="0"/>
        <v>-1.5194687370535838E-2</v>
      </c>
    </row>
    <row r="13" spans="1:22">
      <c r="A13" s="30">
        <v>41852</v>
      </c>
      <c r="B13" s="26">
        <v>568.474243</v>
      </c>
      <c r="C13" s="26">
        <v>339.040009</v>
      </c>
      <c r="D13" s="26">
        <v>269.70001200000002</v>
      </c>
      <c r="E13" s="26">
        <v>768000</v>
      </c>
      <c r="F13" s="26">
        <v>22.408004999999999</v>
      </c>
      <c r="G13" s="26">
        <v>95.040451000000004</v>
      </c>
      <c r="H13" s="26">
        <v>41.050097999999998</v>
      </c>
      <c r="I13" s="26">
        <v>205880</v>
      </c>
      <c r="J13" s="26">
        <v>74.819999999999993</v>
      </c>
      <c r="K13" s="27">
        <v>2003.369995</v>
      </c>
      <c r="L13" s="26">
        <v>10</v>
      </c>
      <c r="M13" s="31">
        <f t="shared" si="1"/>
        <v>0</v>
      </c>
      <c r="N13" s="31">
        <f t="shared" si="0"/>
        <v>7.994691186744439E-2</v>
      </c>
      <c r="O13" s="31">
        <f t="shared" si="0"/>
        <v>0.1887941023586123</v>
      </c>
      <c r="P13" s="31">
        <f t="shared" si="0"/>
        <v>2.5050749630452767E-2</v>
      </c>
      <c r="Q13" s="31">
        <f t="shared" si="0"/>
        <v>3.246906183644354E-2</v>
      </c>
      <c r="R13" s="31">
        <f t="shared" si="0"/>
        <v>6.9689944743374255E-2</v>
      </c>
      <c r="S13" s="31">
        <f t="shared" si="0"/>
        <v>5.1258269762400652E-2</v>
      </c>
      <c r="T13" s="31">
        <f t="shared" si="0"/>
        <v>9.0192154910159472E-2</v>
      </c>
      <c r="U13" s="31">
        <f t="shared" si="0"/>
        <v>2.9431811374458522E-2</v>
      </c>
      <c r="V13" s="31">
        <f t="shared" si="0"/>
        <v>3.6963644321168353E-2</v>
      </c>
    </row>
    <row r="14" spans="1:22">
      <c r="A14" s="30">
        <v>41883</v>
      </c>
      <c r="B14" s="26">
        <v>574.20269800000005</v>
      </c>
      <c r="C14" s="26">
        <v>322.44000199999999</v>
      </c>
      <c r="D14" s="26">
        <v>242.679993</v>
      </c>
      <c r="E14" s="26">
        <v>807000</v>
      </c>
      <c r="F14" s="26">
        <v>22.097507</v>
      </c>
      <c r="G14" s="26">
        <v>93.882469</v>
      </c>
      <c r="H14" s="26">
        <v>42.152081000000003</v>
      </c>
      <c r="I14" s="26">
        <v>206900</v>
      </c>
      <c r="J14" s="26">
        <v>79.040001000000004</v>
      </c>
      <c r="K14" s="27">
        <v>1972.290039</v>
      </c>
      <c r="L14" s="26">
        <v>11</v>
      </c>
      <c r="M14" s="31">
        <f t="shared" si="1"/>
        <v>1.0026461171084243E-2</v>
      </c>
      <c r="N14" s="31">
        <f t="shared" si="0"/>
        <v>-5.0201042447424411E-2</v>
      </c>
      <c r="O14" s="31">
        <f t="shared" si="0"/>
        <v>-0.10556660041003774</v>
      </c>
      <c r="P14" s="31">
        <f t="shared" si="0"/>
        <v>4.9533935122276627E-2</v>
      </c>
      <c r="Q14" s="31">
        <f t="shared" si="0"/>
        <v>-1.3953464361545398E-2</v>
      </c>
      <c r="R14" s="31">
        <f t="shared" si="0"/>
        <v>-1.2258930805133203E-2</v>
      </c>
      <c r="S14" s="31">
        <f t="shared" si="0"/>
        <v>2.6490831294034775E-2</v>
      </c>
      <c r="T14" s="31">
        <f t="shared" si="0"/>
        <v>4.9421099669434629E-3</v>
      </c>
      <c r="U14" s="31">
        <f t="shared" si="0"/>
        <v>5.4868837171434287E-2</v>
      </c>
      <c r="V14" s="31">
        <f t="shared" si="0"/>
        <v>-1.5635436078483781E-2</v>
      </c>
    </row>
    <row r="15" spans="1:22">
      <c r="A15" s="30">
        <v>41913</v>
      </c>
      <c r="B15" s="26">
        <v>556.02270499999997</v>
      </c>
      <c r="C15" s="26">
        <v>305.459991</v>
      </c>
      <c r="D15" s="26">
        <v>241.699997</v>
      </c>
      <c r="E15" s="26">
        <v>754000</v>
      </c>
      <c r="F15" s="26">
        <v>22.449383000000001</v>
      </c>
      <c r="G15" s="26">
        <v>100.638283</v>
      </c>
      <c r="H15" s="26">
        <v>42.688526000000003</v>
      </c>
      <c r="I15" s="26">
        <v>210000</v>
      </c>
      <c r="J15" s="26">
        <v>74.989998</v>
      </c>
      <c r="K15" s="27">
        <v>2018.0500489999999</v>
      </c>
      <c r="L15" s="26">
        <v>12</v>
      </c>
      <c r="M15" s="31">
        <f t="shared" si="1"/>
        <v>-3.2173336639437881E-2</v>
      </c>
      <c r="N15" s="31">
        <f t="shared" si="0"/>
        <v>-5.4098270939564909E-2</v>
      </c>
      <c r="O15" s="31">
        <f t="shared" si="0"/>
        <v>-4.0463989321715289E-3</v>
      </c>
      <c r="P15" s="31">
        <f t="shared" si="0"/>
        <v>-6.7931300261992678E-2</v>
      </c>
      <c r="Q15" s="31">
        <f t="shared" si="0"/>
        <v>1.5798333783544991E-2</v>
      </c>
      <c r="R15" s="31">
        <f t="shared" si="0"/>
        <v>6.9489061827469625E-2</v>
      </c>
      <c r="S15" s="31">
        <f t="shared" si="0"/>
        <v>1.2646117659118375E-2</v>
      </c>
      <c r="T15" s="31">
        <f t="shared" si="0"/>
        <v>1.4871945965971373E-2</v>
      </c>
      <c r="U15" s="31">
        <f t="shared" si="0"/>
        <v>-5.2599321448359222E-2</v>
      </c>
      <c r="V15" s="31">
        <f t="shared" si="0"/>
        <v>2.2936398946422354E-2</v>
      </c>
    </row>
    <row r="16" spans="1:22">
      <c r="A16" s="30">
        <v>41944</v>
      </c>
      <c r="B16" s="26">
        <v>538.86700399999995</v>
      </c>
      <c r="C16" s="26">
        <v>338.64001500000001</v>
      </c>
      <c r="D16" s="26">
        <v>244.520004</v>
      </c>
      <c r="E16" s="26">
        <v>756000</v>
      </c>
      <c r="F16" s="26">
        <v>23.040842000000001</v>
      </c>
      <c r="G16" s="26">
        <v>110.823257</v>
      </c>
      <c r="H16" s="26">
        <v>43.470474000000003</v>
      </c>
      <c r="I16" s="26">
        <v>223065</v>
      </c>
      <c r="J16" s="26">
        <v>77.699996999999996</v>
      </c>
      <c r="K16" s="27">
        <v>2067.5600589999999</v>
      </c>
      <c r="L16" s="26">
        <v>13</v>
      </c>
      <c r="M16" s="31">
        <f t="shared" si="1"/>
        <v>-3.1340335111102915E-2</v>
      </c>
      <c r="N16" s="31">
        <f t="shared" si="0"/>
        <v>0.10311883282895394</v>
      </c>
      <c r="O16" s="31">
        <f t="shared" si="0"/>
        <v>1.1599846221748443E-2</v>
      </c>
      <c r="P16" s="31">
        <f t="shared" si="0"/>
        <v>2.6490081715768625E-3</v>
      </c>
      <c r="Q16" s="31">
        <f t="shared" si="0"/>
        <v>2.6005249784445308E-2</v>
      </c>
      <c r="R16" s="31">
        <f t="shared" si="0"/>
        <v>9.6403921013348298E-2</v>
      </c>
      <c r="S16" s="31">
        <f t="shared" si="0"/>
        <v>1.8151776831763701E-2</v>
      </c>
      <c r="T16" s="31">
        <f t="shared" si="0"/>
        <v>6.0355678091287973E-2</v>
      </c>
      <c r="U16" s="31">
        <f t="shared" si="0"/>
        <v>3.5500474120487374E-2</v>
      </c>
      <c r="V16" s="31">
        <f t="shared" si="0"/>
        <v>2.4237473674625542E-2</v>
      </c>
    </row>
    <row r="17" spans="1:22">
      <c r="A17" s="30">
        <v>41974</v>
      </c>
      <c r="B17" s="26">
        <v>523.52142300000003</v>
      </c>
      <c r="C17" s="26">
        <v>310.35000600000001</v>
      </c>
      <c r="D17" s="26">
        <v>222.41000399999999</v>
      </c>
      <c r="E17" s="26">
        <v>712000</v>
      </c>
      <c r="F17" s="26">
        <v>21.979696000000001</v>
      </c>
      <c r="G17" s="26">
        <v>103.302063</v>
      </c>
      <c r="H17" s="26">
        <v>42.500293999999997</v>
      </c>
      <c r="I17" s="26">
        <v>226000</v>
      </c>
      <c r="J17" s="26">
        <v>78.019997000000004</v>
      </c>
      <c r="K17" s="27">
        <v>2058.8999020000001</v>
      </c>
      <c r="L17" s="26">
        <v>14</v>
      </c>
      <c r="M17" s="31">
        <f t="shared" si="1"/>
        <v>-2.8890842527247829E-2</v>
      </c>
      <c r="N17" s="31">
        <f t="shared" si="0"/>
        <v>-8.7236928314820938E-2</v>
      </c>
      <c r="O17" s="31">
        <f t="shared" si="0"/>
        <v>-9.4774578139949342E-2</v>
      </c>
      <c r="P17" s="31">
        <f t="shared" si="0"/>
        <v>-5.996346476755729E-2</v>
      </c>
      <c r="Q17" s="31">
        <f t="shared" si="0"/>
        <v>-4.7149262174224542E-2</v>
      </c>
      <c r="R17" s="31">
        <f t="shared" si="0"/>
        <v>-7.0279306124580998E-2</v>
      </c>
      <c r="S17" s="31">
        <f t="shared" si="0"/>
        <v>-2.2570955459522396E-2</v>
      </c>
      <c r="T17" s="31">
        <f t="shared" si="0"/>
        <v>1.3071790463529204E-2</v>
      </c>
      <c r="U17" s="31">
        <f t="shared" si="0"/>
        <v>4.1099468632684417E-3</v>
      </c>
      <c r="V17" s="31">
        <f t="shared" si="0"/>
        <v>-4.1973845845717124E-3</v>
      </c>
    </row>
    <row r="18" spans="1:22">
      <c r="A18" s="30">
        <v>42005</v>
      </c>
      <c r="B18" s="26">
        <v>531.594604</v>
      </c>
      <c r="C18" s="26">
        <v>354.52999899999998</v>
      </c>
      <c r="D18" s="26">
        <v>203.60000600000001</v>
      </c>
      <c r="E18" s="26">
        <v>716000</v>
      </c>
      <c r="F18" s="26">
        <v>20.975010000000001</v>
      </c>
      <c r="G18" s="26">
        <v>109.647324</v>
      </c>
      <c r="H18" s="26">
        <v>36.964733000000003</v>
      </c>
      <c r="I18" s="26">
        <v>215865</v>
      </c>
      <c r="J18" s="26">
        <v>75.910004000000001</v>
      </c>
      <c r="K18" s="27">
        <v>1994.98999</v>
      </c>
      <c r="L18" s="26">
        <v>15</v>
      </c>
      <c r="M18" s="31">
        <f t="shared" si="1"/>
        <v>1.5303224189097655E-2</v>
      </c>
      <c r="N18" s="31">
        <f t="shared" si="0"/>
        <v>0.13309225361240848</v>
      </c>
      <c r="O18" s="31">
        <f t="shared" si="0"/>
        <v>-8.8365229233239848E-2</v>
      </c>
      <c r="P18" s="31">
        <f t="shared" si="0"/>
        <v>5.6022555486697516E-3</v>
      </c>
      <c r="Q18" s="31">
        <f t="shared" si="0"/>
        <v>-4.6787389013395998E-2</v>
      </c>
      <c r="R18" s="31">
        <f t="shared" si="0"/>
        <v>5.9611722756781893E-2</v>
      </c>
      <c r="S18" s="31">
        <f t="shared" si="0"/>
        <v>-0.13954669761935592</v>
      </c>
      <c r="T18" s="31">
        <f t="shared" si="0"/>
        <v>-4.5881786982039305E-2</v>
      </c>
      <c r="U18" s="31">
        <f t="shared" si="0"/>
        <v>-2.7416684904175526E-2</v>
      </c>
      <c r="V18" s="31">
        <f t="shared" si="0"/>
        <v>-3.1532779216949261E-2</v>
      </c>
    </row>
    <row r="19" spans="1:22">
      <c r="A19" s="30">
        <v>42036</v>
      </c>
      <c r="B19" s="26">
        <v>555.34393299999999</v>
      </c>
      <c r="C19" s="26">
        <v>380.16000400000001</v>
      </c>
      <c r="D19" s="26">
        <v>203.33999600000001</v>
      </c>
      <c r="E19" s="26">
        <v>661000</v>
      </c>
      <c r="F19" s="26">
        <v>22.818777000000001</v>
      </c>
      <c r="G19" s="26">
        <v>120.22273300000001</v>
      </c>
      <c r="H19" s="26">
        <v>40.121364999999997</v>
      </c>
      <c r="I19" s="26">
        <v>221180</v>
      </c>
      <c r="J19" s="26">
        <v>78.970000999999996</v>
      </c>
      <c r="K19" s="27">
        <v>2104.5</v>
      </c>
      <c r="L19" s="26">
        <v>16</v>
      </c>
      <c r="M19" s="31">
        <f t="shared" si="1"/>
        <v>4.3706444612852974E-2</v>
      </c>
      <c r="N19" s="31">
        <f t="shared" si="0"/>
        <v>6.979926145102977E-2</v>
      </c>
      <c r="O19" s="31">
        <f t="shared" si="0"/>
        <v>-1.2778789703867047E-3</v>
      </c>
      <c r="P19" s="31">
        <f t="shared" si="0"/>
        <v>-7.9926327108959347E-2</v>
      </c>
      <c r="Q19" s="31">
        <f t="shared" si="0"/>
        <v>8.4252020547377585E-2</v>
      </c>
      <c r="R19" s="31">
        <f t="shared" si="0"/>
        <v>9.2077061033528959E-2</v>
      </c>
      <c r="S19" s="31">
        <f t="shared" si="0"/>
        <v>8.1944689512027255E-2</v>
      </c>
      <c r="T19" s="31">
        <f t="shared" si="0"/>
        <v>2.4323637356967222E-2</v>
      </c>
      <c r="U19" s="31">
        <f t="shared" si="0"/>
        <v>3.9519565449870862E-2</v>
      </c>
      <c r="V19" s="31">
        <f t="shared" si="0"/>
        <v>5.343887644310899E-2</v>
      </c>
    </row>
    <row r="20" spans="1:22">
      <c r="A20" s="30">
        <v>42064</v>
      </c>
      <c r="B20" s="26">
        <v>545.000854</v>
      </c>
      <c r="C20" s="26">
        <v>372.10000600000001</v>
      </c>
      <c r="D20" s="26">
        <v>188.770004</v>
      </c>
      <c r="E20" s="26">
        <v>671000</v>
      </c>
      <c r="F20" s="26">
        <v>21.982996</v>
      </c>
      <c r="G20" s="26">
        <v>116.910706</v>
      </c>
      <c r="H20" s="26">
        <v>37.467381000000003</v>
      </c>
      <c r="I20" s="26">
        <v>217500</v>
      </c>
      <c r="J20" s="26">
        <v>82.220000999999996</v>
      </c>
      <c r="K20" s="27">
        <v>2067.889893</v>
      </c>
      <c r="L20" s="26">
        <v>17</v>
      </c>
      <c r="M20" s="31">
        <f t="shared" si="1"/>
        <v>-1.8800259276843617E-2</v>
      </c>
      <c r="N20" s="31">
        <f t="shared" si="1"/>
        <v>-2.1429575778836519E-2</v>
      </c>
      <c r="O20" s="31">
        <f t="shared" si="1"/>
        <v>-7.4350071205078833E-2</v>
      </c>
      <c r="P20" s="31">
        <f t="shared" si="1"/>
        <v>1.5015297119995434E-2</v>
      </c>
      <c r="Q20" s="31">
        <f t="shared" si="1"/>
        <v>-3.7314504239402045E-2</v>
      </c>
      <c r="R20" s="31">
        <f t="shared" si="1"/>
        <v>-2.7935683841076048E-2</v>
      </c>
      <c r="S20" s="31">
        <f t="shared" si="1"/>
        <v>-6.8438271000145073E-2</v>
      </c>
      <c r="T20" s="31">
        <f t="shared" si="1"/>
        <v>-1.677799911847511E-2</v>
      </c>
      <c r="U20" s="31">
        <f t="shared" si="1"/>
        <v>4.0330547459696983E-2</v>
      </c>
      <c r="V20" s="31">
        <f t="shared" si="1"/>
        <v>-1.7549197229950769E-2</v>
      </c>
    </row>
    <row r="21" spans="1:22">
      <c r="A21" s="30">
        <v>42095</v>
      </c>
      <c r="B21" s="26">
        <v>537.34002699999996</v>
      </c>
      <c r="C21" s="26">
        <v>421.77999899999998</v>
      </c>
      <c r="D21" s="26">
        <v>226.050003</v>
      </c>
      <c r="E21" s="26">
        <v>650000</v>
      </c>
      <c r="F21" s="26">
        <v>23.994339</v>
      </c>
      <c r="G21" s="26">
        <v>117.58721199999999</v>
      </c>
      <c r="H21" s="26">
        <v>44.820785999999998</v>
      </c>
      <c r="I21" s="26">
        <v>213400</v>
      </c>
      <c r="J21" s="26">
        <v>78.769997000000004</v>
      </c>
      <c r="K21" s="27">
        <v>2085.51001</v>
      </c>
      <c r="L21" s="26">
        <v>18</v>
      </c>
      <c r="M21" s="31">
        <f t="shared" si="1"/>
        <v>-1.4156270117590089E-2</v>
      </c>
      <c r="N21" s="31">
        <f t="shared" si="1"/>
        <v>0.12532119723543961</v>
      </c>
      <c r="O21" s="31">
        <f t="shared" si="1"/>
        <v>0.18022686304156432</v>
      </c>
      <c r="P21" s="31">
        <f t="shared" si="1"/>
        <v>-3.1796774081998949E-2</v>
      </c>
      <c r="Q21" s="31">
        <f t="shared" si="1"/>
        <v>8.75486821058854E-2</v>
      </c>
      <c r="R21" s="31">
        <f t="shared" si="1"/>
        <v>5.7698412213582481E-3</v>
      </c>
      <c r="S21" s="31">
        <f t="shared" si="1"/>
        <v>0.17920129058690587</v>
      </c>
      <c r="T21" s="31">
        <f t="shared" si="1"/>
        <v>-1.9030511661085846E-2</v>
      </c>
      <c r="U21" s="31">
        <f t="shared" si="1"/>
        <v>-4.2866418002556403E-2</v>
      </c>
      <c r="V21" s="31">
        <f t="shared" si="1"/>
        <v>8.4847224530057719E-3</v>
      </c>
    </row>
    <row r="22" spans="1:22">
      <c r="A22" s="30">
        <v>42125</v>
      </c>
      <c r="B22" s="26">
        <v>532.10998500000005</v>
      </c>
      <c r="C22" s="26">
        <v>429.23001099999999</v>
      </c>
      <c r="D22" s="26">
        <v>250.800003</v>
      </c>
      <c r="E22" s="26">
        <v>609000</v>
      </c>
      <c r="F22" s="26">
        <v>24.162689</v>
      </c>
      <c r="G22" s="26">
        <v>122.40720399999999</v>
      </c>
      <c r="H22" s="26">
        <v>43.180553000000003</v>
      </c>
      <c r="I22" s="26">
        <v>214800</v>
      </c>
      <c r="J22" s="26">
        <v>79.190002000000007</v>
      </c>
      <c r="K22" s="27">
        <v>2107.389893</v>
      </c>
      <c r="L22" s="26">
        <v>19</v>
      </c>
      <c r="M22" s="31">
        <f t="shared" si="1"/>
        <v>-9.7808848209589953E-3</v>
      </c>
      <c r="N22" s="31">
        <f t="shared" si="1"/>
        <v>1.750908271209033E-2</v>
      </c>
      <c r="O22" s="31">
        <f t="shared" si="1"/>
        <v>0.10389959370847382</v>
      </c>
      <c r="P22" s="31">
        <f t="shared" si="1"/>
        <v>-6.5154095179785723E-2</v>
      </c>
      <c r="Q22" s="31">
        <f t="shared" si="1"/>
        <v>6.9917390170772496E-3</v>
      </c>
      <c r="R22" s="31">
        <f t="shared" si="1"/>
        <v>4.0172936500274668E-2</v>
      </c>
      <c r="S22" s="31">
        <f t="shared" si="1"/>
        <v>-3.7281773173255393E-2</v>
      </c>
      <c r="T22" s="31">
        <f t="shared" si="1"/>
        <v>6.5390237670566479E-3</v>
      </c>
      <c r="U22" s="31">
        <f t="shared" si="1"/>
        <v>5.3178778483683638E-3</v>
      </c>
      <c r="V22" s="31">
        <f t="shared" si="1"/>
        <v>1.0436729763142673E-2</v>
      </c>
    </row>
    <row r="23" spans="1:22">
      <c r="A23" s="30">
        <v>42156</v>
      </c>
      <c r="B23" s="26">
        <v>520.51000999999997</v>
      </c>
      <c r="C23" s="26">
        <v>434.08999599999999</v>
      </c>
      <c r="D23" s="26">
        <v>268.26001000000002</v>
      </c>
      <c r="E23" s="26">
        <v>634000</v>
      </c>
      <c r="F23" s="26">
        <v>23.542449999999999</v>
      </c>
      <c r="G23" s="26">
        <v>118.34256000000001</v>
      </c>
      <c r="H23" s="26">
        <v>40.947735000000002</v>
      </c>
      <c r="I23" s="26">
        <v>204850</v>
      </c>
      <c r="J23" s="26">
        <v>85.769997000000004</v>
      </c>
      <c r="K23" s="27">
        <v>2063.110107</v>
      </c>
      <c r="L23" s="26">
        <v>20</v>
      </c>
      <c r="M23" s="31">
        <f t="shared" si="1"/>
        <v>-2.2041087317678777E-2</v>
      </c>
      <c r="N23" s="31">
        <f t="shared" si="1"/>
        <v>1.1258945233946025E-2</v>
      </c>
      <c r="O23" s="31">
        <f t="shared" si="1"/>
        <v>6.7300876030723975E-2</v>
      </c>
      <c r="P23" s="31">
        <f t="shared" si="1"/>
        <v>4.0230686727328956E-2</v>
      </c>
      <c r="Q23" s="31">
        <f t="shared" si="1"/>
        <v>-2.6004491960939794E-2</v>
      </c>
      <c r="R23" s="31">
        <f t="shared" si="1"/>
        <v>-3.3769754956770391E-2</v>
      </c>
      <c r="S23" s="31">
        <f t="shared" si="1"/>
        <v>-5.3093734445642138E-2</v>
      </c>
      <c r="T23" s="31">
        <f t="shared" si="1"/>
        <v>-4.742935864182958E-2</v>
      </c>
      <c r="U23" s="31">
        <f t="shared" si="1"/>
        <v>7.9819206547029758E-2</v>
      </c>
      <c r="V23" s="31">
        <f t="shared" si="1"/>
        <v>-2.1235559276432083E-2</v>
      </c>
    </row>
    <row r="24" spans="1:22">
      <c r="A24" s="30">
        <v>42186</v>
      </c>
      <c r="B24" s="26">
        <v>625.60998500000005</v>
      </c>
      <c r="C24" s="26">
        <v>536.15002400000003</v>
      </c>
      <c r="D24" s="26">
        <v>266.14999399999999</v>
      </c>
      <c r="E24" s="26">
        <v>523000</v>
      </c>
      <c r="F24" s="26">
        <v>23.322714000000001</v>
      </c>
      <c r="G24" s="26">
        <v>114.44592299999999</v>
      </c>
      <c r="H24" s="26">
        <v>43.31279</v>
      </c>
      <c r="I24" s="26">
        <v>214000</v>
      </c>
      <c r="J24" s="26">
        <v>94.010002</v>
      </c>
      <c r="K24" s="27">
        <v>2103.8400879999999</v>
      </c>
      <c r="L24" s="26">
        <v>21</v>
      </c>
      <c r="M24" s="31">
        <f t="shared" si="1"/>
        <v>0.18391803040321489</v>
      </c>
      <c r="N24" s="31">
        <f t="shared" si="1"/>
        <v>0.21116214077099557</v>
      </c>
      <c r="O24" s="31">
        <f t="shared" si="1"/>
        <v>-7.8966596761242819E-3</v>
      </c>
      <c r="P24" s="31">
        <f t="shared" si="1"/>
        <v>-0.19246749037230304</v>
      </c>
      <c r="Q24" s="31">
        <f t="shared" si="1"/>
        <v>-9.3774390816047069E-3</v>
      </c>
      <c r="R24" s="31">
        <f t="shared" si="1"/>
        <v>-3.3481046377164057E-2</v>
      </c>
      <c r="S24" s="31">
        <f t="shared" si="1"/>
        <v>5.6151475040364836E-2</v>
      </c>
      <c r="T24" s="31">
        <f t="shared" si="1"/>
        <v>4.3698011028971459E-2</v>
      </c>
      <c r="U24" s="31">
        <f t="shared" si="1"/>
        <v>9.1731920839727019E-2</v>
      </c>
      <c r="V24" s="31">
        <f t="shared" si="1"/>
        <v>1.954968324649287E-2</v>
      </c>
    </row>
    <row r="25" spans="1:22">
      <c r="A25" s="30">
        <v>42217</v>
      </c>
      <c r="B25" s="26">
        <v>637.60998500000005</v>
      </c>
      <c r="C25" s="26">
        <v>512.89001499999995</v>
      </c>
      <c r="D25" s="26">
        <v>249.05999800000001</v>
      </c>
      <c r="E25" s="26">
        <v>487500</v>
      </c>
      <c r="F25" s="26">
        <v>22.348700999999998</v>
      </c>
      <c r="G25" s="26">
        <v>106.539444</v>
      </c>
      <c r="H25" s="26">
        <v>40.363433999999998</v>
      </c>
      <c r="I25" s="26">
        <v>202531</v>
      </c>
      <c r="J25" s="26">
        <v>89.730002999999996</v>
      </c>
      <c r="K25" s="27">
        <v>1972.1800539999999</v>
      </c>
      <c r="L25" s="26">
        <v>22</v>
      </c>
      <c r="M25" s="31">
        <f t="shared" si="1"/>
        <v>1.8999637860486106E-2</v>
      </c>
      <c r="N25" s="31">
        <f t="shared" si="1"/>
        <v>-4.435259095652358E-2</v>
      </c>
      <c r="O25" s="31">
        <f t="shared" si="1"/>
        <v>-6.6366213812278863E-2</v>
      </c>
      <c r="P25" s="31">
        <f t="shared" si="1"/>
        <v>-7.0291173627020989E-2</v>
      </c>
      <c r="Q25" s="31">
        <f t="shared" si="1"/>
        <v>-4.2659536934466218E-2</v>
      </c>
      <c r="R25" s="31">
        <f t="shared" si="1"/>
        <v>-7.1587140443450076E-2</v>
      </c>
      <c r="S25" s="31">
        <f t="shared" si="1"/>
        <v>-7.0523696346629597E-2</v>
      </c>
      <c r="T25" s="31">
        <f t="shared" si="1"/>
        <v>-5.5083053772034769E-2</v>
      </c>
      <c r="U25" s="31">
        <f t="shared" si="1"/>
        <v>-4.6595986121191847E-2</v>
      </c>
      <c r="V25" s="31">
        <f t="shared" si="1"/>
        <v>-6.4624730898542204E-2</v>
      </c>
    </row>
    <row r="26" spans="1:22">
      <c r="A26" s="30">
        <v>42248</v>
      </c>
      <c r="B26" s="26">
        <v>608.419983</v>
      </c>
      <c r="C26" s="26">
        <v>511.89001500000001</v>
      </c>
      <c r="D26" s="26">
        <v>248.39999399999999</v>
      </c>
      <c r="E26" s="26">
        <v>513000</v>
      </c>
      <c r="F26" s="26">
        <v>22.536348</v>
      </c>
      <c r="G26" s="26">
        <v>104.538551</v>
      </c>
      <c r="H26" s="26">
        <v>41.320453999999998</v>
      </c>
      <c r="I26" s="26">
        <v>195240</v>
      </c>
      <c r="J26" s="26">
        <v>89.900002000000001</v>
      </c>
      <c r="K26" s="27">
        <v>1920.030029</v>
      </c>
      <c r="L26" s="26">
        <v>23</v>
      </c>
      <c r="M26" s="31">
        <f t="shared" si="1"/>
        <v>-4.6861382628566602E-2</v>
      </c>
      <c r="N26" s="31">
        <f t="shared" si="1"/>
        <v>-1.9516389627689909E-3</v>
      </c>
      <c r="O26" s="31">
        <f t="shared" si="1"/>
        <v>-2.6534973580748392E-3</v>
      </c>
      <c r="P26" s="31">
        <f t="shared" si="1"/>
        <v>5.0985554732867741E-2</v>
      </c>
      <c r="Q26" s="31">
        <f t="shared" si="1"/>
        <v>8.3612738492479851E-3</v>
      </c>
      <c r="R26" s="31">
        <f t="shared" si="1"/>
        <v>-1.8959370312485888E-2</v>
      </c>
      <c r="S26" s="31">
        <f t="shared" si="1"/>
        <v>2.3433355498598901E-2</v>
      </c>
      <c r="T26" s="31">
        <f t="shared" si="1"/>
        <v>-3.6663390230870015E-2</v>
      </c>
      <c r="U26" s="31">
        <f t="shared" si="1"/>
        <v>1.8927689809153261E-3</v>
      </c>
      <c r="V26" s="31">
        <f t="shared" si="1"/>
        <v>-2.6798731264652844E-2</v>
      </c>
    </row>
    <row r="27" spans="1:22">
      <c r="A27" s="30">
        <v>42278</v>
      </c>
      <c r="B27" s="26">
        <v>710.80999799999995</v>
      </c>
      <c r="C27" s="26">
        <v>625.90002400000003</v>
      </c>
      <c r="D27" s="26">
        <v>206.929993</v>
      </c>
      <c r="E27" s="26">
        <v>600000</v>
      </c>
      <c r="F27" s="26">
        <v>26.073912</v>
      </c>
      <c r="G27" s="26">
        <v>113.25798</v>
      </c>
      <c r="H27" s="26">
        <v>49.143898</v>
      </c>
      <c r="I27" s="26">
        <v>204596</v>
      </c>
      <c r="J27" s="26">
        <v>101.970001</v>
      </c>
      <c r="K27" s="27">
        <v>2079.360107</v>
      </c>
      <c r="L27" s="26">
        <v>24</v>
      </c>
      <c r="M27" s="31">
        <f t="shared" si="1"/>
        <v>0.15553975700947875</v>
      </c>
      <c r="N27" s="31">
        <f t="shared" si="1"/>
        <v>0.20108086476498516</v>
      </c>
      <c r="O27" s="31">
        <f t="shared" si="1"/>
        <v>-0.18265978790886164</v>
      </c>
      <c r="P27" s="31">
        <f t="shared" si="1"/>
        <v>0.15665381004537679</v>
      </c>
      <c r="Q27" s="31">
        <f t="shared" si="1"/>
        <v>0.14580580181092639</v>
      </c>
      <c r="R27" s="31">
        <f t="shared" si="1"/>
        <v>8.0112312991314383E-2</v>
      </c>
      <c r="S27" s="31">
        <f t="shared" si="1"/>
        <v>0.17339505671997335</v>
      </c>
      <c r="T27" s="31">
        <f t="shared" si="1"/>
        <v>4.6807731965337926E-2</v>
      </c>
      <c r="U27" s="31">
        <f t="shared" si="1"/>
        <v>0.12598069845842486</v>
      </c>
      <c r="V27" s="31">
        <f t="shared" si="1"/>
        <v>7.9719379495131665E-2</v>
      </c>
    </row>
    <row r="28" spans="1:22">
      <c r="A28" s="30">
        <v>42309</v>
      </c>
      <c r="B28" s="26">
        <v>742.59997599999997</v>
      </c>
      <c r="C28" s="26">
        <v>664.79998799999998</v>
      </c>
      <c r="D28" s="26">
        <v>230.259995</v>
      </c>
      <c r="E28" s="26">
        <v>631000</v>
      </c>
      <c r="F28" s="26">
        <v>26.993531999999998</v>
      </c>
      <c r="G28" s="26">
        <v>112.120659</v>
      </c>
      <c r="H28" s="26">
        <v>50.74033</v>
      </c>
      <c r="I28" s="26">
        <v>201360</v>
      </c>
      <c r="J28" s="26">
        <v>104.239998</v>
      </c>
      <c r="K28" s="27">
        <v>2080.4099120000001</v>
      </c>
      <c r="L28" s="26">
        <v>25</v>
      </c>
      <c r="M28" s="31">
        <f t="shared" si="1"/>
        <v>4.3752347401220817E-2</v>
      </c>
      <c r="N28" s="31">
        <f t="shared" si="1"/>
        <v>6.0295573215258073E-2</v>
      </c>
      <c r="O28" s="31">
        <f t="shared" si="1"/>
        <v>0.10682854553506231</v>
      </c>
      <c r="P28" s="31">
        <f t="shared" si="1"/>
        <v>5.0376207325066868E-2</v>
      </c>
      <c r="Q28" s="31">
        <f t="shared" si="1"/>
        <v>3.4662007525454591E-2</v>
      </c>
      <c r="R28" s="31">
        <f t="shared" si="1"/>
        <v>-1.0092621546437334E-2</v>
      </c>
      <c r="S28" s="31">
        <f t="shared" si="1"/>
        <v>3.1968369568221619E-2</v>
      </c>
      <c r="T28" s="31">
        <f t="shared" si="1"/>
        <v>-1.5942952157224227E-2</v>
      </c>
      <c r="U28" s="31">
        <f t="shared" si="1"/>
        <v>2.2017251447156522E-2</v>
      </c>
      <c r="V28" s="31">
        <f t="shared" si="1"/>
        <v>5.0474185711855491E-4</v>
      </c>
    </row>
    <row r="29" spans="1:22">
      <c r="A29" s="30">
        <v>42339</v>
      </c>
      <c r="B29" s="26">
        <v>758.88000499999998</v>
      </c>
      <c r="C29" s="26">
        <v>675.89001499999995</v>
      </c>
      <c r="D29" s="26">
        <v>240.009995</v>
      </c>
      <c r="E29" s="26">
        <v>658000</v>
      </c>
      <c r="F29" s="26">
        <v>28.084454999999998</v>
      </c>
      <c r="G29" s="26">
        <v>100.188835</v>
      </c>
      <c r="H29" s="26">
        <v>52.144401999999999</v>
      </c>
      <c r="I29" s="26">
        <v>197800</v>
      </c>
      <c r="J29" s="26">
        <v>104.660004</v>
      </c>
      <c r="K29" s="27">
        <v>2043.9399410000001</v>
      </c>
      <c r="L29" s="26">
        <v>26</v>
      </c>
      <c r="M29" s="31">
        <f t="shared" si="1"/>
        <v>2.1686159293828937E-2</v>
      </c>
      <c r="N29" s="31">
        <f t="shared" si="1"/>
        <v>1.6544137611092583E-2</v>
      </c>
      <c r="O29" s="31">
        <f t="shared" si="1"/>
        <v>4.1471484777226293E-2</v>
      </c>
      <c r="P29" s="31">
        <f t="shared" si="1"/>
        <v>4.1899068784103939E-2</v>
      </c>
      <c r="Q29" s="31">
        <f t="shared" si="1"/>
        <v>3.9618938668815558E-2</v>
      </c>
      <c r="R29" s="31">
        <f t="shared" si="1"/>
        <v>-0.11251884861383368</v>
      </c>
      <c r="S29" s="31">
        <f t="shared" si="1"/>
        <v>2.729577359098901E-2</v>
      </c>
      <c r="T29" s="31">
        <f t="shared" si="1"/>
        <v>-1.7837931638448656E-2</v>
      </c>
      <c r="U29" s="31">
        <f t="shared" si="1"/>
        <v>4.021125532959146E-3</v>
      </c>
      <c r="V29" s="31">
        <f t="shared" si="1"/>
        <v>-1.7685658536441762E-2</v>
      </c>
    </row>
    <row r="30" spans="1:22">
      <c r="A30" s="30">
        <v>42370</v>
      </c>
      <c r="B30" s="26">
        <v>742.95001200000002</v>
      </c>
      <c r="C30" s="26">
        <v>587</v>
      </c>
      <c r="D30" s="26">
        <v>191.199997</v>
      </c>
      <c r="E30" s="26">
        <v>628000</v>
      </c>
      <c r="F30" s="26">
        <v>26.432438000000001</v>
      </c>
      <c r="G30" s="26">
        <v>92.650390999999999</v>
      </c>
      <c r="H30" s="26">
        <v>51.777847000000001</v>
      </c>
      <c r="I30" s="26">
        <v>194360</v>
      </c>
      <c r="J30" s="26">
        <v>112.209999</v>
      </c>
      <c r="K30" s="27">
        <v>1940.23999</v>
      </c>
      <c r="L30" s="26">
        <v>27</v>
      </c>
      <c r="M30" s="31">
        <f t="shared" si="1"/>
        <v>-2.1214904863745037E-2</v>
      </c>
      <c r="N30" s="31">
        <f t="shared" si="1"/>
        <v>-0.14100554327369297</v>
      </c>
      <c r="O30" s="31">
        <f t="shared" si="1"/>
        <v>-0.22736058338123682</v>
      </c>
      <c r="P30" s="31">
        <f t="shared" si="1"/>
        <v>-4.6664764857118561E-2</v>
      </c>
      <c r="Q30" s="31">
        <f t="shared" si="1"/>
        <v>-6.0624252395056123E-2</v>
      </c>
      <c r="R30" s="31">
        <f t="shared" si="1"/>
        <v>-7.8223582390640145E-2</v>
      </c>
      <c r="S30" s="31">
        <f t="shared" si="1"/>
        <v>-7.0544377871517355E-3</v>
      </c>
      <c r="T30" s="31">
        <f t="shared" si="1"/>
        <v>-1.7544309650909508E-2</v>
      </c>
      <c r="U30" s="31">
        <f t="shared" si="1"/>
        <v>6.965506760185719E-2</v>
      </c>
      <c r="V30" s="31">
        <f t="shared" si="1"/>
        <v>-5.2067617227535473E-2</v>
      </c>
    </row>
    <row r="31" spans="1:22">
      <c r="A31" s="30">
        <v>42401</v>
      </c>
      <c r="B31" s="26">
        <v>697.77002000000005</v>
      </c>
      <c r="C31" s="26">
        <v>552.52002000000005</v>
      </c>
      <c r="D31" s="26">
        <v>191.929993</v>
      </c>
      <c r="E31" s="26">
        <v>572000</v>
      </c>
      <c r="F31" s="26">
        <v>26.468769000000002</v>
      </c>
      <c r="G31" s="26">
        <v>92.031723</v>
      </c>
      <c r="H31" s="26">
        <v>47.820960999999997</v>
      </c>
      <c r="I31" s="26">
        <v>202555</v>
      </c>
      <c r="J31" s="26">
        <v>106.91999800000001</v>
      </c>
      <c r="K31" s="27">
        <v>1932.2299800000001</v>
      </c>
      <c r="L31" s="26">
        <v>28</v>
      </c>
      <c r="M31" s="31">
        <f t="shared" si="1"/>
        <v>-6.2739199624356853E-2</v>
      </c>
      <c r="N31" s="31">
        <f t="shared" si="1"/>
        <v>-6.0535151798553274E-2</v>
      </c>
      <c r="O31" s="31">
        <f t="shared" si="1"/>
        <v>3.8107008192315877E-3</v>
      </c>
      <c r="P31" s="31">
        <f t="shared" si="1"/>
        <v>-9.3401175088400762E-2</v>
      </c>
      <c r="Q31" s="31">
        <f t="shared" si="1"/>
        <v>1.3735416551796983E-3</v>
      </c>
      <c r="R31" s="31">
        <f t="shared" si="1"/>
        <v>-6.6998400746231344E-3</v>
      </c>
      <c r="S31" s="31">
        <f t="shared" si="1"/>
        <v>-7.9498335676090284E-2</v>
      </c>
      <c r="T31" s="31">
        <f t="shared" si="1"/>
        <v>4.1299345069219291E-2</v>
      </c>
      <c r="U31" s="31">
        <f t="shared" si="1"/>
        <v>-4.8291234199769259E-2</v>
      </c>
      <c r="V31" s="31">
        <f t="shared" si="1"/>
        <v>-4.1369056367907874E-3</v>
      </c>
    </row>
    <row r="32" spans="1:22">
      <c r="A32" s="30">
        <v>42430</v>
      </c>
      <c r="B32" s="26">
        <v>744.95001200000002</v>
      </c>
      <c r="C32" s="26">
        <v>593.64001499999995</v>
      </c>
      <c r="D32" s="26">
        <v>229.770004</v>
      </c>
      <c r="E32" s="26">
        <v>637000</v>
      </c>
      <c r="F32" s="26">
        <v>29.107016000000002</v>
      </c>
      <c r="G32" s="26">
        <v>104.302032</v>
      </c>
      <c r="H32" s="26">
        <v>52.282134999999997</v>
      </c>
      <c r="I32" s="26">
        <v>213450</v>
      </c>
      <c r="J32" s="26">
        <v>114.099998</v>
      </c>
      <c r="K32" s="27">
        <v>2059.73999</v>
      </c>
      <c r="L32" s="26">
        <v>29</v>
      </c>
      <c r="M32" s="31">
        <f t="shared" si="1"/>
        <v>6.5427553911985223E-2</v>
      </c>
      <c r="N32" s="31">
        <f t="shared" si="1"/>
        <v>7.178343226591305E-2</v>
      </c>
      <c r="O32" s="31">
        <f t="shared" si="1"/>
        <v>0.17994814025216907</v>
      </c>
      <c r="P32" s="31">
        <f t="shared" si="1"/>
        <v>0.10763066419236536</v>
      </c>
      <c r="Q32" s="31">
        <f t="shared" si="1"/>
        <v>9.501373509425573E-2</v>
      </c>
      <c r="R32" s="31">
        <f t="shared" si="1"/>
        <v>0.1251575112483268</v>
      </c>
      <c r="S32" s="31">
        <f t="shared" si="1"/>
        <v>8.9190667696347689E-2</v>
      </c>
      <c r="T32" s="31">
        <f t="shared" si="1"/>
        <v>5.2391158597049438E-2</v>
      </c>
      <c r="U32" s="31">
        <f t="shared" si="1"/>
        <v>6.499436677440204E-2</v>
      </c>
      <c r="V32" s="31">
        <f t="shared" si="1"/>
        <v>6.3904990415635493E-2</v>
      </c>
    </row>
    <row r="33" spans="1:22">
      <c r="A33" s="30">
        <v>42461</v>
      </c>
      <c r="B33" s="26">
        <v>693.01000999999997</v>
      </c>
      <c r="C33" s="26">
        <v>659.59002699999996</v>
      </c>
      <c r="D33" s="26">
        <v>240.759995</v>
      </c>
      <c r="E33" s="26">
        <v>677000</v>
      </c>
      <c r="F33" s="26">
        <v>28.154786999999999</v>
      </c>
      <c r="G33" s="26">
        <v>89.707984999999994</v>
      </c>
      <c r="H33" s="26">
        <v>47.208221000000002</v>
      </c>
      <c r="I33" s="26">
        <v>219000</v>
      </c>
      <c r="J33" s="26">
        <v>117.58000199999999</v>
      </c>
      <c r="K33" s="27">
        <v>2065.3000489999999</v>
      </c>
      <c r="L33" s="26">
        <v>30</v>
      </c>
      <c r="M33" s="31">
        <f t="shared" si="1"/>
        <v>-7.2272674611784049E-2</v>
      </c>
      <c r="N33" s="31">
        <f t="shared" si="1"/>
        <v>0.10534537050612541</v>
      </c>
      <c r="O33" s="31">
        <f t="shared" si="1"/>
        <v>4.672173991367571E-2</v>
      </c>
      <c r="P33" s="31">
        <f t="shared" si="1"/>
        <v>6.0901617340111618E-2</v>
      </c>
      <c r="Q33" s="31">
        <f t="shared" si="1"/>
        <v>-3.3261851359706593E-2</v>
      </c>
      <c r="R33" s="31">
        <f t="shared" si="1"/>
        <v>-0.1507310600247927</v>
      </c>
      <c r="S33" s="31">
        <f t="shared" si="1"/>
        <v>-0.10208667456482111</v>
      </c>
      <c r="T33" s="31">
        <f t="shared" si="1"/>
        <v>2.5669116612529689E-2</v>
      </c>
      <c r="U33" s="31">
        <f t="shared" si="1"/>
        <v>3.0043730644258228E-2</v>
      </c>
      <c r="V33" s="31">
        <f t="shared" si="1"/>
        <v>2.6957616481642385E-3</v>
      </c>
    </row>
    <row r="34" spans="1:22">
      <c r="A34" s="30">
        <v>42491</v>
      </c>
      <c r="B34" s="26">
        <v>735.71997099999999</v>
      </c>
      <c r="C34" s="26">
        <v>722.78997800000002</v>
      </c>
      <c r="D34" s="26">
        <v>223.229996</v>
      </c>
      <c r="E34" s="26">
        <v>720000</v>
      </c>
      <c r="F34" s="26">
        <v>27.678674999999998</v>
      </c>
      <c r="G34" s="26">
        <v>95.564751000000001</v>
      </c>
      <c r="H34" s="26">
        <v>50.171154000000001</v>
      </c>
      <c r="I34" s="26">
        <v>211695</v>
      </c>
      <c r="J34" s="26">
        <v>118.80999799999999</v>
      </c>
      <c r="K34" s="27">
        <v>2096.9499510000001</v>
      </c>
      <c r="L34" s="26">
        <v>31</v>
      </c>
      <c r="M34" s="31">
        <f t="shared" si="1"/>
        <v>5.9805128615398918E-2</v>
      </c>
      <c r="N34" s="31">
        <f t="shared" si="1"/>
        <v>9.1500222297398293E-2</v>
      </c>
      <c r="O34" s="31">
        <f t="shared" si="1"/>
        <v>-7.5597953753459568E-2</v>
      </c>
      <c r="P34" s="31">
        <f t="shared" si="1"/>
        <v>6.1579939097826004E-2</v>
      </c>
      <c r="Q34" s="31">
        <f t="shared" si="1"/>
        <v>-1.7055132307620447E-2</v>
      </c>
      <c r="R34" s="31">
        <f t="shared" si="1"/>
        <v>6.3244254621878271E-2</v>
      </c>
      <c r="S34" s="31">
        <f t="shared" si="1"/>
        <v>6.0872188871684774E-2</v>
      </c>
      <c r="T34" s="31">
        <f t="shared" si="1"/>
        <v>-3.3925170282420779E-2</v>
      </c>
      <c r="U34" s="31">
        <f t="shared" si="1"/>
        <v>1.0406591652791772E-2</v>
      </c>
      <c r="V34" s="31">
        <f t="shared" si="1"/>
        <v>1.5208366645339389E-2</v>
      </c>
    </row>
    <row r="35" spans="1:22">
      <c r="A35" s="30">
        <v>42522</v>
      </c>
      <c r="B35" s="26">
        <v>692.09997599999997</v>
      </c>
      <c r="C35" s="26">
        <v>715.61999500000002</v>
      </c>
      <c r="D35" s="26">
        <v>212.279999</v>
      </c>
      <c r="E35" s="26">
        <v>710000</v>
      </c>
      <c r="F35" s="26">
        <v>28.823177000000001</v>
      </c>
      <c r="G35" s="26">
        <v>92.045006000000001</v>
      </c>
      <c r="H35" s="26">
        <v>48.777630000000002</v>
      </c>
      <c r="I35" s="26">
        <v>216975</v>
      </c>
      <c r="J35" s="26">
        <v>114.279999</v>
      </c>
      <c r="K35" s="27">
        <v>2098.860107</v>
      </c>
      <c r="L35" s="26">
        <v>32</v>
      </c>
      <c r="M35" s="31">
        <f t="shared" si="1"/>
        <v>-6.1119152974679292E-2</v>
      </c>
      <c r="N35" s="31">
        <f t="shared" si="1"/>
        <v>-9.9694002672957097E-3</v>
      </c>
      <c r="O35" s="31">
        <f t="shared" si="1"/>
        <v>-5.0296458909606073E-2</v>
      </c>
      <c r="P35" s="31">
        <f t="shared" si="1"/>
        <v>-1.3986241974739839E-2</v>
      </c>
      <c r="Q35" s="31">
        <f t="shared" si="1"/>
        <v>4.0517559336473621E-2</v>
      </c>
      <c r="R35" s="31">
        <f t="shared" si="1"/>
        <v>-3.7526385592708815E-2</v>
      </c>
      <c r="S35" s="31">
        <f t="shared" si="1"/>
        <v>-2.8168433903918693E-2</v>
      </c>
      <c r="T35" s="31">
        <f t="shared" si="1"/>
        <v>2.4635579996228549E-2</v>
      </c>
      <c r="U35" s="31">
        <f t="shared" si="1"/>
        <v>-3.8873993024461116E-2</v>
      </c>
      <c r="V35" s="31">
        <f t="shared" si="1"/>
        <v>9.1050648411568206E-4</v>
      </c>
    </row>
    <row r="36" spans="1:22">
      <c r="A36" s="30">
        <v>42552</v>
      </c>
      <c r="B36" s="26">
        <v>768.78997800000002</v>
      </c>
      <c r="C36" s="26">
        <v>758.80999799999995</v>
      </c>
      <c r="D36" s="26">
        <v>234.78999300000001</v>
      </c>
      <c r="E36" s="26">
        <v>710000</v>
      </c>
      <c r="F36" s="26">
        <v>28.727871</v>
      </c>
      <c r="G36" s="26">
        <v>100.334824</v>
      </c>
      <c r="H36" s="26">
        <v>54.030017999999998</v>
      </c>
      <c r="I36" s="26">
        <v>216000</v>
      </c>
      <c r="J36" s="26">
        <v>123.94000200000001</v>
      </c>
      <c r="K36" s="27">
        <v>2173.6000979999999</v>
      </c>
      <c r="L36" s="26">
        <v>33</v>
      </c>
      <c r="M36" s="31">
        <f t="shared" si="1"/>
        <v>0.10508740250026335</v>
      </c>
      <c r="N36" s="31">
        <f t="shared" si="1"/>
        <v>5.8602121209846161E-2</v>
      </c>
      <c r="O36" s="31">
        <f t="shared" si="1"/>
        <v>0.10078531454635455</v>
      </c>
      <c r="P36" s="31">
        <f t="shared" si="1"/>
        <v>0</v>
      </c>
      <c r="Q36" s="31">
        <f t="shared" si="1"/>
        <v>-3.3120539220477829E-3</v>
      </c>
      <c r="R36" s="31">
        <f t="shared" si="1"/>
        <v>8.6235180029226477E-2</v>
      </c>
      <c r="S36" s="31">
        <f t="shared" si="1"/>
        <v>0.10226797488256335</v>
      </c>
      <c r="T36" s="31">
        <f t="shared" si="1"/>
        <v>-4.5037318461434587E-3</v>
      </c>
      <c r="U36" s="31">
        <f t="shared" si="1"/>
        <v>8.1146025058667012E-2</v>
      </c>
      <c r="V36" s="31">
        <f t="shared" si="1"/>
        <v>3.4990433050203752E-2</v>
      </c>
    </row>
    <row r="37" spans="1:22">
      <c r="A37" s="30">
        <v>42583</v>
      </c>
      <c r="B37" s="26">
        <v>767.04998799999998</v>
      </c>
      <c r="C37" s="26">
        <v>769.15997300000004</v>
      </c>
      <c r="D37" s="26">
        <v>212.009995</v>
      </c>
      <c r="E37" s="26">
        <v>845000</v>
      </c>
      <c r="F37" s="26">
        <v>28.820125999999998</v>
      </c>
      <c r="G37" s="26">
        <v>102.154556</v>
      </c>
      <c r="H37" s="26">
        <v>54.773552000000002</v>
      </c>
      <c r="I37" s="26">
        <v>225760</v>
      </c>
      <c r="J37" s="26">
        <v>126.120003</v>
      </c>
      <c r="K37" s="27">
        <v>2170.9499510000001</v>
      </c>
      <c r="L37" s="26">
        <v>34</v>
      </c>
      <c r="M37" s="31">
        <f t="shared" si="1"/>
        <v>-2.2658490245801139E-3</v>
      </c>
      <c r="N37" s="31">
        <f t="shared" si="1"/>
        <v>1.354756113762587E-2</v>
      </c>
      <c r="O37" s="31">
        <f t="shared" si="1"/>
        <v>-0.10205804800821031</v>
      </c>
      <c r="P37" s="31">
        <f t="shared" si="1"/>
        <v>0.17407165732181271</v>
      </c>
      <c r="Q37" s="31">
        <f t="shared" si="1"/>
        <v>3.2061960046812833E-3</v>
      </c>
      <c r="R37" s="31">
        <f t="shared" si="1"/>
        <v>1.7974088232623447E-2</v>
      </c>
      <c r="S37" s="31">
        <f t="shared" si="1"/>
        <v>1.3667668710321105E-2</v>
      </c>
      <c r="T37" s="31">
        <f t="shared" si="1"/>
        <v>4.4194080420338899E-2</v>
      </c>
      <c r="U37" s="31">
        <f t="shared" si="1"/>
        <v>1.7436264792927703E-2</v>
      </c>
      <c r="V37" s="31">
        <f t="shared" si="1"/>
        <v>-1.2199870176702919E-3</v>
      </c>
    </row>
    <row r="38" spans="1:22">
      <c r="A38" s="30">
        <v>42614</v>
      </c>
      <c r="B38" s="26">
        <v>777.28997800000002</v>
      </c>
      <c r="C38" s="26">
        <v>837.30999799999995</v>
      </c>
      <c r="D38" s="26">
        <v>204.029999</v>
      </c>
      <c r="E38" s="26">
        <v>883000</v>
      </c>
      <c r="F38" s="26">
        <v>27.325613000000001</v>
      </c>
      <c r="G38" s="26">
        <v>109.43575300000001</v>
      </c>
      <c r="H38" s="26">
        <v>55.249226</v>
      </c>
      <c r="I38" s="26">
        <v>216220</v>
      </c>
      <c r="J38" s="26">
        <v>128.270004</v>
      </c>
      <c r="K38" s="27">
        <v>2168.2700199999999</v>
      </c>
      <c r="L38" s="26">
        <v>35</v>
      </c>
      <c r="M38" s="31">
        <f t="shared" si="1"/>
        <v>1.3261510157852166E-2</v>
      </c>
      <c r="N38" s="31">
        <f t="shared" si="1"/>
        <v>8.4895394721912362E-2</v>
      </c>
      <c r="O38" s="31">
        <f t="shared" si="1"/>
        <v>-3.836638283266218E-2</v>
      </c>
      <c r="P38" s="31">
        <f t="shared" si="1"/>
        <v>4.3988573246786261E-2</v>
      </c>
      <c r="Q38" s="31">
        <f t="shared" si="1"/>
        <v>-5.3249495045960125E-2</v>
      </c>
      <c r="R38" s="31">
        <f t="shared" si="1"/>
        <v>6.8850725123315554E-2</v>
      </c>
      <c r="S38" s="31">
        <f t="shared" si="1"/>
        <v>8.6468815354699049E-3</v>
      </c>
      <c r="T38" s="31">
        <f t="shared" si="1"/>
        <v>-4.3176080239878581E-2</v>
      </c>
      <c r="U38" s="31">
        <f t="shared" si="1"/>
        <v>1.6903590032250209E-2</v>
      </c>
      <c r="V38" s="31">
        <f t="shared" si="1"/>
        <v>-1.2352134063971093E-3</v>
      </c>
    </row>
    <row r="39" spans="1:22">
      <c r="A39" s="30">
        <v>42644</v>
      </c>
      <c r="B39" s="26">
        <v>784.53997800000002</v>
      </c>
      <c r="C39" s="26">
        <v>789.82000700000003</v>
      </c>
      <c r="D39" s="26">
        <v>197.729996</v>
      </c>
      <c r="E39" s="26">
        <v>857000</v>
      </c>
      <c r="F39" s="26">
        <v>27.055413999999999</v>
      </c>
      <c r="G39" s="26">
        <v>109.91007999999999</v>
      </c>
      <c r="H39" s="26">
        <v>57.474541000000002</v>
      </c>
      <c r="I39" s="26">
        <v>215700</v>
      </c>
      <c r="J39" s="26">
        <v>130.990005</v>
      </c>
      <c r="K39" s="27">
        <v>2126.1499020000001</v>
      </c>
      <c r="L39" s="26">
        <v>36</v>
      </c>
      <c r="M39" s="31">
        <f t="shared" si="1"/>
        <v>9.2840479174319864E-3</v>
      </c>
      <c r="N39" s="31">
        <f t="shared" si="1"/>
        <v>-5.8389289639810826E-2</v>
      </c>
      <c r="O39" s="31">
        <f t="shared" si="1"/>
        <v>-3.1364593451284964E-2</v>
      </c>
      <c r="P39" s="31">
        <f t="shared" si="1"/>
        <v>-2.9887282006180193E-2</v>
      </c>
      <c r="Q39" s="31">
        <f t="shared" si="1"/>
        <v>-9.9373343398890517E-3</v>
      </c>
      <c r="R39" s="31">
        <f t="shared" si="1"/>
        <v>4.3249304796037936E-3</v>
      </c>
      <c r="S39" s="31">
        <f t="shared" si="1"/>
        <v>3.9487753286490825E-2</v>
      </c>
      <c r="T39" s="31">
        <f t="shared" si="1"/>
        <v>-2.4078544695145796E-3</v>
      </c>
      <c r="U39" s="31">
        <f t="shared" si="1"/>
        <v>2.0983574084429937E-2</v>
      </c>
      <c r="V39" s="31">
        <f t="shared" si="1"/>
        <v>-1.9616837421336072E-2</v>
      </c>
    </row>
    <row r="40" spans="1:22">
      <c r="A40" s="30">
        <v>42675</v>
      </c>
      <c r="B40" s="26">
        <v>758.03997800000002</v>
      </c>
      <c r="C40" s="26">
        <v>750.57000700000003</v>
      </c>
      <c r="D40" s="26">
        <v>189.39999399999999</v>
      </c>
      <c r="E40" s="26">
        <v>798000</v>
      </c>
      <c r="F40" s="26">
        <v>28.598780000000001</v>
      </c>
      <c r="G40" s="26">
        <v>106.98664100000001</v>
      </c>
      <c r="H40" s="26">
        <v>57.800663</v>
      </c>
      <c r="I40" s="26">
        <v>237000</v>
      </c>
      <c r="J40" s="26">
        <v>118.41999800000001</v>
      </c>
      <c r="K40" s="27">
        <v>2198.8100589999999</v>
      </c>
      <c r="L40" s="26">
        <v>37</v>
      </c>
      <c r="M40" s="31">
        <f t="shared" si="1"/>
        <v>-3.4361405045320988E-2</v>
      </c>
      <c r="N40" s="31">
        <f t="shared" si="1"/>
        <v>-5.0972153058414578E-2</v>
      </c>
      <c r="O40" s="31">
        <f t="shared" si="1"/>
        <v>-4.3041294430140965E-2</v>
      </c>
      <c r="P40" s="31">
        <f t="shared" si="1"/>
        <v>-7.1329321147971039E-2</v>
      </c>
      <c r="Q40" s="31">
        <f t="shared" si="1"/>
        <v>5.547692643341548E-2</v>
      </c>
      <c r="R40" s="31">
        <f t="shared" si="1"/>
        <v>-2.695860074865173E-2</v>
      </c>
      <c r="S40" s="31">
        <f t="shared" si="1"/>
        <v>5.6581616643287449E-3</v>
      </c>
      <c r="T40" s="31">
        <f t="shared" si="1"/>
        <v>9.4171587740020518E-2</v>
      </c>
      <c r="U40" s="31">
        <f t="shared" si="1"/>
        <v>-0.10088341236581852</v>
      </c>
      <c r="V40" s="31">
        <f t="shared" si="1"/>
        <v>3.3603545390870432E-2</v>
      </c>
    </row>
    <row r="41" spans="1:22">
      <c r="A41" s="30">
        <v>42705</v>
      </c>
      <c r="B41" s="26">
        <v>771.82000700000003</v>
      </c>
      <c r="C41" s="26">
        <v>768.65997300000004</v>
      </c>
      <c r="D41" s="26">
        <v>213.69000199999999</v>
      </c>
      <c r="E41" s="26">
        <v>775000</v>
      </c>
      <c r="F41" s="26">
        <v>29.379763000000001</v>
      </c>
      <c r="G41" s="26">
        <v>112.692825</v>
      </c>
      <c r="H41" s="26">
        <v>60.006588000000001</v>
      </c>
      <c r="I41" s="26">
        <v>244121</v>
      </c>
      <c r="J41" s="26">
        <v>115.050003</v>
      </c>
      <c r="K41" s="27">
        <v>2238.830078</v>
      </c>
      <c r="L41" s="26">
        <v>38</v>
      </c>
      <c r="M41" s="31">
        <f t="shared" si="1"/>
        <v>1.801524560992928E-2</v>
      </c>
      <c r="N41" s="31">
        <f t="shared" si="1"/>
        <v>2.3815776767489815E-2</v>
      </c>
      <c r="O41" s="31">
        <f t="shared" si="1"/>
        <v>0.12066522694473326</v>
      </c>
      <c r="P41" s="31">
        <f t="shared" si="1"/>
        <v>-2.9245568096461796E-2</v>
      </c>
      <c r="Q41" s="31">
        <f t="shared" si="1"/>
        <v>2.6942044427846763E-2</v>
      </c>
      <c r="R41" s="31">
        <f t="shared" si="1"/>
        <v>5.196177822263278E-2</v>
      </c>
      <c r="S41" s="31">
        <f t="shared" si="1"/>
        <v>3.7454109993741533E-2</v>
      </c>
      <c r="T41" s="31">
        <f t="shared" si="1"/>
        <v>2.9603862878832307E-2</v>
      </c>
      <c r="U41" s="31">
        <f t="shared" si="1"/>
        <v>-2.8870767657597045E-2</v>
      </c>
      <c r="V41" s="31">
        <f t="shared" si="1"/>
        <v>1.8037111058687334E-2</v>
      </c>
    </row>
    <row r="42" spans="1:22">
      <c r="A42" s="30">
        <v>42736</v>
      </c>
      <c r="B42" s="26">
        <v>796.78997800000002</v>
      </c>
      <c r="C42" s="26">
        <v>823.47997999999995</v>
      </c>
      <c r="D42" s="26">
        <v>251.929993</v>
      </c>
      <c r="E42" s="26">
        <v>758000</v>
      </c>
      <c r="F42" s="26">
        <v>27.821069999999999</v>
      </c>
      <c r="G42" s="26">
        <v>118.073517</v>
      </c>
      <c r="H42" s="26">
        <v>62.430424000000002</v>
      </c>
      <c r="I42" s="26">
        <v>245980</v>
      </c>
      <c r="J42" s="26">
        <v>130.320007</v>
      </c>
      <c r="K42" s="27">
        <v>2278.8701169999999</v>
      </c>
      <c r="L42" s="26">
        <v>39</v>
      </c>
      <c r="M42" s="31">
        <f t="shared" si="1"/>
        <v>3.1839757093719195E-2</v>
      </c>
      <c r="N42" s="31">
        <f t="shared" si="1"/>
        <v>6.8890534483602384E-2</v>
      </c>
      <c r="O42" s="31">
        <f t="shared" si="1"/>
        <v>0.16462486734303189</v>
      </c>
      <c r="P42" s="31">
        <f t="shared" si="1"/>
        <v>-2.2179643710975371E-2</v>
      </c>
      <c r="Q42" s="31">
        <f t="shared" si="1"/>
        <v>-5.4512456707013844E-2</v>
      </c>
      <c r="R42" s="31">
        <f t="shared" si="1"/>
        <v>4.6641701466847076E-2</v>
      </c>
      <c r="S42" s="31">
        <f t="shared" si="1"/>
        <v>3.9598364462667394E-2</v>
      </c>
      <c r="T42" s="31">
        <f t="shared" si="1"/>
        <v>7.5862278003008292E-3</v>
      </c>
      <c r="U42" s="31">
        <f t="shared" si="1"/>
        <v>0.12462617545072931</v>
      </c>
      <c r="V42" s="31">
        <f t="shared" si="1"/>
        <v>1.7726314594617782E-2</v>
      </c>
    </row>
    <row r="43" spans="1:22">
      <c r="A43" s="30">
        <v>42767</v>
      </c>
      <c r="B43" s="26">
        <v>823.21002199999998</v>
      </c>
      <c r="C43" s="26">
        <v>845.03997800000002</v>
      </c>
      <c r="D43" s="26">
        <v>249.990005</v>
      </c>
      <c r="E43" s="26">
        <v>776000</v>
      </c>
      <c r="F43" s="26">
        <v>27.924109000000001</v>
      </c>
      <c r="G43" s="26">
        <v>133.291245</v>
      </c>
      <c r="H43" s="26">
        <v>61.783423999999997</v>
      </c>
      <c r="I43" s="26">
        <v>257100</v>
      </c>
      <c r="J43" s="26">
        <v>135.53999300000001</v>
      </c>
      <c r="K43" s="27">
        <v>2363.639893</v>
      </c>
      <c r="L43" s="26">
        <v>40</v>
      </c>
      <c r="M43" s="31">
        <f t="shared" si="1"/>
        <v>3.2620230506894866E-2</v>
      </c>
      <c r="N43" s="31">
        <f t="shared" si="1"/>
        <v>2.5844699026700214E-2</v>
      </c>
      <c r="O43" s="31">
        <f t="shared" si="1"/>
        <v>-7.7303062977313068E-3</v>
      </c>
      <c r="P43" s="31">
        <f t="shared" si="1"/>
        <v>2.3469134540847095E-2</v>
      </c>
      <c r="Q43" s="31">
        <f t="shared" si="1"/>
        <v>3.6967902586317273E-3</v>
      </c>
      <c r="R43" s="31">
        <f t="shared" si="1"/>
        <v>0.1212290902183504</v>
      </c>
      <c r="S43" s="31">
        <f t="shared" si="1"/>
        <v>-1.0417612235704208E-2</v>
      </c>
      <c r="T43" s="31">
        <f t="shared" si="1"/>
        <v>4.4214882457579326E-2</v>
      </c>
      <c r="U43" s="31">
        <f t="shared" si="1"/>
        <v>3.927373005497159E-2</v>
      </c>
      <c r="V43" s="31">
        <f t="shared" si="1"/>
        <v>3.6523000999039816E-2</v>
      </c>
    </row>
    <row r="44" spans="1:22">
      <c r="A44" s="30">
        <v>42795</v>
      </c>
      <c r="B44" s="26">
        <v>829.55999799999995</v>
      </c>
      <c r="C44" s="26">
        <v>886.53997800000002</v>
      </c>
      <c r="D44" s="26">
        <v>278.29998799999998</v>
      </c>
      <c r="E44" s="26">
        <v>855000</v>
      </c>
      <c r="F44" s="26">
        <v>28.137394</v>
      </c>
      <c r="G44" s="26">
        <v>140.38717700000001</v>
      </c>
      <c r="H44" s="26">
        <v>63.984439999999999</v>
      </c>
      <c r="I44" s="26">
        <v>249850</v>
      </c>
      <c r="J44" s="26">
        <v>142.050003</v>
      </c>
      <c r="K44" s="27">
        <v>2362.719971</v>
      </c>
      <c r="L44" s="26">
        <v>41</v>
      </c>
      <c r="M44" s="31">
        <f t="shared" ref="M44:V62" si="2">LN(B44/B43)</f>
        <v>7.6840784473203453E-3</v>
      </c>
      <c r="N44" s="31">
        <f t="shared" si="2"/>
        <v>4.7942283463512946E-2</v>
      </c>
      <c r="O44" s="31">
        <f t="shared" si="2"/>
        <v>0.10727868834988286</v>
      </c>
      <c r="P44" s="31">
        <f t="shared" si="2"/>
        <v>9.6948948753541542E-2</v>
      </c>
      <c r="Q44" s="31">
        <f t="shared" si="2"/>
        <v>7.6090014584192737E-3</v>
      </c>
      <c r="R44" s="31">
        <f t="shared" si="2"/>
        <v>5.1867609403887689E-2</v>
      </c>
      <c r="S44" s="31">
        <f t="shared" si="2"/>
        <v>3.5004820378512672E-2</v>
      </c>
      <c r="T44" s="31">
        <f t="shared" si="2"/>
        <v>-2.8604376481629824E-2</v>
      </c>
      <c r="U44" s="31">
        <f t="shared" si="2"/>
        <v>4.691238135682603E-2</v>
      </c>
      <c r="V44" s="31">
        <f t="shared" si="2"/>
        <v>-3.8927294496698804E-4</v>
      </c>
    </row>
    <row r="45" spans="1:22">
      <c r="A45" s="30">
        <v>42826</v>
      </c>
      <c r="B45" s="26">
        <v>905.96002199999998</v>
      </c>
      <c r="C45" s="26">
        <v>924.98999000000003</v>
      </c>
      <c r="D45" s="26">
        <v>314.07000699999998</v>
      </c>
      <c r="E45" s="26">
        <v>800000</v>
      </c>
      <c r="F45" s="26">
        <v>27.372581</v>
      </c>
      <c r="G45" s="26">
        <v>140.37737999999999</v>
      </c>
      <c r="H45" s="26">
        <v>66.510399000000007</v>
      </c>
      <c r="I45" s="26">
        <v>247780</v>
      </c>
      <c r="J45" s="26">
        <v>150.25</v>
      </c>
      <c r="K45" s="27">
        <v>2384.1999510000001</v>
      </c>
      <c r="L45" s="26">
        <v>42</v>
      </c>
      <c r="M45" s="31">
        <f t="shared" si="2"/>
        <v>8.809974190733455E-2</v>
      </c>
      <c r="N45" s="31">
        <f t="shared" si="2"/>
        <v>4.245669488810043E-2</v>
      </c>
      <c r="O45" s="31">
        <f t="shared" si="2"/>
        <v>0.1209162878744902</v>
      </c>
      <c r="P45" s="31">
        <f t="shared" si="2"/>
        <v>-6.6489741268832975E-2</v>
      </c>
      <c r="Q45" s="31">
        <f t="shared" si="2"/>
        <v>-2.7557620075765017E-2</v>
      </c>
      <c r="R45" s="31">
        <f t="shared" si="2"/>
        <v>-6.9788011055777797E-5</v>
      </c>
      <c r="S45" s="31">
        <f t="shared" si="2"/>
        <v>3.8718382576217666E-2</v>
      </c>
      <c r="T45" s="31">
        <f t="shared" si="2"/>
        <v>-8.3194821026211854E-3</v>
      </c>
      <c r="U45" s="31">
        <f t="shared" si="2"/>
        <v>5.6121443995796098E-2</v>
      </c>
      <c r="V45" s="31">
        <f t="shared" si="2"/>
        <v>9.0501322804594966E-3</v>
      </c>
    </row>
    <row r="46" spans="1:22">
      <c r="A46" s="30">
        <v>42856</v>
      </c>
      <c r="B46" s="26">
        <v>964.85998500000005</v>
      </c>
      <c r="C46" s="26">
        <v>994.61999500000002</v>
      </c>
      <c r="D46" s="26">
        <v>341.01001000000002</v>
      </c>
      <c r="E46" s="26">
        <v>845000</v>
      </c>
      <c r="F46" s="26">
        <v>25.852409000000002</v>
      </c>
      <c r="G46" s="26">
        <v>149.27986100000001</v>
      </c>
      <c r="H46" s="26">
        <v>67.851096999999996</v>
      </c>
      <c r="I46" s="26">
        <v>248440</v>
      </c>
      <c r="J46" s="26">
        <v>151.46000699999999</v>
      </c>
      <c r="K46" s="27">
        <v>2411.8000489999999</v>
      </c>
      <c r="L46" s="26">
        <v>43</v>
      </c>
      <c r="M46" s="31">
        <f t="shared" si="2"/>
        <v>6.2987818306099549E-2</v>
      </c>
      <c r="N46" s="31">
        <f t="shared" si="2"/>
        <v>7.2577833805534647E-2</v>
      </c>
      <c r="O46" s="31">
        <f t="shared" si="2"/>
        <v>8.229591840398387E-2</v>
      </c>
      <c r="P46" s="31">
        <f t="shared" si="2"/>
        <v>5.4724899689246466E-2</v>
      </c>
      <c r="Q46" s="31">
        <f t="shared" si="2"/>
        <v>-5.7138030833675572E-2</v>
      </c>
      <c r="R46" s="31">
        <f t="shared" si="2"/>
        <v>6.148843846166991E-2</v>
      </c>
      <c r="S46" s="31">
        <f t="shared" si="2"/>
        <v>1.9957242791647681E-2</v>
      </c>
      <c r="T46" s="31">
        <f t="shared" si="2"/>
        <v>2.6601120035095482E-3</v>
      </c>
      <c r="U46" s="31">
        <f t="shared" si="2"/>
        <v>8.0210364871813426E-3</v>
      </c>
      <c r="V46" s="31">
        <f t="shared" si="2"/>
        <v>1.1509759254333795E-2</v>
      </c>
    </row>
    <row r="47" spans="1:22">
      <c r="A47" s="30">
        <v>42887</v>
      </c>
      <c r="B47" s="26">
        <v>908.72997999999995</v>
      </c>
      <c r="C47" s="26">
        <v>968</v>
      </c>
      <c r="D47" s="26">
        <v>361.60998499999999</v>
      </c>
      <c r="E47" s="26">
        <v>838000</v>
      </c>
      <c r="F47" s="26">
        <v>25.503052</v>
      </c>
      <c r="G47" s="26">
        <v>141.31990099999999</v>
      </c>
      <c r="H47" s="26">
        <v>67.350868000000006</v>
      </c>
      <c r="I47" s="26">
        <v>254700</v>
      </c>
      <c r="J47" s="26">
        <v>150.979996</v>
      </c>
      <c r="K47" s="27">
        <v>2423.4099120000001</v>
      </c>
      <c r="L47" s="26">
        <v>44</v>
      </c>
      <c r="M47" s="31">
        <f t="shared" si="2"/>
        <v>-5.9934999203980044E-2</v>
      </c>
      <c r="N47" s="31">
        <f t="shared" si="2"/>
        <v>-2.7128662361207066E-2</v>
      </c>
      <c r="O47" s="31">
        <f t="shared" si="2"/>
        <v>5.8654409830352937E-2</v>
      </c>
      <c r="P47" s="31">
        <f t="shared" si="2"/>
        <v>-8.31852687509076E-3</v>
      </c>
      <c r="Q47" s="31">
        <f t="shared" si="2"/>
        <v>-1.3605656824683197E-2</v>
      </c>
      <c r="R47" s="31">
        <f t="shared" si="2"/>
        <v>-5.4796684009567859E-2</v>
      </c>
      <c r="S47" s="31">
        <f t="shared" si="2"/>
        <v>-7.3997634955034518E-3</v>
      </c>
      <c r="T47" s="31">
        <f t="shared" si="2"/>
        <v>2.4885014294309046E-2</v>
      </c>
      <c r="U47" s="31">
        <f t="shared" si="2"/>
        <v>-3.1742586845952495E-3</v>
      </c>
      <c r="V47" s="31">
        <f t="shared" si="2"/>
        <v>4.8022259241070758E-3</v>
      </c>
    </row>
    <row r="48" spans="1:22">
      <c r="A48" s="30">
        <v>42917</v>
      </c>
      <c r="B48" s="26">
        <v>930.5</v>
      </c>
      <c r="C48" s="26">
        <v>987.78002900000001</v>
      </c>
      <c r="D48" s="26">
        <v>323.47000100000002</v>
      </c>
      <c r="E48" s="26">
        <v>803000</v>
      </c>
      <c r="F48" s="26">
        <v>24.589068999999999</v>
      </c>
      <c r="G48" s="26">
        <v>145.941574</v>
      </c>
      <c r="H48" s="26">
        <v>71.034499999999994</v>
      </c>
      <c r="I48" s="26">
        <v>262786</v>
      </c>
      <c r="J48" s="26">
        <v>169.25</v>
      </c>
      <c r="K48" s="27">
        <v>2470.3000489999999</v>
      </c>
      <c r="L48" s="26">
        <v>45</v>
      </c>
      <c r="M48" s="31">
        <f t="shared" si="2"/>
        <v>2.3674077738594191E-2</v>
      </c>
      <c r="N48" s="31">
        <f t="shared" si="2"/>
        <v>2.0227942970172167E-2</v>
      </c>
      <c r="O48" s="31">
        <f t="shared" si="2"/>
        <v>-0.11145986449276946</v>
      </c>
      <c r="P48" s="31">
        <f t="shared" si="2"/>
        <v>-4.2663386535321403E-2</v>
      </c>
      <c r="Q48" s="31">
        <f t="shared" si="2"/>
        <v>-3.6496136684773951E-2</v>
      </c>
      <c r="R48" s="31">
        <f t="shared" si="2"/>
        <v>3.2180241580615214E-2</v>
      </c>
      <c r="S48" s="31">
        <f t="shared" si="2"/>
        <v>5.3249883843210201E-2</v>
      </c>
      <c r="T48" s="31">
        <f t="shared" si="2"/>
        <v>3.125363075548402E-2</v>
      </c>
      <c r="U48" s="31">
        <f t="shared" si="2"/>
        <v>0.11422956057448126</v>
      </c>
      <c r="V48" s="31">
        <f t="shared" si="2"/>
        <v>1.916401766181007E-2</v>
      </c>
    </row>
    <row r="49" spans="1:23">
      <c r="A49" s="30">
        <v>42948</v>
      </c>
      <c r="B49" s="26">
        <v>939.330017</v>
      </c>
      <c r="C49" s="26">
        <v>980.59997599999997</v>
      </c>
      <c r="D49" s="26">
        <v>355.89999399999999</v>
      </c>
      <c r="E49" s="26">
        <v>755000</v>
      </c>
      <c r="F49" s="26">
        <v>23.571325000000002</v>
      </c>
      <c r="G49" s="26">
        <v>160.92529300000001</v>
      </c>
      <c r="H49" s="26">
        <v>73.057075999999995</v>
      </c>
      <c r="I49" s="26">
        <v>271450</v>
      </c>
      <c r="J49" s="26">
        <v>171.970001</v>
      </c>
      <c r="K49" s="27">
        <v>2471.6499020000001</v>
      </c>
      <c r="L49" s="26">
        <v>46</v>
      </c>
      <c r="M49" s="31">
        <f t="shared" si="2"/>
        <v>9.444797183880204E-3</v>
      </c>
      <c r="N49" s="31">
        <f t="shared" si="2"/>
        <v>-7.2954255044278991E-3</v>
      </c>
      <c r="O49" s="31">
        <f t="shared" si="2"/>
        <v>9.5543398628513479E-2</v>
      </c>
      <c r="P49" s="31">
        <f t="shared" si="2"/>
        <v>-6.1636964697736989E-2</v>
      </c>
      <c r="Q49" s="31">
        <f t="shared" si="2"/>
        <v>-4.2271063696065578E-2</v>
      </c>
      <c r="R49" s="31">
        <f t="shared" si="2"/>
        <v>9.7733875127434117E-2</v>
      </c>
      <c r="S49" s="31">
        <f t="shared" si="2"/>
        <v>2.8075324150860625E-2</v>
      </c>
      <c r="T49" s="31">
        <f t="shared" si="2"/>
        <v>3.2437947610564836E-2</v>
      </c>
      <c r="U49" s="31">
        <f t="shared" si="2"/>
        <v>1.5943137018691531E-2</v>
      </c>
      <c r="V49" s="31">
        <f t="shared" si="2"/>
        <v>5.4628357104102084E-4</v>
      </c>
    </row>
    <row r="50" spans="1:23">
      <c r="A50" s="30">
        <v>42979</v>
      </c>
      <c r="B50" s="26">
        <v>959.10998500000005</v>
      </c>
      <c r="C50" s="26">
        <v>961.34997599999997</v>
      </c>
      <c r="D50" s="26">
        <v>341.10000600000001</v>
      </c>
      <c r="E50" s="26">
        <v>745000</v>
      </c>
      <c r="F50" s="26">
        <v>23.216072</v>
      </c>
      <c r="G50" s="26">
        <v>151.824387</v>
      </c>
      <c r="H50" s="26">
        <v>73.171272000000002</v>
      </c>
      <c r="I50" s="26">
        <v>274740</v>
      </c>
      <c r="J50" s="26">
        <v>170.86999499999999</v>
      </c>
      <c r="K50" s="27">
        <v>2519.360107</v>
      </c>
      <c r="L50" s="26">
        <v>47</v>
      </c>
      <c r="M50" s="31">
        <f t="shared" si="2"/>
        <v>2.0838882215321337E-2</v>
      </c>
      <c r="N50" s="31">
        <f t="shared" si="2"/>
        <v>-1.982608308886917E-2</v>
      </c>
      <c r="O50" s="31">
        <f t="shared" si="2"/>
        <v>-4.2474068642729235E-2</v>
      </c>
      <c r="P50" s="31">
        <f t="shared" si="2"/>
        <v>-1.3333530869465144E-2</v>
      </c>
      <c r="Q50" s="31">
        <f t="shared" si="2"/>
        <v>-1.5186133449755314E-2</v>
      </c>
      <c r="R50" s="31">
        <f t="shared" si="2"/>
        <v>-5.8215734428697728E-2</v>
      </c>
      <c r="S50" s="31">
        <f t="shared" si="2"/>
        <v>1.5618862522470565E-3</v>
      </c>
      <c r="T50" s="31">
        <f t="shared" si="2"/>
        <v>1.2047235545598908E-2</v>
      </c>
      <c r="U50" s="31">
        <f t="shared" si="2"/>
        <v>-6.4170446129063136E-3</v>
      </c>
      <c r="V50" s="31">
        <f t="shared" si="2"/>
        <v>1.911903932397916E-2</v>
      </c>
    </row>
    <row r="51" spans="1:23">
      <c r="A51" s="30">
        <v>43009</v>
      </c>
      <c r="B51" s="26">
        <v>1016.6400149999999</v>
      </c>
      <c r="C51" s="26">
        <v>1105.280029</v>
      </c>
      <c r="D51" s="26">
        <v>331.52999899999998</v>
      </c>
      <c r="E51" s="26">
        <v>894000</v>
      </c>
      <c r="F51" s="26">
        <v>19.549731999999999</v>
      </c>
      <c r="G51" s="26">
        <v>166.52217099999999</v>
      </c>
      <c r="H51" s="26">
        <v>81.707436000000001</v>
      </c>
      <c r="I51" s="26">
        <v>280470</v>
      </c>
      <c r="J51" s="26">
        <v>180.05999800000001</v>
      </c>
      <c r="K51" s="27">
        <v>2575.26001</v>
      </c>
      <c r="L51" s="26">
        <v>48</v>
      </c>
      <c r="M51" s="31">
        <f t="shared" si="2"/>
        <v>5.8252610354129652E-2</v>
      </c>
      <c r="N51" s="31">
        <f t="shared" si="2"/>
        <v>0.13951548010250206</v>
      </c>
      <c r="O51" s="31">
        <f t="shared" si="2"/>
        <v>-2.8457406762267295E-2</v>
      </c>
      <c r="P51" s="31">
        <f t="shared" si="2"/>
        <v>0.18232155679395459</v>
      </c>
      <c r="Q51" s="31">
        <f t="shared" si="2"/>
        <v>-0.17188321954894933</v>
      </c>
      <c r="R51" s="31">
        <f t="shared" si="2"/>
        <v>9.2403955482499661E-2</v>
      </c>
      <c r="S51" s="31">
        <f t="shared" si="2"/>
        <v>0.11034212871745579</v>
      </c>
      <c r="T51" s="31">
        <f t="shared" si="2"/>
        <v>2.0641571474274915E-2</v>
      </c>
      <c r="U51" s="31">
        <f t="shared" si="2"/>
        <v>5.2387113374752527E-2</v>
      </c>
      <c r="V51" s="31">
        <f t="shared" si="2"/>
        <v>2.1945560290305279E-2</v>
      </c>
    </row>
    <row r="52" spans="1:23">
      <c r="A52" s="30">
        <v>43040</v>
      </c>
      <c r="B52" s="26">
        <v>1021.409973</v>
      </c>
      <c r="C52" s="26">
        <v>1176.75</v>
      </c>
      <c r="D52" s="26">
        <v>308.85000600000001</v>
      </c>
      <c r="E52" s="26">
        <v>800000</v>
      </c>
      <c r="F52" s="26">
        <v>17.736339999999998</v>
      </c>
      <c r="G52" s="26">
        <v>169.29032900000001</v>
      </c>
      <c r="H52" s="26">
        <v>82.679908999999995</v>
      </c>
      <c r="I52" s="26">
        <v>291500</v>
      </c>
      <c r="J52" s="26">
        <v>177.179993</v>
      </c>
      <c r="K52" s="27">
        <v>2584.8400879999999</v>
      </c>
      <c r="L52" s="26">
        <v>49</v>
      </c>
      <c r="M52" s="31">
        <f t="shared" si="2"/>
        <v>4.6809123795830479E-3</v>
      </c>
      <c r="N52" s="31">
        <f t="shared" si="2"/>
        <v>6.2657678525297536E-2</v>
      </c>
      <c r="O52" s="31">
        <f t="shared" si="2"/>
        <v>-7.0862558683667878E-2</v>
      </c>
      <c r="P52" s="31">
        <f t="shared" si="2"/>
        <v>-0.11109404750558688</v>
      </c>
      <c r="Q52" s="31">
        <f t="shared" si="2"/>
        <v>-9.7345935717631671E-2</v>
      </c>
      <c r="R52" s="31">
        <f t="shared" si="2"/>
        <v>1.6486704343221636E-2</v>
      </c>
      <c r="S52" s="31">
        <f t="shared" si="2"/>
        <v>1.1831620547897739E-2</v>
      </c>
      <c r="T52" s="31">
        <f t="shared" si="2"/>
        <v>3.8573238419213111E-2</v>
      </c>
      <c r="U52" s="31">
        <f t="shared" si="2"/>
        <v>-1.6123992096881742E-2</v>
      </c>
      <c r="V52" s="31">
        <f t="shared" si="2"/>
        <v>3.7131407628128972E-3</v>
      </c>
    </row>
    <row r="53" spans="1:23">
      <c r="A53" s="30">
        <v>43070</v>
      </c>
      <c r="B53" s="26">
        <v>1046.400024</v>
      </c>
      <c r="C53" s="26">
        <v>1169.469971</v>
      </c>
      <c r="D53" s="26">
        <v>311.35000600000001</v>
      </c>
      <c r="E53" s="26">
        <v>870000</v>
      </c>
      <c r="F53" s="26">
        <v>16.921768</v>
      </c>
      <c r="G53" s="26">
        <v>167.30864</v>
      </c>
      <c r="H53" s="26">
        <v>84.447638999999995</v>
      </c>
      <c r="I53" s="26">
        <v>297600</v>
      </c>
      <c r="J53" s="26">
        <v>176.46000699999999</v>
      </c>
      <c r="K53" s="27">
        <v>2673.610107</v>
      </c>
      <c r="L53" s="26">
        <v>50</v>
      </c>
      <c r="M53" s="31">
        <f t="shared" si="2"/>
        <v>2.4171725423494207E-2</v>
      </c>
      <c r="N53" s="31">
        <f t="shared" si="2"/>
        <v>-6.2057713716230263E-3</v>
      </c>
      <c r="O53" s="31">
        <f t="shared" si="2"/>
        <v>8.0619590205634768E-3</v>
      </c>
      <c r="P53" s="31">
        <f t="shared" si="2"/>
        <v>8.3881483980702026E-2</v>
      </c>
      <c r="Q53" s="31">
        <f t="shared" si="2"/>
        <v>-4.7014801734918309E-2</v>
      </c>
      <c r="R53" s="31">
        <f t="shared" si="2"/>
        <v>-1.1774913644964063E-2</v>
      </c>
      <c r="S53" s="31">
        <f t="shared" si="2"/>
        <v>2.1155051307738006E-2</v>
      </c>
      <c r="T53" s="31">
        <f t="shared" si="2"/>
        <v>2.0710297168389805E-2</v>
      </c>
      <c r="U53" s="31">
        <f t="shared" si="2"/>
        <v>-4.0718640130357839E-3</v>
      </c>
      <c r="V53" s="31">
        <f t="shared" si="2"/>
        <v>3.3766014609890378E-2</v>
      </c>
    </row>
    <row r="54" spans="1:23">
      <c r="A54" s="30">
        <v>43101</v>
      </c>
      <c r="B54" s="26">
        <v>1169.9399410000001</v>
      </c>
      <c r="C54" s="26">
        <v>1450.8900149999999</v>
      </c>
      <c r="D54" s="26">
        <v>354.30999800000001</v>
      </c>
      <c r="E54" s="26">
        <v>885000</v>
      </c>
      <c r="F54" s="26">
        <v>15.896188</v>
      </c>
      <c r="G54" s="26">
        <v>165.529068</v>
      </c>
      <c r="H54" s="26">
        <v>93.796706999999998</v>
      </c>
      <c r="I54" s="26">
        <v>323375</v>
      </c>
      <c r="J54" s="26">
        <v>186.88999899999999</v>
      </c>
      <c r="K54" s="27">
        <v>2823.8100589999999</v>
      </c>
      <c r="L54" s="26">
        <v>51</v>
      </c>
      <c r="M54" s="31">
        <f t="shared" si="2"/>
        <v>0.11159669035689881</v>
      </c>
      <c r="N54" s="31">
        <f t="shared" si="2"/>
        <v>0.21562654165297973</v>
      </c>
      <c r="O54" s="31">
        <f t="shared" si="2"/>
        <v>0.12925452990732594</v>
      </c>
      <c r="P54" s="31">
        <f t="shared" si="2"/>
        <v>1.709443335930004E-2</v>
      </c>
      <c r="Q54" s="31">
        <f t="shared" si="2"/>
        <v>-6.2521508390701114E-2</v>
      </c>
      <c r="R54" s="31">
        <f t="shared" si="2"/>
        <v>-1.0693433556121332E-2</v>
      </c>
      <c r="S54" s="31">
        <f t="shared" si="2"/>
        <v>0.10499806329435057</v>
      </c>
      <c r="T54" s="31">
        <f t="shared" si="2"/>
        <v>8.3062337547256448E-2</v>
      </c>
      <c r="U54" s="31">
        <f t="shared" si="2"/>
        <v>5.7425941668465451E-2</v>
      </c>
      <c r="V54" s="31">
        <f t="shared" si="2"/>
        <v>5.4657398659986728E-2</v>
      </c>
    </row>
    <row r="55" spans="1:23">
      <c r="A55" s="30">
        <v>43132</v>
      </c>
      <c r="B55" s="26">
        <v>1104.7299800000001</v>
      </c>
      <c r="C55" s="26">
        <v>1512.4499510000001</v>
      </c>
      <c r="D55" s="26">
        <v>343.05999800000001</v>
      </c>
      <c r="E55" s="26">
        <v>803000</v>
      </c>
      <c r="F55" s="26">
        <v>13.87107</v>
      </c>
      <c r="G55" s="26">
        <v>176.097702</v>
      </c>
      <c r="H55" s="26">
        <v>92.572540000000004</v>
      </c>
      <c r="I55" s="26">
        <v>310250</v>
      </c>
      <c r="J55" s="26">
        <v>178.320007</v>
      </c>
      <c r="K55" s="27">
        <v>2713.830078</v>
      </c>
      <c r="L55" s="26">
        <v>52</v>
      </c>
      <c r="M55" s="31">
        <f t="shared" si="2"/>
        <v>-5.7351471895965657E-2</v>
      </c>
      <c r="N55" s="31">
        <f t="shared" si="2"/>
        <v>4.1553648546959927E-2</v>
      </c>
      <c r="O55" s="31">
        <f t="shared" si="2"/>
        <v>-3.2266877344908684E-2</v>
      </c>
      <c r="P55" s="31">
        <f t="shared" si="2"/>
        <v>-9.7232931061167788E-2</v>
      </c>
      <c r="Q55" s="31">
        <f t="shared" si="2"/>
        <v>-0.13627395578595297</v>
      </c>
      <c r="R55" s="31">
        <f t="shared" si="2"/>
        <v>6.1892149156368453E-2</v>
      </c>
      <c r="S55" s="31">
        <f t="shared" si="2"/>
        <v>-1.3137195388392029E-2</v>
      </c>
      <c r="T55" s="31">
        <f t="shared" si="2"/>
        <v>-4.1434216421476606E-2</v>
      </c>
      <c r="U55" s="31">
        <f t="shared" si="2"/>
        <v>-4.6940474798586006E-2</v>
      </c>
      <c r="V55" s="31">
        <f t="shared" si="2"/>
        <v>-3.9726107788010244E-2</v>
      </c>
    </row>
    <row r="56" spans="1:23">
      <c r="A56" s="30">
        <v>43160</v>
      </c>
      <c r="B56" s="26">
        <v>1031.790039</v>
      </c>
      <c r="C56" s="26">
        <v>1447.339966</v>
      </c>
      <c r="D56" s="26">
        <v>266.13000499999998</v>
      </c>
      <c r="E56" s="26">
        <v>792000</v>
      </c>
      <c r="F56" s="26">
        <v>13.361407</v>
      </c>
      <c r="G56" s="26">
        <v>166.55139199999999</v>
      </c>
      <c r="H56" s="26">
        <v>90.527732999999998</v>
      </c>
      <c r="I56" s="26">
        <v>299100</v>
      </c>
      <c r="J56" s="26">
        <v>159.78999300000001</v>
      </c>
      <c r="K56" s="27">
        <v>2640.8701169999999</v>
      </c>
      <c r="L56" s="26">
        <v>53</v>
      </c>
      <c r="M56" s="31">
        <f t="shared" si="2"/>
        <v>-6.8305747338411327E-2</v>
      </c>
      <c r="N56" s="31">
        <f t="shared" si="2"/>
        <v>-4.4003454669149025E-2</v>
      </c>
      <c r="O56" s="31">
        <f t="shared" si="2"/>
        <v>-0.25392042316337954</v>
      </c>
      <c r="P56" s="31">
        <f t="shared" si="2"/>
        <v>-1.3793322132335873E-2</v>
      </c>
      <c r="Q56" s="31">
        <f t="shared" si="2"/>
        <v>-3.7434899333723327E-2</v>
      </c>
      <c r="R56" s="31">
        <f t="shared" si="2"/>
        <v>-5.5735043558011052E-2</v>
      </c>
      <c r="S56" s="31">
        <f t="shared" si="2"/>
        <v>-2.2336307646652894E-2</v>
      </c>
      <c r="T56" s="31">
        <f t="shared" si="2"/>
        <v>-3.6600458448814308E-2</v>
      </c>
      <c r="U56" s="31">
        <f t="shared" si="2"/>
        <v>-0.10971931898908518</v>
      </c>
      <c r="V56" s="31">
        <f t="shared" si="2"/>
        <v>-2.725249739187887E-2</v>
      </c>
    </row>
    <row r="57" spans="1:23">
      <c r="A57" s="30">
        <v>43191</v>
      </c>
      <c r="B57" s="26">
        <v>1017.330017</v>
      </c>
      <c r="C57" s="26">
        <v>1566.130005</v>
      </c>
      <c r="D57" s="26">
        <v>293.89999399999999</v>
      </c>
      <c r="E57" s="26">
        <v>716000</v>
      </c>
      <c r="F57" s="26">
        <v>13.946217000000001</v>
      </c>
      <c r="G57" s="26">
        <v>164.049835</v>
      </c>
      <c r="H57" s="26">
        <v>92.759429999999995</v>
      </c>
      <c r="I57" s="26">
        <v>290650</v>
      </c>
      <c r="J57" s="26">
        <v>172</v>
      </c>
      <c r="K57" s="27">
        <v>2648.0500489999999</v>
      </c>
      <c r="L57" s="26">
        <v>54</v>
      </c>
      <c r="M57" s="31">
        <f t="shared" si="2"/>
        <v>-1.4113630859930837E-2</v>
      </c>
      <c r="N57" s="31">
        <f t="shared" si="2"/>
        <v>7.8880245905968011E-2</v>
      </c>
      <c r="O57" s="31">
        <f t="shared" si="2"/>
        <v>9.9254623021348756E-2</v>
      </c>
      <c r="P57" s="31">
        <f t="shared" si="2"/>
        <v>-0.10088122485378019</v>
      </c>
      <c r="Q57" s="31">
        <f t="shared" si="2"/>
        <v>4.2837811760384446E-2</v>
      </c>
      <c r="R57" s="31">
        <f t="shared" si="2"/>
        <v>-1.5133668839569852E-2</v>
      </c>
      <c r="S57" s="31">
        <f t="shared" si="2"/>
        <v>2.4353121727337508E-2</v>
      </c>
      <c r="T57" s="31">
        <f t="shared" si="2"/>
        <v>-2.8658171488542716E-2</v>
      </c>
      <c r="U57" s="31">
        <f t="shared" si="2"/>
        <v>7.3634067469654105E-2</v>
      </c>
      <c r="V57" s="31">
        <f t="shared" si="2"/>
        <v>2.7150859477301889E-3</v>
      </c>
    </row>
    <row r="58" spans="1:23">
      <c r="A58" s="30">
        <v>43221</v>
      </c>
      <c r="B58" s="26">
        <v>1084.98999</v>
      </c>
      <c r="C58" s="26">
        <v>1629.619995</v>
      </c>
      <c r="D58" s="26">
        <v>284.73001099999999</v>
      </c>
      <c r="E58" s="26">
        <v>669000</v>
      </c>
      <c r="F58" s="26">
        <v>13.956129000000001</v>
      </c>
      <c r="G58" s="26">
        <v>185.50160199999999</v>
      </c>
      <c r="H58" s="26">
        <v>98.036163000000002</v>
      </c>
      <c r="I58" s="26">
        <v>287200</v>
      </c>
      <c r="J58" s="26">
        <v>191.779999</v>
      </c>
      <c r="K58" s="27">
        <v>2705.2700199999999</v>
      </c>
      <c r="L58" s="26">
        <v>55</v>
      </c>
      <c r="M58" s="31">
        <f t="shared" si="2"/>
        <v>6.4389196224245646E-2</v>
      </c>
      <c r="N58" s="31">
        <f t="shared" si="2"/>
        <v>3.9739244373114081E-2</v>
      </c>
      <c r="O58" s="31">
        <f t="shared" si="2"/>
        <v>-3.169815156616352E-2</v>
      </c>
      <c r="P58" s="31">
        <f t="shared" si="2"/>
        <v>-6.7896106832417188E-2</v>
      </c>
      <c r="Q58" s="31">
        <f t="shared" si="2"/>
        <v>7.1047792303544142E-4</v>
      </c>
      <c r="R58" s="31">
        <f t="shared" si="2"/>
        <v>0.12289326451310965</v>
      </c>
      <c r="S58" s="31">
        <f t="shared" si="2"/>
        <v>5.5327053328720691E-2</v>
      </c>
      <c r="T58" s="31">
        <f t="shared" si="2"/>
        <v>-1.1940956973290442E-2</v>
      </c>
      <c r="U58" s="31">
        <f t="shared" si="2"/>
        <v>0.10885439969777395</v>
      </c>
      <c r="V58" s="31">
        <f t="shared" si="2"/>
        <v>2.1378191291432879E-2</v>
      </c>
    </row>
    <row r="59" spans="1:23">
      <c r="A59" s="30">
        <v>43252</v>
      </c>
      <c r="B59" s="26">
        <v>1115.650024</v>
      </c>
      <c r="C59" s="26">
        <v>1699.8000489999999</v>
      </c>
      <c r="D59" s="26">
        <v>342.95001200000002</v>
      </c>
      <c r="E59" s="26">
        <v>763000</v>
      </c>
      <c r="F59" s="26">
        <v>13.490264</v>
      </c>
      <c r="G59" s="26">
        <v>184.46307400000001</v>
      </c>
      <c r="H59" s="26">
        <v>98.231978999999995</v>
      </c>
      <c r="I59" s="26">
        <v>282040</v>
      </c>
      <c r="J59" s="26">
        <v>194.320007</v>
      </c>
      <c r="K59" s="27">
        <v>2718.3701169999999</v>
      </c>
      <c r="L59" s="26">
        <v>56</v>
      </c>
      <c r="M59" s="31">
        <f t="shared" si="2"/>
        <v>2.7866455067084607E-2</v>
      </c>
      <c r="N59" s="31">
        <f t="shared" si="2"/>
        <v>4.2163770171944864E-2</v>
      </c>
      <c r="O59" s="31">
        <f t="shared" si="2"/>
        <v>0.1860432974922524</v>
      </c>
      <c r="P59" s="31">
        <f t="shared" si="2"/>
        <v>0.13147397115622858</v>
      </c>
      <c r="Q59" s="31">
        <f t="shared" si="2"/>
        <v>-3.3950526537943997E-2</v>
      </c>
      <c r="R59" s="31">
        <f t="shared" si="2"/>
        <v>-5.6142156004913438E-3</v>
      </c>
      <c r="S59" s="31">
        <f t="shared" si="2"/>
        <v>1.9953932714321665E-3</v>
      </c>
      <c r="T59" s="31">
        <f t="shared" si="2"/>
        <v>-1.8129932323229254E-2</v>
      </c>
      <c r="U59" s="31">
        <f t="shared" si="2"/>
        <v>1.3157444205744067E-2</v>
      </c>
      <c r="V59" s="31">
        <f t="shared" si="2"/>
        <v>4.830749144322073E-3</v>
      </c>
    </row>
    <row r="60" spans="1:23">
      <c r="A60" s="30">
        <v>43282</v>
      </c>
      <c r="B60" s="26">
        <v>1217.26001</v>
      </c>
      <c r="C60" s="26">
        <v>1777.4399410000001</v>
      </c>
      <c r="D60" s="26">
        <v>298.14001500000001</v>
      </c>
      <c r="E60" s="26">
        <v>716000</v>
      </c>
      <c r="F60" s="26">
        <v>13.63</v>
      </c>
      <c r="G60" s="26">
        <v>189.624954</v>
      </c>
      <c r="H60" s="26">
        <v>105.67334</v>
      </c>
      <c r="I60" s="26">
        <v>301550</v>
      </c>
      <c r="J60" s="26">
        <v>172.58000200000001</v>
      </c>
      <c r="K60" s="27">
        <v>2816.290039</v>
      </c>
      <c r="L60" s="26">
        <v>57</v>
      </c>
      <c r="M60" s="31">
        <f t="shared" si="2"/>
        <v>8.716522329087098E-2</v>
      </c>
      <c r="N60" s="31">
        <f t="shared" si="2"/>
        <v>4.4663467748158651E-2</v>
      </c>
      <c r="O60" s="31">
        <f t="shared" si="2"/>
        <v>-0.14002147378163621</v>
      </c>
      <c r="P60" s="31">
        <f t="shared" si="2"/>
        <v>-6.3577864323811406E-2</v>
      </c>
      <c r="Q60" s="31">
        <f t="shared" si="2"/>
        <v>1.0305005628377464E-2</v>
      </c>
      <c r="R60" s="31">
        <f t="shared" si="2"/>
        <v>2.7598892556313735E-2</v>
      </c>
      <c r="S60" s="31">
        <f t="shared" si="2"/>
        <v>7.3020823710572336E-2</v>
      </c>
      <c r="T60" s="31">
        <f t="shared" si="2"/>
        <v>6.6886935046155949E-2</v>
      </c>
      <c r="U60" s="31">
        <f t="shared" si="2"/>
        <v>-0.11864541204798135</v>
      </c>
      <c r="V60" s="31">
        <f t="shared" si="2"/>
        <v>3.5387950784307211E-2</v>
      </c>
    </row>
    <row r="61" spans="1:23">
      <c r="A61" s="30">
        <v>43313</v>
      </c>
      <c r="B61" s="26">
        <v>1218.1899410000001</v>
      </c>
      <c r="C61" s="26">
        <v>2012.709961</v>
      </c>
      <c r="D61" s="26">
        <v>301.66000400000001</v>
      </c>
      <c r="E61" s="26">
        <v>752000</v>
      </c>
      <c r="F61" s="26">
        <v>12.94</v>
      </c>
      <c r="G61" s="26">
        <v>226.834473</v>
      </c>
      <c r="H61" s="26">
        <v>111.899384</v>
      </c>
      <c r="I61" s="26">
        <v>315800</v>
      </c>
      <c r="J61" s="26">
        <v>175.729996</v>
      </c>
      <c r="K61" s="27">
        <v>2901.5200199999999</v>
      </c>
      <c r="L61" s="26">
        <v>58</v>
      </c>
      <c r="M61" s="31">
        <f t="shared" si="2"/>
        <v>7.6366261997009254E-4</v>
      </c>
      <c r="N61" s="31">
        <f t="shared" si="2"/>
        <v>0.12430795965848446</v>
      </c>
      <c r="O61" s="31">
        <f t="shared" si="2"/>
        <v>1.1737343445850732E-2</v>
      </c>
      <c r="P61" s="31">
        <f t="shared" si="2"/>
        <v>4.9056156989194209E-2</v>
      </c>
      <c r="Q61" s="31">
        <f t="shared" si="2"/>
        <v>-5.1949956635686793E-2</v>
      </c>
      <c r="R61" s="31">
        <f t="shared" si="2"/>
        <v>0.17917236257304753</v>
      </c>
      <c r="S61" s="31">
        <f t="shared" si="2"/>
        <v>5.724747259848751E-2</v>
      </c>
      <c r="T61" s="31">
        <f t="shared" si="2"/>
        <v>4.6173261924545822E-2</v>
      </c>
      <c r="U61" s="31">
        <f t="shared" si="2"/>
        <v>1.8087794775572701E-2</v>
      </c>
      <c r="V61" s="31">
        <f t="shared" si="2"/>
        <v>2.9814314708128044E-2</v>
      </c>
    </row>
    <row r="62" spans="1:23">
      <c r="A62" s="30">
        <v>43344</v>
      </c>
      <c r="B62" s="26">
        <v>1164.829956</v>
      </c>
      <c r="C62" s="26">
        <v>1952.0699460000001</v>
      </c>
      <c r="D62" s="26">
        <v>285.5</v>
      </c>
      <c r="E62" s="26">
        <v>732000</v>
      </c>
      <c r="F62" s="26">
        <v>12.51</v>
      </c>
      <c r="G62" s="26">
        <v>218.33000200000001</v>
      </c>
      <c r="H62" s="26">
        <v>109.379997</v>
      </c>
      <c r="I62" s="26">
        <v>322560</v>
      </c>
      <c r="J62" s="26">
        <v>164.179993</v>
      </c>
      <c r="K62" s="27">
        <v>2877.1298830000001</v>
      </c>
      <c r="L62" s="26">
        <v>59</v>
      </c>
      <c r="M62" s="31">
        <f t="shared" si="2"/>
        <v>-4.4790986271969084E-2</v>
      </c>
      <c r="N62" s="31">
        <f t="shared" si="2"/>
        <v>-3.0591732975234702E-2</v>
      </c>
      <c r="O62" s="31">
        <f t="shared" si="2"/>
        <v>-5.5058539504002836E-2</v>
      </c>
      <c r="P62" s="31">
        <f t="shared" si="2"/>
        <v>-2.6955809988528218E-2</v>
      </c>
      <c r="Q62" s="31">
        <f t="shared" si="2"/>
        <v>-3.3794964593934752E-2</v>
      </c>
      <c r="R62" s="31">
        <f t="shared" si="2"/>
        <v>-3.8212868822196537E-2</v>
      </c>
      <c r="S62" s="31">
        <f t="shared" si="2"/>
        <v>-2.2772079896315911E-2</v>
      </c>
      <c r="T62" s="31">
        <f t="shared" si="2"/>
        <v>2.1180063621407456E-2</v>
      </c>
      <c r="U62" s="31">
        <f t="shared" si="2"/>
        <v>-6.7985359160574493E-2</v>
      </c>
      <c r="V62" s="31">
        <f t="shared" si="2"/>
        <v>-8.4415156634687037E-3</v>
      </c>
    </row>
    <row r="63" spans="1:23">
      <c r="L63" s="25" t="s">
        <v>81</v>
      </c>
    </row>
    <row r="64" spans="1:23">
      <c r="L64" s="27" t="s">
        <v>82</v>
      </c>
      <c r="M64" s="49">
        <f>AVERAGE(M4:M62)</f>
        <v>1.3933618600374386E-2</v>
      </c>
      <c r="N64" s="49">
        <f t="shared" ref="N64:V64" si="3">AVERAGE(N4:N62)</f>
        <v>2.8464564749946849E-2</v>
      </c>
      <c r="O64" s="49">
        <f t="shared" si="3"/>
        <v>9.8210724014852879E-3</v>
      </c>
      <c r="P64" s="49">
        <f t="shared" si="3"/>
        <v>3.4553118740459181E-3</v>
      </c>
      <c r="Q64" s="49">
        <f t="shared" si="3"/>
        <v>-9.5602885495452653E-3</v>
      </c>
      <c r="R64" s="49">
        <f t="shared" si="3"/>
        <v>2.1561876906960195E-2</v>
      </c>
      <c r="S64" s="49">
        <f t="shared" si="3"/>
        <v>2.1207949291059944E-2</v>
      </c>
      <c r="T64" s="49">
        <f t="shared" si="3"/>
        <v>1.0559868705551392E-2</v>
      </c>
      <c r="U64" s="49">
        <f t="shared" si="3"/>
        <v>2.0080494138198724E-2</v>
      </c>
      <c r="V64" s="49">
        <f t="shared" si="3"/>
        <v>8.3635125697350196E-3</v>
      </c>
      <c r="W64" s="27" t="str">
        <f ca="1">_xlfn.FORMULATEXT(V64)</f>
        <v>=AVERAGE(V4:V62)</v>
      </c>
    </row>
    <row r="65" spans="12:34">
      <c r="L65" s="27" t="s">
        <v>30</v>
      </c>
      <c r="M65" s="33">
        <f>_xlfn.VAR.P(M4:M62)</f>
        <v>2.9133780137088642E-3</v>
      </c>
      <c r="N65" s="33">
        <f t="shared" ref="N65:V65" si="4">_xlfn.VAR.P(N4:N62)</f>
        <v>5.6394288579217867E-3</v>
      </c>
      <c r="O65" s="33">
        <f t="shared" si="4"/>
        <v>1.349978293662259E-2</v>
      </c>
      <c r="P65" s="33">
        <f t="shared" si="4"/>
        <v>6.5187821640435043E-3</v>
      </c>
      <c r="Q65" s="33">
        <f t="shared" si="4"/>
        <v>2.8181486090992362E-3</v>
      </c>
      <c r="R65" s="33">
        <f t="shared" si="4"/>
        <v>4.3195240610912015E-3</v>
      </c>
      <c r="S65" s="33">
        <f t="shared" si="4"/>
        <v>3.1851966420515703E-3</v>
      </c>
      <c r="T65" s="33">
        <f t="shared" si="4"/>
        <v>1.3169264091871065E-3</v>
      </c>
      <c r="U65" s="33">
        <f t="shared" si="4"/>
        <v>3.9224716050010903E-3</v>
      </c>
      <c r="V65" s="33">
        <f t="shared" si="4"/>
        <v>7.3287215643977257E-4</v>
      </c>
      <c r="W65" s="27" t="str">
        <f ca="1">_xlfn.FORMULATEXT(V65)</f>
        <v>=VAR.P(V4:V62)</v>
      </c>
    </row>
    <row r="66" spans="12:34">
      <c r="L66" s="27" t="s">
        <v>83</v>
      </c>
      <c r="M66" s="32">
        <f>SQRT(M65)</f>
        <v>5.3975716889253671E-2</v>
      </c>
      <c r="N66" s="32">
        <f t="shared" ref="N66:V66" si="5">SQRT(N65)</f>
        <v>7.5096130778634571E-2</v>
      </c>
      <c r="O66" s="32">
        <f t="shared" si="5"/>
        <v>0.11618856629041685</v>
      </c>
      <c r="P66" s="32">
        <f t="shared" si="5"/>
        <v>8.0738975495379575E-2</v>
      </c>
      <c r="Q66" s="32">
        <f t="shared" si="5"/>
        <v>5.3086237473560283E-2</v>
      </c>
      <c r="R66" s="32">
        <f t="shared" si="5"/>
        <v>6.5723086210944179E-2</v>
      </c>
      <c r="S66" s="32">
        <f t="shared" si="5"/>
        <v>5.6437546385819874E-2</v>
      </c>
      <c r="T66" s="32">
        <f t="shared" si="5"/>
        <v>3.6289480696024112E-2</v>
      </c>
      <c r="U66" s="32">
        <f t="shared" si="5"/>
        <v>6.2629638391109133E-2</v>
      </c>
      <c r="V66" s="32">
        <f t="shared" si="5"/>
        <v>2.7071611633587178E-2</v>
      </c>
      <c r="W66" s="27" t="str">
        <f ca="1">_xlfn.FORMULATEXT(V66)</f>
        <v>=SQRT(V65)</v>
      </c>
    </row>
    <row r="67" spans="12:34"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2:34">
      <c r="L68" s="25" t="s">
        <v>84</v>
      </c>
    </row>
    <row r="69" spans="12:34">
      <c r="L69" s="27" t="s">
        <v>82</v>
      </c>
      <c r="M69" s="32">
        <f>M64*12</f>
        <v>0.16720342320449263</v>
      </c>
      <c r="N69" s="32">
        <f t="shared" ref="N69:V69" si="6">N64*12</f>
        <v>0.34157477699936217</v>
      </c>
      <c r="O69" s="32">
        <f t="shared" si="6"/>
        <v>0.11785286881782345</v>
      </c>
      <c r="P69" s="32">
        <f t="shared" si="6"/>
        <v>4.1463742488551017E-2</v>
      </c>
      <c r="Q69" s="32">
        <f t="shared" si="6"/>
        <v>-0.11472346259454319</v>
      </c>
      <c r="R69" s="32">
        <f t="shared" si="6"/>
        <v>0.25874252288352234</v>
      </c>
      <c r="S69" s="32">
        <f t="shared" si="6"/>
        <v>0.25449539149271933</v>
      </c>
      <c r="T69" s="32">
        <f t="shared" si="6"/>
        <v>0.12671842446661669</v>
      </c>
      <c r="U69" s="32">
        <f t="shared" si="6"/>
        <v>0.2409659296583847</v>
      </c>
      <c r="V69" s="32">
        <f t="shared" si="6"/>
        <v>0.10036215083682024</v>
      </c>
      <c r="W69" s="27" t="str">
        <f ca="1">_xlfn.FORMULATEXT(V69)</f>
        <v>=V64*12</v>
      </c>
    </row>
    <row r="70" spans="12:34">
      <c r="L70" s="27" t="s">
        <v>30</v>
      </c>
      <c r="M70" s="33">
        <f t="shared" ref="M70:V70" si="7">M65*12</f>
        <v>3.4960536164506367E-2</v>
      </c>
      <c r="N70" s="33">
        <f t="shared" si="7"/>
        <v>6.7673146295061437E-2</v>
      </c>
      <c r="O70" s="33">
        <f t="shared" si="7"/>
        <v>0.1619973952394711</v>
      </c>
      <c r="P70" s="33">
        <f t="shared" si="7"/>
        <v>7.8225385968522049E-2</v>
      </c>
      <c r="Q70" s="33">
        <f t="shared" si="7"/>
        <v>3.3817783309190837E-2</v>
      </c>
      <c r="R70" s="33">
        <f t="shared" si="7"/>
        <v>5.1834288733094418E-2</v>
      </c>
      <c r="S70" s="33">
        <f t="shared" si="7"/>
        <v>3.8222359704618847E-2</v>
      </c>
      <c r="T70" s="33">
        <f t="shared" si="7"/>
        <v>1.5803116910245277E-2</v>
      </c>
      <c r="U70" s="33">
        <f t="shared" si="7"/>
        <v>4.706965926001308E-2</v>
      </c>
      <c r="V70" s="33">
        <f t="shared" si="7"/>
        <v>8.7944658772772712E-3</v>
      </c>
      <c r="W70" s="27" t="str">
        <f ca="1">_xlfn.FORMULATEXT(V70)</f>
        <v>=V65*12</v>
      </c>
    </row>
    <row r="71" spans="12:34">
      <c r="L71" s="27" t="s">
        <v>83</v>
      </c>
      <c r="M71" s="32">
        <f>M66*SQRT(12)</f>
        <v>0.18697736805428181</v>
      </c>
      <c r="N71" s="32">
        <f t="shared" ref="N71:V71" si="8">N66*SQRT(12)</f>
        <v>0.26014062792086406</v>
      </c>
      <c r="O71" s="32">
        <f t="shared" si="8"/>
        <v>0.40248900014717304</v>
      </c>
      <c r="P71" s="32">
        <f t="shared" si="8"/>
        <v>0.27968801541811195</v>
      </c>
      <c r="Q71" s="32">
        <f t="shared" si="8"/>
        <v>0.18389612097374655</v>
      </c>
      <c r="R71" s="32">
        <f t="shared" si="8"/>
        <v>0.22767144909516959</v>
      </c>
      <c r="S71" s="32">
        <f t="shared" si="8"/>
        <v>0.19550539558953056</v>
      </c>
      <c r="T71" s="32">
        <f t="shared" si="8"/>
        <v>0.1257104486916075</v>
      </c>
      <c r="U71" s="32">
        <f t="shared" si="8"/>
        <v>0.21695543150613467</v>
      </c>
      <c r="V71" s="32">
        <f t="shared" si="8"/>
        <v>9.3778813584291368E-2</v>
      </c>
      <c r="W71" s="27" t="str">
        <f ca="1">_xlfn.FORMULATEXT(V71)</f>
        <v>=V66*SQRT(12)</v>
      </c>
    </row>
    <row r="73" spans="12:34">
      <c r="L73" s="27" t="s">
        <v>85</v>
      </c>
      <c r="M73" s="34">
        <f>INTERCEPT(M4:M62,$V$4:$V$62)</f>
        <v>5.8035564987820171E-3</v>
      </c>
      <c r="N73" s="34">
        <f t="shared" ref="N73:V73" si="9">INTERCEPT(N4:N62,$V$4:$V$62)</f>
        <v>1.6358897957870107E-2</v>
      </c>
      <c r="O73" s="34">
        <f t="shared" si="9"/>
        <v>1.1193170986447988E-3</v>
      </c>
      <c r="P73" s="34">
        <f t="shared" si="9"/>
        <v>-3.9736397903121518E-3</v>
      </c>
      <c r="Q73" s="34">
        <f t="shared" si="9"/>
        <v>-1.7300547696359789E-2</v>
      </c>
      <c r="R73" s="34">
        <f t="shared" si="9"/>
        <v>1.0646472073364817E-2</v>
      </c>
      <c r="S73" s="34">
        <f t="shared" si="9"/>
        <v>1.0882265239544987E-2</v>
      </c>
      <c r="T73" s="34">
        <f t="shared" si="9"/>
        <v>3.067641909774022E-3</v>
      </c>
      <c r="U73" s="34">
        <f t="shared" si="9"/>
        <v>1.6225402335152749E-2</v>
      </c>
      <c r="V73" s="34">
        <f t="shared" si="9"/>
        <v>0</v>
      </c>
      <c r="W73" s="27" t="str">
        <f ca="1">_xlfn.FORMULATEXT(V73)</f>
        <v>=INTERCEPT(V4:V62,$V$4:$V$62)</v>
      </c>
    </row>
    <row r="74" spans="12:34">
      <c r="L74" s="27" t="s">
        <v>86</v>
      </c>
      <c r="M74" s="34">
        <f>SLOPE(M$4:M$62,$V$4:$V$62)</f>
        <v>0.9720870308741526</v>
      </c>
      <c r="N74" s="34">
        <f t="shared" ref="N74:V74" si="10">SLOPE(N$4:N$62,$V$4:$V$62)</f>
        <v>1.4474381058364674</v>
      </c>
      <c r="O74" s="34">
        <f t="shared" si="10"/>
        <v>1.0404426645246478</v>
      </c>
      <c r="P74" s="34">
        <f t="shared" si="10"/>
        <v>0.88825736823080315</v>
      </c>
      <c r="Q74" s="34">
        <f t="shared" si="10"/>
        <v>0.92547946598707131</v>
      </c>
      <c r="R74" s="34">
        <f t="shared" si="10"/>
        <v>1.3051220695350985</v>
      </c>
      <c r="S74" s="34">
        <f t="shared" si="10"/>
        <v>1.2346109323587835</v>
      </c>
      <c r="T74" s="34">
        <f t="shared" si="10"/>
        <v>0.89582298505647429</v>
      </c>
      <c r="U74" s="34">
        <f t="shared" si="10"/>
        <v>0.46094171209790108</v>
      </c>
      <c r="V74" s="34">
        <f t="shared" si="10"/>
        <v>1</v>
      </c>
      <c r="W74" s="27" t="str">
        <f ca="1">_xlfn.FORMULATEXT(V74)</f>
        <v>=SLOPE(V$4:V$62,$V$4:$V$62)</v>
      </c>
    </row>
    <row r="75" spans="12:34">
      <c r="L75" s="27" t="s">
        <v>87</v>
      </c>
      <c r="M75" s="34">
        <f>RSQ(M$4:M$62,$V$4:$V$62)</f>
        <v>0.23770684165622757</v>
      </c>
      <c r="N75" s="34">
        <f t="shared" ref="N75:V75" si="11">RSQ(N$4:N$62,$V$4:$V$62)</f>
        <v>0.27226580723831384</v>
      </c>
      <c r="O75" s="34">
        <f t="shared" si="11"/>
        <v>5.8767571157800742E-2</v>
      </c>
      <c r="P75" s="34">
        <f t="shared" si="11"/>
        <v>8.8703221139631111E-2</v>
      </c>
      <c r="Q75" s="34">
        <f t="shared" si="11"/>
        <v>0.22273984124124929</v>
      </c>
      <c r="R75" s="34">
        <f t="shared" si="11"/>
        <v>0.28899783671642049</v>
      </c>
      <c r="S75" s="34">
        <f t="shared" si="11"/>
        <v>0.35071327873372554</v>
      </c>
      <c r="T75" s="34">
        <f t="shared" si="11"/>
        <v>0.44659218393525069</v>
      </c>
      <c r="U75" s="34">
        <f t="shared" si="11"/>
        <v>3.9697251151773624E-2</v>
      </c>
      <c r="V75" s="34">
        <f t="shared" si="11"/>
        <v>1</v>
      </c>
      <c r="W75" s="27" t="str">
        <f ca="1">_xlfn.FORMULATEXT(V75)</f>
        <v>=RSQ(V$4:V$62,$V$4:$V$62)</v>
      </c>
    </row>
    <row r="76" spans="12:34"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2:34">
      <c r="L77" s="27" t="s">
        <v>88</v>
      </c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2:34">
      <c r="L78" s="27" t="s">
        <v>86</v>
      </c>
      <c r="M78" s="34">
        <f>_xlfn.COVARIANCE.P(M$4:M$62,$V$4:$V$62)/$V$65</f>
        <v>0.97208703087415238</v>
      </c>
      <c r="N78" s="34">
        <f t="shared" ref="N78:V78" si="12">_xlfn.COVARIANCE.P(N$4:N$62,$V$4:$V$62)/$V$65</f>
        <v>1.4474381058364669</v>
      </c>
      <c r="O78" s="34">
        <f t="shared" si="12"/>
        <v>1.0404426645246476</v>
      </c>
      <c r="P78" s="34">
        <f t="shared" si="12"/>
        <v>0.88825736823080292</v>
      </c>
      <c r="Q78" s="34">
        <f t="shared" si="12"/>
        <v>0.92547946598707109</v>
      </c>
      <c r="R78" s="34">
        <f t="shared" si="12"/>
        <v>1.305122069535098</v>
      </c>
      <c r="S78" s="34">
        <f t="shared" si="12"/>
        <v>1.2346109323587831</v>
      </c>
      <c r="T78" s="34">
        <f t="shared" si="12"/>
        <v>0.89582298505647406</v>
      </c>
      <c r="U78" s="34">
        <f t="shared" si="12"/>
        <v>0.46094171209790102</v>
      </c>
      <c r="V78" s="34">
        <f t="shared" si="12"/>
        <v>0.99999999999999967</v>
      </c>
      <c r="W78" s="27" t="str">
        <f ca="1">_xlfn.FORMULATEXT(V78)</f>
        <v>=COVARIANCE.P(V$4:V$62,$V$4:$V$62)/$V$65</v>
      </c>
    </row>
    <row r="79" spans="12:34">
      <c r="AE79" s="25" t="s">
        <v>89</v>
      </c>
    </row>
    <row r="80" spans="12:34">
      <c r="AF80" s="27" t="s">
        <v>56</v>
      </c>
      <c r="AG80" s="27" t="s">
        <v>60</v>
      </c>
      <c r="AH80" s="27" t="s">
        <v>90</v>
      </c>
    </row>
    <row r="81" spans="4:34">
      <c r="L81" s="25" t="s">
        <v>70</v>
      </c>
      <c r="O81" s="27" t="s">
        <v>91</v>
      </c>
      <c r="AE81" s="27" t="s">
        <v>92</v>
      </c>
      <c r="AF81" s="46">
        <v>0.02</v>
      </c>
      <c r="AG81" s="46">
        <v>0.08</v>
      </c>
    </row>
    <row r="82" spans="4:34">
      <c r="M82" s="29" t="s">
        <v>17</v>
      </c>
      <c r="N82" s="29" t="s">
        <v>19</v>
      </c>
      <c r="O82" s="29" t="s">
        <v>73</v>
      </c>
      <c r="P82" s="29" t="s">
        <v>74</v>
      </c>
      <c r="Q82" s="29" t="s">
        <v>75</v>
      </c>
      <c r="R82" s="29" t="s">
        <v>76</v>
      </c>
      <c r="S82" s="29" t="s">
        <v>77</v>
      </c>
      <c r="T82" s="29" t="s">
        <v>78</v>
      </c>
      <c r="U82" s="29" t="s">
        <v>79</v>
      </c>
      <c r="V82" s="29" t="s">
        <v>80</v>
      </c>
      <c r="AE82" s="29" t="s">
        <v>17</v>
      </c>
      <c r="AF82" s="48">
        <f t="array" ref="AF82:AF91">MMULT(MINVERSE($M$83:$V$92),TRANSPOSE($M$64:$V$64)-AF81)/SUM(MMULT(MINVERSE($M$83:$V$92),TRANSPOSE($M$64:$V$64)-AF81))</f>
        <v>0.25098058239788157</v>
      </c>
      <c r="AG82" s="47">
        <f t="array" ref="AG82:AG91">MMULT(MINVERSE($M$83:$V$92),TRANSPOSE($M$64:$V$64)-AG81)/SUM(MMULT(MINVERSE($M$83:$V$92),TRANSPOSE($M$64:$V$64)-AG81))</f>
        <v>5.9522734566891104E-2</v>
      </c>
      <c r="AH82" s="47">
        <f t="array" ref="AH82:AH91">MMULT(MINVERSE(M83:V92),TRANSPOSE(M93:V93))/SUM(MMULT(MINVERSE(M83:V92),TRANSPOSE(M93:V93)))</f>
        <v>1.8299176573773359E-2</v>
      </c>
    </row>
    <row r="83" spans="4:34">
      <c r="L83" s="29" t="s">
        <v>17</v>
      </c>
      <c r="M83" s="45">
        <f t="array" ref="M83:V92">MMULT(TRANSPOSE(M4:V62-M64:V64),M4:V62-M64:V64)/59</f>
        <v>2.9133780137088638E-3</v>
      </c>
      <c r="N83" s="45">
        <v>2.3483622206622711E-3</v>
      </c>
      <c r="O83" s="45">
        <v>1.1340532376450075E-3</v>
      </c>
      <c r="P83" s="45">
        <v>6.2680111217681045E-4</v>
      </c>
      <c r="Q83" s="45">
        <v>2.4554209736292248E-4</v>
      </c>
      <c r="R83" s="45">
        <v>8.7763761443009926E-4</v>
      </c>
      <c r="S83" s="45">
        <v>1.5974456883336566E-3</v>
      </c>
      <c r="T83" s="45">
        <v>1.4997641315982524E-4</v>
      </c>
      <c r="U83" s="45">
        <v>1.7541659098163039E-3</v>
      </c>
      <c r="V83" s="45">
        <v>7.1241551856387586E-4</v>
      </c>
      <c r="W83" s="27" t="str">
        <f ca="1">_xlfn.FORMULATEXT(V83)</f>
        <v>{=MMULT(TRANSPOSE(M4:V62-M64:V64),M4:V62-M64:V64)/59}</v>
      </c>
      <c r="AE83" s="29" t="s">
        <v>19</v>
      </c>
      <c r="AF83" s="48">
        <v>-0.28927619733690324</v>
      </c>
      <c r="AG83" s="47">
        <v>-0.10375334016450223</v>
      </c>
      <c r="AH83" s="47">
        <v>-6.3807668841347129E-2</v>
      </c>
    </row>
    <row r="84" spans="4:34">
      <c r="L84" s="29" t="s">
        <v>19</v>
      </c>
      <c r="M84" s="45">
        <v>2.3483622206622711E-3</v>
      </c>
      <c r="N84" s="45">
        <v>5.6394288579217902E-3</v>
      </c>
      <c r="O84" s="45">
        <v>1.7537358966491009E-3</v>
      </c>
      <c r="P84" s="45">
        <v>1.5989794220460287E-3</v>
      </c>
      <c r="Q84" s="45">
        <v>3.6032513511045179E-4</v>
      </c>
      <c r="R84" s="45">
        <v>1.7005916540407972E-3</v>
      </c>
      <c r="S84" s="45">
        <v>1.8303775303318913E-3</v>
      </c>
      <c r="T84" s="45">
        <v>4.5636026727024267E-4</v>
      </c>
      <c r="U84" s="45">
        <v>1.1712208448568515E-3</v>
      </c>
      <c r="V84" s="45">
        <v>1.0607870859374712E-3</v>
      </c>
      <c r="AE84" s="29" t="s">
        <v>73</v>
      </c>
      <c r="AF84" s="48">
        <v>-9.6389514528132311E-3</v>
      </c>
      <c r="AG84" s="47">
        <v>-2.0475319996646219E-2</v>
      </c>
      <c r="AH84" s="47">
        <v>-2.2808542019991187E-2</v>
      </c>
    </row>
    <row r="85" spans="4:34">
      <c r="L85" s="29" t="s">
        <v>73</v>
      </c>
      <c r="M85" s="45">
        <v>1.1340532376450075E-3</v>
      </c>
      <c r="N85" s="45">
        <v>1.7537358966491009E-3</v>
      </c>
      <c r="O85" s="45">
        <v>1.3499782936622594E-2</v>
      </c>
      <c r="P85" s="45">
        <v>1.2983521270946911E-3</v>
      </c>
      <c r="Q85" s="45">
        <v>5.9986428353870887E-4</v>
      </c>
      <c r="R85" s="45">
        <v>7.4571076447364239E-4</v>
      </c>
      <c r="S85" s="45">
        <v>5.8970704461412627E-4</v>
      </c>
      <c r="T85" s="45">
        <v>-4.4781679061898472E-6</v>
      </c>
      <c r="U85" s="45">
        <v>2.9358455711855232E-3</v>
      </c>
      <c r="V85" s="45">
        <v>7.6251145920212132E-4</v>
      </c>
      <c r="AE85" s="29" t="s">
        <v>74</v>
      </c>
      <c r="AF85" s="48">
        <v>8.5849505799938816E-2</v>
      </c>
      <c r="AG85" s="47">
        <v>3.4812225127553095E-2</v>
      </c>
      <c r="AH85" s="47">
        <v>2.3823183291741965E-2</v>
      </c>
    </row>
    <row r="86" spans="4:34">
      <c r="L86" s="29" t="s">
        <v>74</v>
      </c>
      <c r="M86" s="45">
        <v>6.2680111217681045E-4</v>
      </c>
      <c r="N86" s="45">
        <v>1.5989794220460287E-3</v>
      </c>
      <c r="O86" s="45">
        <v>1.2983521270946911E-3</v>
      </c>
      <c r="P86" s="45">
        <v>6.5187821640435043E-3</v>
      </c>
      <c r="Q86" s="45">
        <v>3.8130796658269935E-4</v>
      </c>
      <c r="R86" s="45">
        <v>1.0444247514750965E-3</v>
      </c>
      <c r="S86" s="45">
        <v>7.9586624223692008E-4</v>
      </c>
      <c r="T86" s="45">
        <v>-8.3306271000027545E-6</v>
      </c>
      <c r="U86" s="45">
        <v>9.0791043692199191E-4</v>
      </c>
      <c r="V86" s="45">
        <v>6.5097909292882565E-4</v>
      </c>
      <c r="AE86" s="29" t="s">
        <v>75</v>
      </c>
      <c r="AF86" s="48">
        <v>0.35603272590641888</v>
      </c>
      <c r="AG86" s="47">
        <v>8.7835058031864685E-2</v>
      </c>
      <c r="AH86" s="47">
        <v>3.0088341245382528E-2</v>
      </c>
    </row>
    <row r="87" spans="4:34">
      <c r="L87" s="29" t="s">
        <v>75</v>
      </c>
      <c r="M87" s="45">
        <v>2.4554209736292248E-4</v>
      </c>
      <c r="N87" s="45">
        <v>3.6032513511045179E-4</v>
      </c>
      <c r="O87" s="45">
        <v>5.9986428353870887E-4</v>
      </c>
      <c r="P87" s="45">
        <v>3.8130796658269935E-4</v>
      </c>
      <c r="Q87" s="45">
        <v>2.8181486090992362E-3</v>
      </c>
      <c r="R87" s="45">
        <v>5.6282145251315566E-4</v>
      </c>
      <c r="S87" s="45">
        <v>9.304787136172162E-4</v>
      </c>
      <c r="T87" s="45">
        <v>5.7615287696356125E-4</v>
      </c>
      <c r="U87" s="45">
        <v>-6.2002922186206081E-5</v>
      </c>
      <c r="V87" s="45">
        <v>6.7825813197867392E-4</v>
      </c>
      <c r="AE87" s="29" t="s">
        <v>76</v>
      </c>
      <c r="AF87" s="48">
        <v>-0.17748648191407818</v>
      </c>
      <c r="AG87" s="47">
        <v>-6.4507073244441077E-2</v>
      </c>
      <c r="AH87" s="47">
        <v>-4.0181023108161108E-2</v>
      </c>
    </row>
    <row r="88" spans="4:34">
      <c r="L88" s="29" t="s">
        <v>76</v>
      </c>
      <c r="M88" s="45">
        <v>8.7763761443009926E-4</v>
      </c>
      <c r="N88" s="45">
        <v>1.7005916540407972E-3</v>
      </c>
      <c r="O88" s="45">
        <v>7.4571076447364239E-4</v>
      </c>
      <c r="P88" s="45">
        <v>1.0444247514750965E-3</v>
      </c>
      <c r="Q88" s="45">
        <v>5.6282145251315566E-4</v>
      </c>
      <c r="R88" s="45">
        <v>4.3195240610912032E-3</v>
      </c>
      <c r="S88" s="45">
        <v>1.4911079725964816E-3</v>
      </c>
      <c r="T88" s="45">
        <v>6.2534145399634992E-4</v>
      </c>
      <c r="U88" s="45">
        <v>4.8985665509843534E-4</v>
      </c>
      <c r="V88" s="45">
        <v>9.5648762551732609E-4</v>
      </c>
      <c r="AE88" s="29" t="s">
        <v>77</v>
      </c>
      <c r="AF88" s="48">
        <v>-0.38201301934047444</v>
      </c>
      <c r="AG88" s="47">
        <v>-0.11917943106142084</v>
      </c>
      <c r="AH88" s="47">
        <v>-6.2587675791480959E-2</v>
      </c>
    </row>
    <row r="89" spans="4:34">
      <c r="L89" s="29" t="s">
        <v>77</v>
      </c>
      <c r="M89" s="45">
        <v>1.5974456883336566E-3</v>
      </c>
      <c r="N89" s="45">
        <v>1.8303775303318913E-3</v>
      </c>
      <c r="O89" s="45">
        <v>5.8970704461412627E-4</v>
      </c>
      <c r="P89" s="45">
        <v>7.9586624223692008E-4</v>
      </c>
      <c r="Q89" s="45">
        <v>9.304787136172162E-4</v>
      </c>
      <c r="R89" s="45">
        <v>1.4911079725964816E-3</v>
      </c>
      <c r="S89" s="45">
        <v>3.1851966420515681E-3</v>
      </c>
      <c r="T89" s="45">
        <v>6.0505275859700489E-4</v>
      </c>
      <c r="U89" s="45">
        <v>6.7168699918464432E-4</v>
      </c>
      <c r="V89" s="45">
        <v>9.0481197636189958E-4</v>
      </c>
      <c r="AE89" s="29" t="s">
        <v>78</v>
      </c>
      <c r="AF89" s="48">
        <v>-0.26668914861238063</v>
      </c>
      <c r="AG89" s="47">
        <v>7.1154622144571217E-2</v>
      </c>
      <c r="AH89" s="47">
        <v>0.14389712099845464</v>
      </c>
    </row>
    <row r="90" spans="4:34">
      <c r="L90" s="29" t="s">
        <v>78</v>
      </c>
      <c r="M90" s="45">
        <v>1.4997641315982524E-4</v>
      </c>
      <c r="N90" s="45">
        <v>4.5636026727024267E-4</v>
      </c>
      <c r="O90" s="45">
        <v>-4.4781679061898472E-6</v>
      </c>
      <c r="P90" s="45">
        <v>-8.3306271000027545E-6</v>
      </c>
      <c r="Q90" s="45">
        <v>5.7615287696356125E-4</v>
      </c>
      <c r="R90" s="45">
        <v>6.2534145399634992E-4</v>
      </c>
      <c r="S90" s="45">
        <v>6.0505275859700489E-4</v>
      </c>
      <c r="T90" s="45">
        <v>1.316926409187106E-3</v>
      </c>
      <c r="U90" s="45">
        <v>-3.2059401978181339E-4</v>
      </c>
      <c r="V90" s="45">
        <v>6.5652372284665233E-4</v>
      </c>
      <c r="AE90" s="29" t="s">
        <v>79</v>
      </c>
      <c r="AF90" s="48">
        <v>-0.10006349777275485</v>
      </c>
      <c r="AG90" s="47">
        <v>9.5052191423833449E-2</v>
      </c>
      <c r="AH90" s="47">
        <v>0.13706333392901296</v>
      </c>
    </row>
    <row r="91" spans="4:34">
      <c r="L91" s="29" t="s">
        <v>79</v>
      </c>
      <c r="M91" s="45">
        <v>1.7541659098163039E-3</v>
      </c>
      <c r="N91" s="45">
        <v>1.1712208448568515E-3</v>
      </c>
      <c r="O91" s="45">
        <v>2.9358455711855232E-3</v>
      </c>
      <c r="P91" s="45">
        <v>9.0791043692199191E-4</v>
      </c>
      <c r="Q91" s="45">
        <v>-6.2002922186206081E-5</v>
      </c>
      <c r="R91" s="45">
        <v>4.8985665509843534E-4</v>
      </c>
      <c r="S91" s="45">
        <v>6.7168699918464432E-4</v>
      </c>
      <c r="T91" s="45">
        <v>-3.2059401978181339E-4</v>
      </c>
      <c r="U91" s="45">
        <v>3.9224716050010894E-3</v>
      </c>
      <c r="V91" s="45">
        <v>3.3781134653822952E-4</v>
      </c>
      <c r="AE91" s="29" t="s">
        <v>80</v>
      </c>
      <c r="AF91" s="48">
        <v>1.5323044823251655</v>
      </c>
      <c r="AG91" s="47">
        <v>0.95953833317229686</v>
      </c>
      <c r="AH91" s="47">
        <v>0.83621375372261497</v>
      </c>
    </row>
    <row r="92" spans="4:34">
      <c r="D92" s="36" t="s">
        <v>93</v>
      </c>
      <c r="L92" s="29" t="s">
        <v>80</v>
      </c>
      <c r="M92" s="45">
        <v>7.1241551856387586E-4</v>
      </c>
      <c r="N92" s="45">
        <v>1.0607870859374712E-3</v>
      </c>
      <c r="O92" s="45">
        <v>7.6251145920212132E-4</v>
      </c>
      <c r="P92" s="45">
        <v>6.5097909292882565E-4</v>
      </c>
      <c r="Q92" s="45">
        <v>6.7825813197867392E-4</v>
      </c>
      <c r="R92" s="45">
        <v>9.5648762551732609E-4</v>
      </c>
      <c r="S92" s="45">
        <v>9.0481197636189958E-4</v>
      </c>
      <c r="T92" s="45">
        <v>6.5652372284665233E-4</v>
      </c>
      <c r="U92" s="45">
        <v>3.3781134653822952E-4</v>
      </c>
      <c r="V92" s="45">
        <v>7.3287215643977235E-4</v>
      </c>
      <c r="AF92" s="46">
        <f>SUM(AF82:AF91)</f>
        <v>1.0000000000000002</v>
      </c>
      <c r="AG92" s="46">
        <f>SUM(AG82:AG91)</f>
        <v>1</v>
      </c>
      <c r="AH92" s="46">
        <f>SUM(AH82:AH91)</f>
        <v>1</v>
      </c>
    </row>
    <row r="93" spans="4:34">
      <c r="D93" s="37" t="s">
        <v>94</v>
      </c>
      <c r="M93" s="27">
        <v>1</v>
      </c>
      <c r="N93" s="27">
        <v>1</v>
      </c>
      <c r="O93" s="27">
        <v>1</v>
      </c>
      <c r="P93" s="27">
        <v>1</v>
      </c>
      <c r="Q93" s="27">
        <v>1</v>
      </c>
      <c r="R93" s="27">
        <v>1</v>
      </c>
      <c r="S93" s="27">
        <v>1</v>
      </c>
      <c r="T93" s="27">
        <v>1</v>
      </c>
      <c r="U93" s="27">
        <v>1</v>
      </c>
      <c r="V93" s="27">
        <v>1</v>
      </c>
    </row>
    <row r="94" spans="4:34">
      <c r="D94" s="26" t="s">
        <v>205</v>
      </c>
      <c r="L94" s="25" t="s">
        <v>95</v>
      </c>
      <c r="AE94" s="27" t="s">
        <v>21</v>
      </c>
      <c r="AF94" s="27">
        <f>MMULT($M$64:$V$64,AF82:AF91)</f>
        <v>-1.1877590449356179E-2</v>
      </c>
      <c r="AG94" s="27">
        <f>MMULT($M$64:$V$64,AG82:AG91)</f>
        <v>3.7222868550997427E-3</v>
      </c>
      <c r="AH94" s="27">
        <f>MMULT($M$64:$V$64,AH82:AH91)</f>
        <v>7.081159077007522E-3</v>
      </c>
    </row>
    <row r="95" spans="4:34">
      <c r="M95" s="29" t="s">
        <v>17</v>
      </c>
      <c r="N95" s="29" t="s">
        <v>19</v>
      </c>
      <c r="O95" s="29" t="s">
        <v>73</v>
      </c>
      <c r="P95" s="29" t="s">
        <v>74</v>
      </c>
      <c r="Q95" s="29" t="s">
        <v>75</v>
      </c>
      <c r="R95" s="29" t="s">
        <v>76</v>
      </c>
      <c r="S95" s="29" t="s">
        <v>77</v>
      </c>
      <c r="T95" s="29" t="s">
        <v>78</v>
      </c>
      <c r="U95" s="29" t="s">
        <v>79</v>
      </c>
      <c r="V95" s="29" t="s">
        <v>80</v>
      </c>
      <c r="AE95" s="27" t="s">
        <v>30</v>
      </c>
      <c r="AF95" s="27">
        <f t="array" ref="AF95">MMULT(MMULT(TRANSPOSE(AF82:AF91),$M$83:$V$92),AF82:AF91)</f>
        <v>1.535845682220685E-3</v>
      </c>
      <c r="AG95" s="27">
        <f t="array" ref="AG95">MMULT(MMULT(TRANSPOSE(AG82:AG91),$M$83:$V$92),AG82:AG91)</f>
        <v>6.5109378883725479E-4</v>
      </c>
      <c r="AH95" s="27">
        <f t="array" ref="AH95">MMULT(MMULT(TRANSPOSE(AH82:AH91),$M$83:$V$92),AH82:AH91)</f>
        <v>6.224230179001694E-4</v>
      </c>
    </row>
    <row r="96" spans="4:34">
      <c r="L96" s="29" t="s">
        <v>17</v>
      </c>
      <c r="M96" s="38">
        <v>1</v>
      </c>
      <c r="N96" s="38">
        <v>0.57936079664990447</v>
      </c>
      <c r="O96" s="38">
        <v>0.18083047822274612</v>
      </c>
      <c r="P96" s="38">
        <v>0.14382954443667842</v>
      </c>
      <c r="Q96" s="38">
        <v>8.5693049187317974E-2</v>
      </c>
      <c r="R96" s="38">
        <v>0.2473995243437995</v>
      </c>
      <c r="S96" s="38">
        <v>0.52439622621645021</v>
      </c>
      <c r="T96" s="38">
        <v>7.6567380624412734E-2</v>
      </c>
      <c r="U96" s="38">
        <v>0.51891036227487142</v>
      </c>
      <c r="V96" s="38">
        <v>0.48755188611698314</v>
      </c>
      <c r="W96" s="39"/>
      <c r="AE96" s="27" t="s">
        <v>96</v>
      </c>
      <c r="AF96" s="27">
        <f>SQRT(AF95)</f>
        <v>3.9189867086029839E-2</v>
      </c>
      <c r="AG96" s="27">
        <f>SQRT(AG95)</f>
        <v>2.5516539515327206E-2</v>
      </c>
      <c r="AH96" s="27">
        <f>SQRT(AH95)</f>
        <v>2.4948407121501152E-2</v>
      </c>
    </row>
    <row r="97" spans="12:35">
      <c r="L97" s="29" t="s">
        <v>19</v>
      </c>
      <c r="M97" s="38">
        <v>0.57936079664990447</v>
      </c>
      <c r="N97" s="38">
        <v>1</v>
      </c>
      <c r="O97" s="38">
        <v>0.200994066808518</v>
      </c>
      <c r="P97" s="38">
        <v>0.2637194001155525</v>
      </c>
      <c r="Q97" s="38">
        <v>9.0384727183030755E-2</v>
      </c>
      <c r="R97" s="38">
        <v>0.34455974190346278</v>
      </c>
      <c r="S97" s="38">
        <v>0.43187194240198817</v>
      </c>
      <c r="T97" s="38">
        <v>0.16745939242028618</v>
      </c>
      <c r="U97" s="38">
        <v>0.24902407052970807</v>
      </c>
      <c r="V97" s="38">
        <v>0.52179096124627722</v>
      </c>
      <c r="W97" s="39"/>
      <c r="AE97" s="27" t="s">
        <v>24</v>
      </c>
      <c r="AF97" s="27">
        <f t="array" ref="AF97">MMULT(MMULT(TRANSPOSE(AF82:AF91),M83:V92),AG82:AG91)</f>
        <v>7.8425172974536626E-4</v>
      </c>
    </row>
    <row r="98" spans="12:35">
      <c r="L98" s="29" t="s">
        <v>73</v>
      </c>
      <c r="M98" s="38">
        <v>0.18083047822274612</v>
      </c>
      <c r="N98" s="38">
        <v>0.200994066808518</v>
      </c>
      <c r="O98" s="38">
        <v>1</v>
      </c>
      <c r="P98" s="38">
        <v>0.13840311562039295</v>
      </c>
      <c r="Q98" s="38">
        <v>9.7254043338558832E-2</v>
      </c>
      <c r="R98" s="38">
        <v>9.7653782709342898E-2</v>
      </c>
      <c r="S98" s="38">
        <v>8.9930042469520965E-2</v>
      </c>
      <c r="T98" s="38">
        <v>-1.0620775451701682E-3</v>
      </c>
      <c r="U98" s="38">
        <v>0.4034501771616264</v>
      </c>
      <c r="V98" s="38">
        <v>0.24242023669199059</v>
      </c>
      <c r="W98" s="39"/>
    </row>
    <row r="99" spans="12:35">
      <c r="L99" s="29" t="s">
        <v>74</v>
      </c>
      <c r="M99" s="38">
        <v>0.14382954443667842</v>
      </c>
      <c r="N99" s="38">
        <v>0.2637194001155525</v>
      </c>
      <c r="O99" s="38">
        <v>0.13840311562039295</v>
      </c>
      <c r="P99" s="38">
        <v>1</v>
      </c>
      <c r="Q99" s="38">
        <v>8.8963262095326331E-2</v>
      </c>
      <c r="R99" s="38">
        <v>0.19682305679835013</v>
      </c>
      <c r="S99" s="38">
        <v>0.17465809741227262</v>
      </c>
      <c r="T99" s="38">
        <v>-2.843241221942829E-3</v>
      </c>
      <c r="U99" s="38">
        <v>0.17954770987199736</v>
      </c>
      <c r="V99" s="38">
        <v>0.29783085995180414</v>
      </c>
      <c r="W99" s="39"/>
      <c r="AE99" s="27" t="s">
        <v>97</v>
      </c>
      <c r="AF99" s="35">
        <v>0.25</v>
      </c>
    </row>
    <row r="100" spans="12:35">
      <c r="L100" s="29" t="s">
        <v>75</v>
      </c>
      <c r="M100" s="38">
        <v>8.5693049187317974E-2</v>
      </c>
      <c r="N100" s="38">
        <v>9.0384727183030755E-2</v>
      </c>
      <c r="O100" s="38">
        <v>9.7254043338558832E-2</v>
      </c>
      <c r="P100" s="38">
        <v>8.8963262095326331E-2</v>
      </c>
      <c r="Q100" s="38">
        <v>1</v>
      </c>
      <c r="R100" s="38">
        <v>0.16131351273283112</v>
      </c>
      <c r="S100" s="38">
        <v>0.31056776181679208</v>
      </c>
      <c r="T100" s="38">
        <v>0.29907150477551758</v>
      </c>
      <c r="U100" s="38">
        <v>-1.8648774972254086E-2</v>
      </c>
      <c r="V100" s="38">
        <v>0.47195321933561318</v>
      </c>
      <c r="W100" s="39"/>
      <c r="AE100" s="27" t="s">
        <v>98</v>
      </c>
      <c r="AF100" s="35">
        <f>1-AF99</f>
        <v>0.75</v>
      </c>
    </row>
    <row r="101" spans="12:35">
      <c r="L101" s="29" t="s">
        <v>76</v>
      </c>
      <c r="M101" s="38">
        <v>0.2473995243437995</v>
      </c>
      <c r="N101" s="38">
        <v>0.34455974190346278</v>
      </c>
      <c r="O101" s="38">
        <v>9.7653782709342898E-2</v>
      </c>
      <c r="P101" s="38">
        <v>0.19682305679835013</v>
      </c>
      <c r="Q101" s="38">
        <v>0.16131351273283112</v>
      </c>
      <c r="R101" s="38">
        <v>1</v>
      </c>
      <c r="S101" s="38">
        <v>0.40199719147608143</v>
      </c>
      <c r="T101" s="38">
        <v>0.2621914448820411</v>
      </c>
      <c r="U101" s="38">
        <v>0.11900663071135086</v>
      </c>
      <c r="V101" s="38">
        <v>0.53758519019446627</v>
      </c>
      <c r="W101" s="38"/>
      <c r="AE101" s="27" t="s">
        <v>21</v>
      </c>
      <c r="AF101" s="27">
        <f>AF99*AF94+AF100*AG94</f>
        <v>-1.7768247101423778E-4</v>
      </c>
    </row>
    <row r="102" spans="12:35">
      <c r="L102" s="29" t="s">
        <v>77</v>
      </c>
      <c r="M102" s="38">
        <v>0.52439622621645021</v>
      </c>
      <c r="N102" s="38">
        <v>0.43187194240198817</v>
      </c>
      <c r="O102" s="38">
        <v>8.9930042469520965E-2</v>
      </c>
      <c r="P102" s="38">
        <v>0.17465809741227262</v>
      </c>
      <c r="Q102" s="38">
        <v>0.31056776181679208</v>
      </c>
      <c r="R102" s="38">
        <v>0.40199719147608143</v>
      </c>
      <c r="S102" s="38">
        <v>1</v>
      </c>
      <c r="T102" s="38">
        <v>0.29542304299859312</v>
      </c>
      <c r="U102" s="38">
        <v>0.19002857585980543</v>
      </c>
      <c r="V102" s="38">
        <v>0.5922105020461268</v>
      </c>
      <c r="W102" s="38"/>
      <c r="AE102" s="27" t="s">
        <v>30</v>
      </c>
      <c r="AF102" s="27">
        <f>AF99^2*AF95+AF100^2*AG95+2*AF99*AF100*AF97</f>
        <v>7.5632501001426098E-4</v>
      </c>
    </row>
    <row r="103" spans="12:35">
      <c r="L103" s="29" t="s">
        <v>78</v>
      </c>
      <c r="M103" s="38">
        <v>7.6567380624412734E-2</v>
      </c>
      <c r="N103" s="38">
        <v>0.16745939242028618</v>
      </c>
      <c r="O103" s="38">
        <v>-1.0620775451701682E-3</v>
      </c>
      <c r="P103" s="38">
        <v>-2.843241221942829E-3</v>
      </c>
      <c r="Q103" s="38">
        <v>0.29907150477551758</v>
      </c>
      <c r="R103" s="38">
        <v>0.2621914448820411</v>
      </c>
      <c r="S103" s="38">
        <v>0.29542304299859312</v>
      </c>
      <c r="T103" s="38">
        <v>1</v>
      </c>
      <c r="U103" s="38">
        <v>-0.14105703776022999</v>
      </c>
      <c r="V103" s="38">
        <v>0.66827552995396355</v>
      </c>
      <c r="W103" s="38"/>
      <c r="AE103" s="27" t="s">
        <v>96</v>
      </c>
      <c r="AF103" s="27">
        <f>SQRT(AF102)</f>
        <v>2.7501363784624592E-2</v>
      </c>
    </row>
    <row r="104" spans="12:35">
      <c r="L104" s="29" t="s">
        <v>79</v>
      </c>
      <c r="M104" s="38">
        <v>0.51891036227487142</v>
      </c>
      <c r="N104" s="38">
        <v>0.24902407052970807</v>
      </c>
      <c r="O104" s="38">
        <v>0.4034501771616264</v>
      </c>
      <c r="P104" s="38">
        <v>0.17954770987199736</v>
      </c>
      <c r="Q104" s="38">
        <v>-1.8648774972254086E-2</v>
      </c>
      <c r="R104" s="38">
        <v>0.11900663071135086</v>
      </c>
      <c r="S104" s="38">
        <v>0.19002857585980543</v>
      </c>
      <c r="T104" s="38">
        <v>-0.14105703776022999</v>
      </c>
      <c r="U104" s="38">
        <v>1</v>
      </c>
      <c r="V104" s="38">
        <v>0.19924169029541394</v>
      </c>
      <c r="W104" s="38"/>
    </row>
    <row r="105" spans="12:35">
      <c r="L105" s="29" t="s">
        <v>80</v>
      </c>
      <c r="M105" s="38">
        <v>0.48755188611698314</v>
      </c>
      <c r="N105" s="38">
        <v>0.52179096124627722</v>
      </c>
      <c r="O105" s="38">
        <v>0.24242023669199059</v>
      </c>
      <c r="P105" s="38">
        <v>0.29783085995180414</v>
      </c>
      <c r="Q105" s="38">
        <v>0.47195321933561318</v>
      </c>
      <c r="R105" s="38">
        <v>0.53758519019446627</v>
      </c>
      <c r="S105" s="38">
        <v>0.5922105020461268</v>
      </c>
      <c r="T105" s="38">
        <v>0.66827552995396355</v>
      </c>
      <c r="U105" s="38">
        <v>0.19924169029541394</v>
      </c>
      <c r="V105" s="38">
        <v>1</v>
      </c>
      <c r="W105" s="38"/>
      <c r="AE105" s="25" t="s">
        <v>99</v>
      </c>
    </row>
    <row r="106" spans="12:35"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AF106" s="27" t="s">
        <v>96</v>
      </c>
      <c r="AG106" s="27" t="s">
        <v>21</v>
      </c>
    </row>
    <row r="107" spans="12:35">
      <c r="L107" s="40" t="s">
        <v>100</v>
      </c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AE107" s="27" t="s">
        <v>97</v>
      </c>
      <c r="AF107" s="41">
        <f>AF103</f>
        <v>2.7501363784624592E-2</v>
      </c>
      <c r="AG107" s="41">
        <f>AF101</f>
        <v>-1.7768247101423778E-4</v>
      </c>
    </row>
    <row r="108" spans="12:35">
      <c r="L108" s="29" t="s">
        <v>101</v>
      </c>
      <c r="M108" s="42">
        <f>MIN(M96:V105)</f>
        <v>-0.14105703776022999</v>
      </c>
      <c r="N108" s="39" t="str">
        <f ca="1">_xlfn.FORMULATEXT(M108)</f>
        <v>=MIN(M96:V105)</v>
      </c>
      <c r="O108" s="42"/>
      <c r="P108" s="42"/>
      <c r="Q108" s="42"/>
      <c r="R108" s="42"/>
      <c r="S108" s="42"/>
      <c r="T108" s="42"/>
      <c r="U108" s="42"/>
      <c r="V108" s="43"/>
      <c r="W108" s="39"/>
      <c r="AE108" s="35">
        <v>-1</v>
      </c>
      <c r="AF108" s="41">
        <v>3.1673552351895097E-2</v>
      </c>
      <c r="AG108" s="41">
        <v>1.9322164159555663E-2</v>
      </c>
      <c r="AI108" s="35"/>
    </row>
    <row r="109" spans="12:35">
      <c r="L109" s="29" t="s">
        <v>102</v>
      </c>
      <c r="M109" s="42">
        <f>LARGE(M96:V105,11)</f>
        <v>0.66827552995396355</v>
      </c>
      <c r="N109" s="39" t="str">
        <f ca="1">_xlfn.FORMULATEXT(M109)</f>
        <v>=LARGE(M96:V105,11)</v>
      </c>
      <c r="O109" s="42"/>
      <c r="P109" s="42"/>
      <c r="Q109" s="42"/>
      <c r="R109" s="42"/>
      <c r="S109" s="42"/>
      <c r="T109" s="42"/>
      <c r="U109" s="42"/>
      <c r="V109" s="43"/>
      <c r="W109" s="39"/>
      <c r="AE109" s="35">
        <v>-0.8</v>
      </c>
      <c r="AF109" s="41">
        <v>2.8876290114682134E-2</v>
      </c>
      <c r="AG109" s="41">
        <v>1.620218869866448E-2</v>
      </c>
      <c r="AI109" s="35"/>
    </row>
    <row r="110" spans="12:35">
      <c r="L110" s="29" t="s">
        <v>82</v>
      </c>
      <c r="M110" s="42">
        <f>AVERAGEIF(M96:V105,"&lt;1")</f>
        <v>0.25481183556404824</v>
      </c>
      <c r="N110" s="39" t="str">
        <f ca="1">_xlfn.FORMULATEXT(M110)</f>
        <v>=AVERAGEIF(M96:V105,"&lt;1")</v>
      </c>
      <c r="O110" s="42"/>
      <c r="P110" s="42"/>
      <c r="Q110" s="42"/>
      <c r="R110" s="42"/>
      <c r="S110" s="42"/>
      <c r="T110" s="42"/>
      <c r="U110" s="42"/>
      <c r="V110" s="43"/>
      <c r="W110" s="39"/>
      <c r="AE110" s="35">
        <v>-0.6</v>
      </c>
      <c r="AF110" s="41">
        <v>2.6719678589229242E-2</v>
      </c>
      <c r="AG110" s="41">
        <v>1.3082213237773296E-2</v>
      </c>
      <c r="AI110" s="35"/>
    </row>
    <row r="111" spans="12:35">
      <c r="M111" s="42"/>
      <c r="N111" s="42"/>
      <c r="O111" s="42"/>
      <c r="P111" s="42"/>
      <c r="Q111" s="42"/>
      <c r="R111" s="42"/>
      <c r="S111" s="42"/>
      <c r="T111" s="42"/>
      <c r="U111" s="42"/>
      <c r="V111" s="43"/>
      <c r="W111" s="39"/>
      <c r="AE111" s="35">
        <v>-0.4</v>
      </c>
      <c r="AF111" s="41">
        <v>2.5367640764594541E-2</v>
      </c>
      <c r="AG111" s="41">
        <v>9.9622377768821112E-3</v>
      </c>
      <c r="AI111" s="35"/>
    </row>
    <row r="112" spans="12:35">
      <c r="L112" s="29" t="s">
        <v>103</v>
      </c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AE112" s="35">
        <v>-0.2</v>
      </c>
      <c r="AF112" s="41">
        <v>2.4951313651523407E-2</v>
      </c>
      <c r="AG112" s="41">
        <v>6.8422623159909279E-3</v>
      </c>
      <c r="AI112" s="35"/>
    </row>
    <row r="113" spans="13:35">
      <c r="M113" s="38">
        <v>1</v>
      </c>
      <c r="N113" s="38">
        <v>0.57936079664990447</v>
      </c>
      <c r="O113" s="38">
        <v>0.18083047822274612</v>
      </c>
      <c r="P113" s="38">
        <v>0.14382954443667842</v>
      </c>
      <c r="Q113" s="38">
        <v>8.5693049187317974E-2</v>
      </c>
      <c r="R113" s="38">
        <v>0.2473995243437995</v>
      </c>
      <c r="S113" s="38">
        <v>0.52439622621645021</v>
      </c>
      <c r="T113" s="38">
        <v>7.6567380624412734E-2</v>
      </c>
      <c r="U113" s="38">
        <v>0.51891036227487142</v>
      </c>
      <c r="V113" s="38">
        <v>0.48755188611698314</v>
      </c>
      <c r="W113" s="39"/>
      <c r="AE113" s="35">
        <v>0</v>
      </c>
      <c r="AF113" s="41">
        <v>2.5516539515327206E-2</v>
      </c>
      <c r="AG113" s="41">
        <v>3.7222868550997427E-3</v>
      </c>
      <c r="AI113" s="35"/>
    </row>
    <row r="114" spans="13:35">
      <c r="M114" s="38"/>
      <c r="N114" s="38">
        <v>1</v>
      </c>
      <c r="O114" s="38">
        <v>0.200994066808518</v>
      </c>
      <c r="P114" s="38">
        <v>0.2637194001155525</v>
      </c>
      <c r="Q114" s="38">
        <v>9.0384727183030755E-2</v>
      </c>
      <c r="R114" s="38">
        <v>0.34455974190346278</v>
      </c>
      <c r="S114" s="38">
        <v>0.43187194240198817</v>
      </c>
      <c r="T114" s="38">
        <v>0.16745939242028618</v>
      </c>
      <c r="U114" s="38">
        <v>0.24902407052970807</v>
      </c>
      <c r="V114" s="38">
        <v>0.52179096124627722</v>
      </c>
      <c r="W114" s="39"/>
      <c r="AE114" s="35">
        <v>0.2</v>
      </c>
      <c r="AF114" s="41">
        <v>2.7001748196425871E-2</v>
      </c>
      <c r="AG114" s="41">
        <v>6.023113942085585E-4</v>
      </c>
      <c r="AI114" s="35"/>
    </row>
    <row r="115" spans="13:35">
      <c r="M115" s="38"/>
      <c r="N115" s="38"/>
      <c r="O115" s="38">
        <v>1</v>
      </c>
      <c r="P115" s="38">
        <v>0.13840311562039295</v>
      </c>
      <c r="Q115" s="38">
        <v>9.7254043338558832E-2</v>
      </c>
      <c r="R115" s="38">
        <v>9.7653782709342898E-2</v>
      </c>
      <c r="S115" s="38">
        <v>8.9930042469520965E-2</v>
      </c>
      <c r="T115" s="38">
        <v>-1.0620775451701682E-3</v>
      </c>
      <c r="U115" s="38">
        <v>0.4034501771616264</v>
      </c>
      <c r="V115" s="38">
        <v>0.24242023669199059</v>
      </c>
      <c r="W115" s="39"/>
      <c r="AE115" s="35">
        <v>0.4</v>
      </c>
      <c r="AF115" s="41">
        <v>2.9267215504972407E-2</v>
      </c>
      <c r="AG115" s="41">
        <v>-2.5176640666826262E-3</v>
      </c>
      <c r="AI115" s="35"/>
    </row>
    <row r="116" spans="13:35">
      <c r="M116" s="38"/>
      <c r="N116" s="38"/>
      <c r="O116" s="38"/>
      <c r="P116" s="38">
        <v>1</v>
      </c>
      <c r="Q116" s="38">
        <v>8.8963262095326331E-2</v>
      </c>
      <c r="R116" s="38">
        <v>0.19682305679835013</v>
      </c>
      <c r="S116" s="38">
        <v>0.17465809741227262</v>
      </c>
      <c r="T116" s="38">
        <v>-2.843241221942829E-3</v>
      </c>
      <c r="U116" s="38">
        <v>0.17954770987199736</v>
      </c>
      <c r="V116" s="38">
        <v>0.29783085995180414</v>
      </c>
      <c r="W116" s="39"/>
      <c r="AE116" s="35">
        <v>0.6</v>
      </c>
      <c r="AF116" s="41">
        <v>3.2148410257603455E-2</v>
      </c>
      <c r="AG116" s="41">
        <v>-5.63763952757381E-3</v>
      </c>
      <c r="AI116" s="35"/>
    </row>
    <row r="117" spans="13:35">
      <c r="M117" s="38"/>
      <c r="N117" s="38"/>
      <c r="O117" s="38"/>
      <c r="P117" s="38"/>
      <c r="Q117" s="38">
        <v>1</v>
      </c>
      <c r="R117" s="38">
        <v>0.16131351273283112</v>
      </c>
      <c r="S117" s="38">
        <v>0.31056776181679208</v>
      </c>
      <c r="T117" s="38">
        <v>0.29907150477551758</v>
      </c>
      <c r="U117" s="38">
        <v>-1.8648774972254086E-2</v>
      </c>
      <c r="V117" s="38">
        <v>0.47195321933561318</v>
      </c>
      <c r="W117" s="39"/>
      <c r="AE117" s="35">
        <v>0.8</v>
      </c>
      <c r="AF117" s="41">
        <v>3.5495711595814584E-2</v>
      </c>
      <c r="AG117" s="41">
        <v>-8.757614988464996E-3</v>
      </c>
      <c r="AI117" s="35"/>
    </row>
    <row r="118" spans="13:35">
      <c r="M118" s="38"/>
      <c r="N118" s="38"/>
      <c r="O118" s="38"/>
      <c r="P118" s="38"/>
      <c r="Q118" s="38"/>
      <c r="R118" s="38">
        <v>1</v>
      </c>
      <c r="S118" s="38">
        <v>0.40199719147608143</v>
      </c>
      <c r="T118" s="38">
        <v>0.2621914448820411</v>
      </c>
      <c r="U118" s="38">
        <v>0.11900663071135086</v>
      </c>
      <c r="V118" s="38">
        <v>0.53758519019446627</v>
      </c>
      <c r="W118" s="39"/>
      <c r="AE118" s="35">
        <v>1</v>
      </c>
      <c r="AF118" s="41">
        <v>3.9189867086029839E-2</v>
      </c>
      <c r="AG118" s="41">
        <v>-1.1877590449356179E-2</v>
      </c>
      <c r="AI118" s="35"/>
    </row>
    <row r="119" spans="13:35">
      <c r="M119" s="38"/>
      <c r="N119" s="38"/>
      <c r="O119" s="38"/>
      <c r="P119" s="38"/>
      <c r="Q119" s="38"/>
      <c r="R119" s="38"/>
      <c r="S119" s="38">
        <v>1</v>
      </c>
      <c r="T119" s="38">
        <v>0.29542304299859312</v>
      </c>
      <c r="U119" s="38">
        <v>0.19002857585980543</v>
      </c>
      <c r="V119" s="38">
        <v>0.5922105020461268</v>
      </c>
      <c r="W119" s="39"/>
      <c r="AE119" s="35">
        <v>1.2</v>
      </c>
      <c r="AF119" s="41">
        <v>4.3141867178803243E-2</v>
      </c>
      <c r="AG119" s="41">
        <v>-1.4997565910247363E-2</v>
      </c>
      <c r="AI119" s="35"/>
    </row>
    <row r="120" spans="13:35">
      <c r="M120" s="38"/>
      <c r="N120" s="38"/>
      <c r="O120" s="38"/>
      <c r="P120" s="38"/>
      <c r="Q120" s="38"/>
      <c r="R120" s="38"/>
      <c r="S120" s="38"/>
      <c r="T120" s="38">
        <v>1</v>
      </c>
      <c r="U120" s="38">
        <v>-0.14105703776022999</v>
      </c>
      <c r="V120" s="38">
        <v>0.66827552995396355</v>
      </c>
      <c r="W120" s="39"/>
      <c r="AE120" s="35">
        <v>1.4</v>
      </c>
      <c r="AF120" s="41">
        <v>4.7287108243703094E-2</v>
      </c>
      <c r="AG120" s="41">
        <v>-1.8117541371138544E-2</v>
      </c>
      <c r="AI120" s="35"/>
    </row>
    <row r="121" spans="13:35">
      <c r="M121" s="38"/>
      <c r="N121" s="38"/>
      <c r="O121" s="38"/>
      <c r="P121" s="38"/>
      <c r="Q121" s="38"/>
      <c r="R121" s="38"/>
      <c r="S121" s="38"/>
      <c r="T121" s="38"/>
      <c r="U121" s="38">
        <v>1</v>
      </c>
      <c r="V121" s="38">
        <v>0.19924169029541394</v>
      </c>
      <c r="W121" s="39"/>
      <c r="AE121" s="35">
        <v>1.6</v>
      </c>
      <c r="AF121" s="41">
        <v>5.1579020825867399E-2</v>
      </c>
      <c r="AG121" s="41">
        <v>-2.1237516832029735E-2</v>
      </c>
      <c r="AI121" s="35"/>
    </row>
    <row r="122" spans="13:35">
      <c r="M122" s="38"/>
      <c r="N122" s="38"/>
      <c r="O122" s="38"/>
      <c r="P122" s="38"/>
      <c r="Q122" s="38"/>
      <c r="R122" s="38"/>
      <c r="S122" s="38"/>
      <c r="T122" s="38"/>
      <c r="U122" s="38"/>
      <c r="V122" s="38">
        <v>1</v>
      </c>
      <c r="W122" s="39"/>
    </row>
    <row r="123" spans="13:35"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39"/>
    </row>
  </sheetData>
  <phoneticPr fontId="3" type="noConversion"/>
  <hyperlinks>
    <hyperlink ref="D93" r:id="rId1"/>
  </hyperlinks>
  <pageMargins left="0.7" right="0.7" top="0.75" bottom="0.75" header="0.3" footer="0.3"/>
  <pageSetup paperSize="9" scale="46"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6"/>
  <sheetViews>
    <sheetView zoomScale="90" zoomScaleNormal="90" zoomScalePageLayoutView="120" workbookViewId="0">
      <selection activeCell="B18" sqref="B18"/>
    </sheetView>
  </sheetViews>
  <sheetFormatPr defaultColWidth="12.42578125" defaultRowHeight="15"/>
  <cols>
    <col min="1" max="1" width="21.140625" style="54" bestFit="1" customWidth="1"/>
    <col min="2" max="2" width="16.42578125" style="54" bestFit="1" customWidth="1"/>
    <col min="3" max="3" width="19.85546875" style="54" bestFit="1" customWidth="1"/>
    <col min="4" max="4" width="16" style="54" bestFit="1" customWidth="1"/>
    <col min="5" max="5" width="14.42578125" style="54" bestFit="1" customWidth="1"/>
    <col min="6" max="6" width="17.42578125" style="54" customWidth="1"/>
    <col min="7" max="9" width="9.140625" style="54" bestFit="1" customWidth="1"/>
    <col min="10" max="10" width="10.42578125" style="54" bestFit="1" customWidth="1"/>
    <col min="11" max="11" width="7" style="54" bestFit="1" customWidth="1"/>
    <col min="12" max="16384" width="12.42578125" style="54"/>
  </cols>
  <sheetData>
    <row r="1" spans="1:11">
      <c r="A1" s="133" t="s">
        <v>204</v>
      </c>
    </row>
    <row r="2" spans="1:11">
      <c r="A2" s="130"/>
    </row>
    <row r="3" spans="1:11">
      <c r="A3" s="131" t="s">
        <v>117</v>
      </c>
      <c r="B3" s="131"/>
      <c r="C3" s="131"/>
      <c r="D3" s="131"/>
      <c r="E3" s="131"/>
      <c r="F3" s="131"/>
    </row>
    <row r="4" spans="1:11" ht="15.75" thickBot="1"/>
    <row r="5" spans="1:11" ht="30">
      <c r="A5" s="55"/>
      <c r="B5" s="56" t="s">
        <v>118</v>
      </c>
      <c r="C5" s="56" t="s">
        <v>119</v>
      </c>
      <c r="D5" s="56" t="s">
        <v>120</v>
      </c>
      <c r="E5" s="56" t="s">
        <v>121</v>
      </c>
      <c r="F5" s="57" t="s">
        <v>122</v>
      </c>
      <c r="K5" s="54" t="s">
        <v>158</v>
      </c>
    </row>
    <row r="6" spans="1:11" ht="15.75">
      <c r="A6" s="58" t="s">
        <v>123</v>
      </c>
      <c r="B6" s="59">
        <f>_xlfn.STDEV.S([1]Sheet1!B3:BI3)*SQRT(12)</f>
        <v>0.12060571835789433</v>
      </c>
      <c r="C6" s="59">
        <v>1</v>
      </c>
      <c r="D6" s="59">
        <f>C6*$B$6</f>
        <v>0.12060571835789433</v>
      </c>
      <c r="E6" s="59">
        <v>9.0483576516345107E-18</v>
      </c>
      <c r="F6" s="60">
        <f>C6*$B$6/B6</f>
        <v>1</v>
      </c>
    </row>
    <row r="7" spans="1:11" ht="15.75">
      <c r="A7" s="58" t="s">
        <v>124</v>
      </c>
      <c r="B7" s="59">
        <f>_xlfn.STDEV.S([1]Sheet1!B4:BI4)*SQRT(12)</f>
        <v>0.16621880004954875</v>
      </c>
      <c r="C7" s="59">
        <v>0.20947547656486501</v>
      </c>
      <c r="D7" s="59">
        <f t="shared" ref="D7:D12" si="0">C7*$B$6</f>
        <v>2.5263940329467802E-2</v>
      </c>
      <c r="E7" s="59">
        <v>0.16569784225009199</v>
      </c>
      <c r="F7" s="60">
        <f t="shared" ref="F7:F12" si="1">C7*$B$6/B7</f>
        <v>0.15199207503565651</v>
      </c>
      <c r="H7" s="61"/>
    </row>
    <row r="8" spans="1:11" ht="15.75">
      <c r="A8" s="58" t="s">
        <v>125</v>
      </c>
      <c r="B8" s="59">
        <f>_xlfn.STDEV.S([1]Sheet1!B5:BI5)*SQRT(12)</f>
        <v>0.19254957934394146</v>
      </c>
      <c r="C8" s="59">
        <v>0.52646450360480701</v>
      </c>
      <c r="D8" s="59">
        <f t="shared" si="0"/>
        <v>6.3494629647189993E-2</v>
      </c>
      <c r="E8" s="59">
        <v>0.18333982853491099</v>
      </c>
      <c r="F8" s="60">
        <f t="shared" si="1"/>
        <v>0.32975730128068881</v>
      </c>
      <c r="H8" s="61"/>
    </row>
    <row r="9" spans="1:11" ht="15.75">
      <c r="A9" s="58" t="s">
        <v>126</v>
      </c>
      <c r="B9" s="59">
        <f>_xlfn.STDEV.S([1]Sheet1!B6:BI6)*SQRT(12)</f>
        <v>0.14811588762509409</v>
      </c>
      <c r="C9" s="59">
        <v>0.237453914379811</v>
      </c>
      <c r="D9" s="59">
        <f t="shared" si="0"/>
        <v>2.8638299920671038E-2</v>
      </c>
      <c r="E9" s="59">
        <v>0.14656831246736299</v>
      </c>
      <c r="F9" s="60">
        <f t="shared" si="1"/>
        <v>0.19335062821322269</v>
      </c>
      <c r="H9" s="61"/>
    </row>
    <row r="10" spans="1:11" ht="15.75">
      <c r="A10" s="58" t="s">
        <v>127</v>
      </c>
      <c r="B10" s="59">
        <f>_xlfn.STDEV.S([1]Sheet1!B7:BI7)*SQRT(12)</f>
        <v>0.13578022132289708</v>
      </c>
      <c r="C10" s="59">
        <v>0.29813184263917802</v>
      </c>
      <c r="D10" s="59">
        <f t="shared" si="0"/>
        <v>3.5956405046860776E-2</v>
      </c>
      <c r="E10" s="59">
        <v>0.13205673551333499</v>
      </c>
      <c r="F10" s="60">
        <f t="shared" si="1"/>
        <v>0.26481327469155719</v>
      </c>
      <c r="H10" s="61"/>
    </row>
    <row r="11" spans="1:11" ht="15.75">
      <c r="A11" s="58" t="s">
        <v>128</v>
      </c>
      <c r="B11" s="59">
        <f>_xlfn.STDEV.S([1]Sheet1!B8:BI8)*SQRT(12)</f>
        <v>0.25462459131984877</v>
      </c>
      <c r="C11" s="59">
        <v>1.3257514036509299</v>
      </c>
      <c r="D11" s="59">
        <f t="shared" si="0"/>
        <v>0.15989320040130714</v>
      </c>
      <c r="E11" s="59">
        <v>0.19986214952947401</v>
      </c>
      <c r="F11" s="60">
        <f t="shared" si="1"/>
        <v>0.62795663047508232</v>
      </c>
      <c r="H11" s="61"/>
    </row>
    <row r="12" spans="1:11" ht="16.5" thickBot="1">
      <c r="A12" s="62" t="s">
        <v>129</v>
      </c>
      <c r="B12" s="63">
        <f>_xlfn.STDEV.S([1]Sheet1!B9:BI9)*SQRT(12)</f>
        <v>0.29730032060073808</v>
      </c>
      <c r="C12" s="63">
        <v>1.6612587079705401</v>
      </c>
      <c r="D12" s="63">
        <f t="shared" si="0"/>
        <v>0.20035729985309439</v>
      </c>
      <c r="E12" s="63">
        <v>0.221531563426689</v>
      </c>
      <c r="F12" s="64">
        <f t="shared" si="1"/>
        <v>0.67392224619281815</v>
      </c>
      <c r="H12" s="61"/>
    </row>
    <row r="15" spans="1:11" ht="15.75" thickBot="1">
      <c r="A15" s="132" t="s">
        <v>130</v>
      </c>
      <c r="B15" s="132"/>
      <c r="C15" s="132"/>
      <c r="D15" s="132"/>
      <c r="E15" s="132"/>
      <c r="F15" s="132"/>
    </row>
    <row r="16" spans="1:11">
      <c r="A16" s="65"/>
      <c r="B16" s="66" t="s">
        <v>131</v>
      </c>
      <c r="C16" s="66" t="s">
        <v>132</v>
      </c>
      <c r="D16" s="66" t="s">
        <v>133</v>
      </c>
      <c r="E16" s="66" t="s">
        <v>134</v>
      </c>
      <c r="F16" s="66" t="s">
        <v>135</v>
      </c>
      <c r="G16" s="67" t="s">
        <v>136</v>
      </c>
      <c r="I16" s="68"/>
      <c r="K16" s="54" t="s">
        <v>159</v>
      </c>
    </row>
    <row r="17" spans="1:11" ht="15.75">
      <c r="A17" s="58" t="s">
        <v>124</v>
      </c>
      <c r="B17" s="69">
        <v>1</v>
      </c>
      <c r="C17" s="69"/>
      <c r="D17" s="69"/>
      <c r="E17" s="69"/>
      <c r="F17" s="69"/>
      <c r="G17" s="70"/>
      <c r="I17" s="71"/>
    </row>
    <row r="18" spans="1:11" ht="15.75">
      <c r="A18" s="58" t="s">
        <v>125</v>
      </c>
      <c r="B18" s="72">
        <v>0.40454996123047515</v>
      </c>
      <c r="C18" s="69">
        <v>1</v>
      </c>
      <c r="D18" s="69"/>
      <c r="E18" s="69"/>
      <c r="F18" s="69"/>
      <c r="G18" s="70"/>
      <c r="I18" s="69"/>
    </row>
    <row r="19" spans="1:11" ht="15.75">
      <c r="A19" s="58" t="s">
        <v>126</v>
      </c>
      <c r="B19" s="73">
        <v>8.9442826798276823E-2</v>
      </c>
      <c r="C19" s="73">
        <v>-7.0795307988008024E-2</v>
      </c>
      <c r="D19" s="69">
        <v>1</v>
      </c>
      <c r="E19" s="69"/>
      <c r="F19" s="69"/>
      <c r="G19" s="70"/>
      <c r="I19" s="69"/>
    </row>
    <row r="20" spans="1:11" ht="15.75">
      <c r="A20" s="58" t="s">
        <v>127</v>
      </c>
      <c r="B20" s="73">
        <v>0.19252038826229423</v>
      </c>
      <c r="C20" s="73">
        <v>-7.316129005026136E-3</v>
      </c>
      <c r="D20" s="72">
        <v>0.62375246938696793</v>
      </c>
      <c r="E20" s="69">
        <v>1</v>
      </c>
      <c r="F20" s="69"/>
      <c r="G20" s="70"/>
      <c r="I20" s="69"/>
    </row>
    <row r="21" spans="1:11" ht="15.75">
      <c r="A21" s="58" t="s">
        <v>128</v>
      </c>
      <c r="B21" s="73">
        <v>9.4728958813739467E-2</v>
      </c>
      <c r="C21" s="73">
        <v>7.6792108041146945E-2</v>
      </c>
      <c r="D21" s="73">
        <v>-0.22970264124495879</v>
      </c>
      <c r="E21" s="73">
        <v>-0.20039653628733811</v>
      </c>
      <c r="F21" s="69">
        <v>1</v>
      </c>
      <c r="G21" s="70"/>
      <c r="I21" s="69"/>
    </row>
    <row r="22" spans="1:11" ht="16.5" thickBot="1">
      <c r="A22" s="62" t="s">
        <v>129</v>
      </c>
      <c r="B22" s="74">
        <v>3.5972961044097924E-2</v>
      </c>
      <c r="C22" s="74">
        <v>0.1745636055991332</v>
      </c>
      <c r="D22" s="74">
        <v>-0.32011549399550526</v>
      </c>
      <c r="E22" s="74">
        <v>-0.30882208879472256</v>
      </c>
      <c r="F22" s="75">
        <v>0.69946671572430896</v>
      </c>
      <c r="G22" s="76">
        <v>1</v>
      </c>
      <c r="I22" s="69"/>
    </row>
    <row r="23" spans="1:11">
      <c r="I23" s="69"/>
    </row>
    <row r="25" spans="1:11" ht="15.75" thickBot="1">
      <c r="A25" s="131" t="s">
        <v>137</v>
      </c>
      <c r="B25" s="131"/>
      <c r="C25" s="131"/>
      <c r="D25" s="131"/>
      <c r="E25" s="131"/>
      <c r="F25" s="131"/>
    </row>
    <row r="26" spans="1:11">
      <c r="A26" s="55"/>
      <c r="B26" s="77"/>
      <c r="C26" s="78" t="s">
        <v>123</v>
      </c>
      <c r="D26" s="78" t="s">
        <v>131</v>
      </c>
      <c r="E26" s="78" t="s">
        <v>132</v>
      </c>
      <c r="F26" s="78" t="s">
        <v>133</v>
      </c>
      <c r="G26" s="79" t="s">
        <v>134</v>
      </c>
      <c r="H26" s="79" t="s">
        <v>135</v>
      </c>
      <c r="I26" s="79" t="s">
        <v>136</v>
      </c>
      <c r="K26" s="54" t="s">
        <v>160</v>
      </c>
    </row>
    <row r="27" spans="1:11">
      <c r="A27" s="80"/>
      <c r="B27" s="81" t="s">
        <v>138</v>
      </c>
      <c r="C27" s="82">
        <f t="array" ref="C27:I27">TRANSPOSE(B28:B34)</f>
        <v>1</v>
      </c>
      <c r="D27" s="82">
        <v>0.20947547656486501</v>
      </c>
      <c r="E27" s="82">
        <v>0.52646450360480701</v>
      </c>
      <c r="F27" s="82">
        <v>0.237453914379811</v>
      </c>
      <c r="G27" s="82">
        <v>0.29813184263917802</v>
      </c>
      <c r="H27" s="82">
        <v>1.3257514036509299</v>
      </c>
      <c r="I27" s="83">
        <v>1.6612587079705401</v>
      </c>
    </row>
    <row r="28" spans="1:11" ht="15.75">
      <c r="A28" s="58" t="s">
        <v>123</v>
      </c>
      <c r="B28" s="84">
        <f t="shared" ref="B28:B34" si="2">C6</f>
        <v>1</v>
      </c>
      <c r="C28" s="85">
        <f>B6^2</f>
        <v>1.4545739300623729E-2</v>
      </c>
      <c r="D28" s="84">
        <f>$B28*D27*$C$28</f>
        <v>3.0469756719864421E-3</v>
      </c>
      <c r="E28" s="84">
        <f t="shared" ref="E28:I28" si="3">$B28*E27*$C$28</f>
        <v>7.6578154204678039E-3</v>
      </c>
      <c r="F28" s="84">
        <f t="shared" si="3"/>
        <v>3.4539427344813592E-3</v>
      </c>
      <c r="G28" s="84">
        <f t="shared" si="3"/>
        <v>4.3365480602440614E-3</v>
      </c>
      <c r="H28" s="84">
        <f t="shared" si="3"/>
        <v>1.9284034294942406E-2</v>
      </c>
      <c r="I28" s="86">
        <f t="shared" si="3"/>
        <v>2.4164236077030485E-2</v>
      </c>
    </row>
    <row r="29" spans="1:11" ht="15.75">
      <c r="A29" s="58" t="s">
        <v>124</v>
      </c>
      <c r="B29" s="84">
        <f t="shared" si="2"/>
        <v>0.20947547656486501</v>
      </c>
      <c r="C29" s="84">
        <f>$B29*C$27*$C$28</f>
        <v>3.0469756719864421E-3</v>
      </c>
      <c r="D29" s="85">
        <f>B7^2</f>
        <v>2.7628689489911869E-2</v>
      </c>
      <c r="E29" s="84">
        <f>$B29*E$27*$C$28</f>
        <v>1.6041245346482653E-3</v>
      </c>
      <c r="F29" s="84">
        <f>$B29*F$27*$C$28</f>
        <v>7.2351630033323561E-4</v>
      </c>
      <c r="G29" s="84">
        <f t="shared" ref="G29:I34" si="4">$B29*G$27*$C$28</f>
        <v>9.0840047156606556E-4</v>
      </c>
      <c r="H29" s="84">
        <f t="shared" si="4"/>
        <v>4.0395322740262611E-3</v>
      </c>
      <c r="I29" s="86">
        <f>$B29*I$27*$C$28</f>
        <v>5.061814868061865E-3</v>
      </c>
    </row>
    <row r="30" spans="1:11" ht="15.75">
      <c r="A30" s="58" t="s">
        <v>125</v>
      </c>
      <c r="B30" s="84">
        <f t="shared" si="2"/>
        <v>0.52646450360480701</v>
      </c>
      <c r="C30" s="84">
        <f t="shared" ref="C30:F34" si="5">$B30*C$27*$C$28</f>
        <v>7.6578154204678039E-3</v>
      </c>
      <c r="D30" s="84">
        <f>$B30*D$27*$C$28</f>
        <v>1.6041245346482653E-3</v>
      </c>
      <c r="E30" s="85">
        <f>B8^2</f>
        <v>3.7075340505528805E-2</v>
      </c>
      <c r="F30" s="84">
        <f>$B30*F$27*$C$28</f>
        <v>1.8183782471881584E-3</v>
      </c>
      <c r="G30" s="84">
        <f>$B30*G$27*$C$28</f>
        <v>2.2830386218947781E-3</v>
      </c>
      <c r="H30" s="84">
        <f t="shared" si="4"/>
        <v>1.0152359542584928E-2</v>
      </c>
      <c r="I30" s="86">
        <f t="shared" si="4"/>
        <v>1.2721612551283222E-2</v>
      </c>
    </row>
    <row r="31" spans="1:11" ht="15.75">
      <c r="A31" s="58" t="s">
        <v>126</v>
      </c>
      <c r="B31" s="84">
        <f t="shared" si="2"/>
        <v>0.237453914379811</v>
      </c>
      <c r="C31" s="84">
        <f t="shared" si="5"/>
        <v>3.4539427344813592E-3</v>
      </c>
      <c r="D31" s="84">
        <f t="shared" si="5"/>
        <v>7.2351630033323561E-4</v>
      </c>
      <c r="E31" s="84">
        <f>$B31*E$27*$C$28</f>
        <v>1.8183782471881584E-3</v>
      </c>
      <c r="F31" s="85">
        <f>B9^2</f>
        <v>2.19383161669695E-2</v>
      </c>
      <c r="G31" s="84">
        <f>$B31*G$27*$C$28</f>
        <v>1.0297303118011287E-3</v>
      </c>
      <c r="H31" s="84">
        <f t="shared" si="4"/>
        <v>4.579069428368593E-3</v>
      </c>
      <c r="I31" s="86">
        <f t="shared" si="4"/>
        <v>5.7378924444887371E-3</v>
      </c>
    </row>
    <row r="32" spans="1:11" ht="15.75">
      <c r="A32" s="58" t="s">
        <v>127</v>
      </c>
      <c r="B32" s="84">
        <f t="shared" si="2"/>
        <v>0.29813184263917802</v>
      </c>
      <c r="C32" s="84">
        <f t="shared" si="5"/>
        <v>4.3365480602440614E-3</v>
      </c>
      <c r="D32" s="84">
        <f t="shared" si="5"/>
        <v>9.0840047156606556E-4</v>
      </c>
      <c r="E32" s="84">
        <f t="shared" si="5"/>
        <v>2.2830386218947781E-3</v>
      </c>
      <c r="F32" s="84">
        <f t="shared" si="5"/>
        <v>1.0297303118011287E-3</v>
      </c>
      <c r="G32" s="85">
        <f>B10^2</f>
        <v>1.8436268502494912E-2</v>
      </c>
      <c r="H32" s="84">
        <f>$B32*H$27*$C$28</f>
        <v>5.7491846778682815E-3</v>
      </c>
      <c r="I32" s="86">
        <f t="shared" si="4"/>
        <v>7.2041282276132006E-3</v>
      </c>
    </row>
    <row r="33" spans="1:12" ht="15.75">
      <c r="A33" s="58" t="s">
        <v>128</v>
      </c>
      <c r="B33" s="84">
        <f t="shared" si="2"/>
        <v>1.3257514036509299</v>
      </c>
      <c r="C33" s="84">
        <f t="shared" si="5"/>
        <v>1.9284034294942406E-2</v>
      </c>
      <c r="D33" s="84">
        <f>$B33*D$27*$C$28</f>
        <v>4.0395322740262611E-3</v>
      </c>
      <c r="E33" s="84">
        <f t="shared" si="5"/>
        <v>1.0152359542584928E-2</v>
      </c>
      <c r="F33" s="84">
        <f t="shared" si="5"/>
        <v>4.579069428368593E-3</v>
      </c>
      <c r="G33" s="84">
        <f t="shared" si="4"/>
        <v>5.7491846778682815E-3</v>
      </c>
      <c r="H33" s="85">
        <f>B11^2</f>
        <v>6.4833682504800011E-2</v>
      </c>
      <c r="I33" s="86">
        <f>$B33*I$27*$C$28</f>
        <v>3.2035769897275607E-2</v>
      </c>
    </row>
    <row r="34" spans="1:12" ht="16.5" thickBot="1">
      <c r="A34" s="62" t="s">
        <v>129</v>
      </c>
      <c r="B34" s="87">
        <f t="shared" si="2"/>
        <v>1.6612587079705401</v>
      </c>
      <c r="C34" s="87">
        <f t="shared" si="5"/>
        <v>2.4164236077030485E-2</v>
      </c>
      <c r="D34" s="87">
        <f>$B34*D$27*$C$28</f>
        <v>5.061814868061865E-3</v>
      </c>
      <c r="E34" s="87">
        <f t="shared" si="5"/>
        <v>1.2721612551283222E-2</v>
      </c>
      <c r="F34" s="87">
        <f t="shared" si="5"/>
        <v>5.7378924444887371E-3</v>
      </c>
      <c r="G34" s="87">
        <f t="shared" si="4"/>
        <v>7.2041282276132006E-3</v>
      </c>
      <c r="H34" s="87">
        <f>$B34*H$27*$C$28</f>
        <v>3.2035769897275607E-2</v>
      </c>
      <c r="I34" s="88">
        <f>B12^2</f>
        <v>8.8387480629301643E-2</v>
      </c>
    </row>
    <row r="35" spans="1:12">
      <c r="D35" s="89"/>
    </row>
    <row r="36" spans="1:12">
      <c r="D36" s="89"/>
    </row>
    <row r="38" spans="1:12">
      <c r="A38" s="132" t="s">
        <v>139</v>
      </c>
      <c r="B38" s="132"/>
      <c r="C38" s="132"/>
      <c r="D38" s="132"/>
      <c r="E38" s="132"/>
      <c r="F38" s="132"/>
    </row>
    <row r="39" spans="1:12" ht="15.75" thickBot="1">
      <c r="A39" s="90" t="s">
        <v>140</v>
      </c>
      <c r="B39" s="91"/>
      <c r="C39" s="91">
        <v>0.06</v>
      </c>
      <c r="D39" s="91"/>
      <c r="E39" s="91"/>
      <c r="F39" s="91"/>
    </row>
    <row r="40" spans="1:12">
      <c r="A40" s="55"/>
      <c r="B40" s="78" t="str">
        <f>C26</f>
        <v>Market Index</v>
      </c>
      <c r="C40" s="78" t="s">
        <v>131</v>
      </c>
      <c r="D40" s="78" t="s">
        <v>132</v>
      </c>
      <c r="E40" s="78" t="s">
        <v>133</v>
      </c>
      <c r="F40" s="78" t="s">
        <v>134</v>
      </c>
      <c r="G40" s="79" t="s">
        <v>135</v>
      </c>
      <c r="H40" s="78" t="s">
        <v>136</v>
      </c>
    </row>
    <row r="41" spans="1:12">
      <c r="A41" s="80" t="s">
        <v>141</v>
      </c>
      <c r="B41" s="84">
        <v>0</v>
      </c>
      <c r="C41" s="84">
        <v>1.4999999999999999E-2</v>
      </c>
      <c r="D41" s="84">
        <v>-0.01</v>
      </c>
      <c r="E41" s="84">
        <v>-5.0000000000000001E-3</v>
      </c>
      <c r="F41" s="84">
        <v>7.4999999999999997E-3</v>
      </c>
      <c r="G41" s="84">
        <v>1.2E-2</v>
      </c>
      <c r="H41" s="86">
        <v>2.5000000000000001E-3</v>
      </c>
      <c r="K41" s="54" t="s">
        <v>161</v>
      </c>
    </row>
    <row r="42" spans="1:12">
      <c r="A42" s="92" t="s">
        <v>138</v>
      </c>
      <c r="B42" s="84">
        <f t="array" ref="B42:H42">TRANSPOSE(C6:C12)</f>
        <v>1</v>
      </c>
      <c r="C42" s="84">
        <v>0.20947547656486501</v>
      </c>
      <c r="D42" s="84">
        <v>0.52646450360480701</v>
      </c>
      <c r="E42" s="84">
        <v>0.237453914379811</v>
      </c>
      <c r="F42" s="84">
        <v>0.29813184263917802</v>
      </c>
      <c r="G42" s="84">
        <v>1.3257514036509299</v>
      </c>
      <c r="H42" s="86">
        <v>1.6612587079705401</v>
      </c>
    </row>
    <row r="43" spans="1:12" ht="15.75" thickBot="1">
      <c r="A43" s="93" t="s">
        <v>142</v>
      </c>
      <c r="B43" s="87">
        <f>B41+B42*$C$39</f>
        <v>0.06</v>
      </c>
      <c r="C43" s="87">
        <f>C41+C42*$C$39</f>
        <v>2.7568528593891899E-2</v>
      </c>
      <c r="D43" s="87">
        <f t="shared" ref="D43:H43" si="6">D41+D42*$C$39</f>
        <v>2.158787021628842E-2</v>
      </c>
      <c r="E43" s="87">
        <f t="shared" si="6"/>
        <v>9.24723486278866E-3</v>
      </c>
      <c r="F43" s="87">
        <f t="shared" si="6"/>
        <v>2.5387910558350681E-2</v>
      </c>
      <c r="G43" s="87">
        <f t="shared" si="6"/>
        <v>9.1545084219055786E-2</v>
      </c>
      <c r="H43" s="94">
        <f t="shared" si="6"/>
        <v>0.1021755224782324</v>
      </c>
    </row>
    <row r="44" spans="1:12">
      <c r="C44" s="89"/>
      <c r="D44" s="89"/>
      <c r="E44" s="89"/>
      <c r="F44" s="89"/>
      <c r="G44" s="89"/>
      <c r="H44" s="89"/>
      <c r="I44" s="89"/>
    </row>
    <row r="45" spans="1:12">
      <c r="C45" s="89"/>
      <c r="D45" s="89"/>
      <c r="E45" s="89"/>
      <c r="F45" s="89"/>
      <c r="G45" s="89"/>
      <c r="H45" s="89"/>
      <c r="I45" s="89"/>
    </row>
    <row r="46" spans="1:12" ht="15.75" thickBot="1">
      <c r="A46" s="131" t="s">
        <v>143</v>
      </c>
      <c r="B46" s="131"/>
      <c r="C46" s="131"/>
      <c r="D46" s="131"/>
      <c r="E46" s="131"/>
      <c r="F46" s="131"/>
      <c r="G46" s="131"/>
      <c r="H46" s="131"/>
      <c r="I46" s="131"/>
    </row>
    <row r="47" spans="1:12">
      <c r="A47" s="95"/>
      <c r="B47" s="78" t="s">
        <v>123</v>
      </c>
      <c r="C47" s="78" t="s">
        <v>144</v>
      </c>
      <c r="D47" s="78" t="s">
        <v>131</v>
      </c>
      <c r="E47" s="78" t="s">
        <v>132</v>
      </c>
      <c r="F47" s="78" t="s">
        <v>133</v>
      </c>
      <c r="G47" s="78" t="s">
        <v>134</v>
      </c>
      <c r="H47" s="78" t="s">
        <v>135</v>
      </c>
      <c r="I47" s="78" t="s">
        <v>136</v>
      </c>
      <c r="J47" s="96" t="s">
        <v>145</v>
      </c>
      <c r="L47" s="68"/>
    </row>
    <row r="48" spans="1:12" ht="16.5">
      <c r="A48" s="97" t="s">
        <v>146</v>
      </c>
      <c r="B48" s="68"/>
      <c r="C48" s="98"/>
      <c r="D48" s="84">
        <f t="array" ref="D48:I48">TRANSPOSE(E7:E12)^2</f>
        <v>2.7455774926336367E-2</v>
      </c>
      <c r="E48" s="84">
        <v>3.3613492727210564E-2</v>
      </c>
      <c r="F48" s="84">
        <v>2.1482270219530551E-2</v>
      </c>
      <c r="G48" s="84">
        <v>1.7438981394438911E-2</v>
      </c>
      <c r="H48" s="84">
        <v>3.9944878814541826E-2</v>
      </c>
      <c r="I48" s="84">
        <v>4.9076233594273135E-2</v>
      </c>
      <c r="J48" s="99"/>
      <c r="K48" s="100"/>
      <c r="L48" s="101"/>
    </row>
    <row r="49" spans="1:12" ht="18">
      <c r="A49" s="97" t="s">
        <v>147</v>
      </c>
      <c r="B49" s="68"/>
      <c r="C49" s="84">
        <f>SUM(D49:I49)</f>
        <v>0.79750961856523395</v>
      </c>
      <c r="D49" s="84">
        <f>C41/D48</f>
        <v>0.54633314995642568</v>
      </c>
      <c r="E49" s="84">
        <f t="shared" ref="E49:I49" si="7">D41/E48</f>
        <v>-0.29749958093182233</v>
      </c>
      <c r="F49" s="84">
        <f t="shared" si="7"/>
        <v>-0.23275007477814252</v>
      </c>
      <c r="G49" s="84">
        <f t="shared" si="7"/>
        <v>0.43007099040725294</v>
      </c>
      <c r="H49" s="84">
        <f t="shared" si="7"/>
        <v>0.30041397936677261</v>
      </c>
      <c r="I49" s="84">
        <f t="shared" si="7"/>
        <v>5.0941154544747569E-2</v>
      </c>
      <c r="J49" s="99"/>
      <c r="K49" s="100"/>
      <c r="L49" s="101"/>
    </row>
    <row r="50" spans="1:12" ht="18">
      <c r="A50" s="102" t="s">
        <v>148</v>
      </c>
      <c r="B50" s="68"/>
      <c r="C50" s="84">
        <f>SUM(D50:I50)</f>
        <v>1</v>
      </c>
      <c r="D50" s="84">
        <f>D49/$C$49</f>
        <v>0.68504897901960193</v>
      </c>
      <c r="E50" s="84">
        <f>E49/$C$49</f>
        <v>-0.37303572772832677</v>
      </c>
      <c r="F50" s="84">
        <f>F49/$C$49</f>
        <v>-0.29184610362050983</v>
      </c>
      <c r="G50" s="84">
        <f t="shared" ref="G50:I50" si="8">G49/$C$49</f>
        <v>0.53926746511343093</v>
      </c>
      <c r="H50" s="84">
        <f t="shared" si="8"/>
        <v>0.37669010175354972</v>
      </c>
      <c r="I50" s="84">
        <f t="shared" si="8"/>
        <v>6.3875285462253933E-2</v>
      </c>
      <c r="J50" s="99"/>
      <c r="K50" s="100"/>
      <c r="L50" s="103"/>
    </row>
    <row r="51" spans="1:12" ht="18.75">
      <c r="A51" s="104" t="s">
        <v>149</v>
      </c>
      <c r="B51" s="68"/>
      <c r="C51" s="105"/>
      <c r="D51" s="84">
        <f t="shared" ref="D51:I51" si="9">D50^2</f>
        <v>0.46929210365579899</v>
      </c>
      <c r="E51" s="84">
        <f t="shared" si="9"/>
        <v>0.13915565416180234</v>
      </c>
      <c r="F51" s="84">
        <f t="shared" si="9"/>
        <v>8.5174148198473368E-2</v>
      </c>
      <c r="G51" s="84">
        <f t="shared" si="9"/>
        <v>0.29080939892986546</v>
      </c>
      <c r="H51" s="84">
        <f t="shared" si="9"/>
        <v>0.14189543275909963</v>
      </c>
      <c r="I51" s="84">
        <f t="shared" si="9"/>
        <v>4.0800520928844291E-3</v>
      </c>
      <c r="J51" s="99"/>
      <c r="K51" s="100"/>
      <c r="L51" s="106"/>
    </row>
    <row r="52" spans="1:12" ht="18">
      <c r="A52" s="97" t="s">
        <v>150</v>
      </c>
      <c r="B52" s="68"/>
      <c r="C52" s="84">
        <f t="array" ref="C52">MMULT(D50:I50,TRANSPOSE(C41:H41))</f>
        <v>2.418979790372881E-2</v>
      </c>
      <c r="D52" s="68"/>
      <c r="E52" s="68"/>
      <c r="F52" s="68"/>
      <c r="G52" s="68"/>
      <c r="H52" s="68"/>
      <c r="I52" s="68"/>
      <c r="J52" s="99"/>
      <c r="K52" s="100"/>
      <c r="L52" s="101"/>
    </row>
    <row r="53" spans="1:12" ht="17.25">
      <c r="A53" s="97" t="s">
        <v>151</v>
      </c>
      <c r="B53" s="68"/>
      <c r="C53" s="84">
        <f t="array" ref="C53">MMULT(D50:I50^2, TRANSPOSE(D48:I48))</f>
        <v>3.0331669161868739E-2</v>
      </c>
      <c r="D53" s="68"/>
      <c r="E53" s="68"/>
      <c r="F53" s="68"/>
      <c r="G53" s="68"/>
      <c r="H53" s="68"/>
      <c r="I53" s="68"/>
      <c r="J53" s="99"/>
      <c r="K53" s="100">
        <f>SQRT(C53)</f>
        <v>0.17415989538888893</v>
      </c>
      <c r="L53" s="101"/>
    </row>
    <row r="54" spans="1:12" ht="18.75">
      <c r="A54" s="107" t="s">
        <v>152</v>
      </c>
      <c r="B54" s="68"/>
      <c r="C54" s="84">
        <f>B43/B6^2</f>
        <v>4.1249192467946383</v>
      </c>
      <c r="D54" s="68"/>
      <c r="E54" s="68"/>
      <c r="F54" s="68"/>
      <c r="G54" s="68"/>
      <c r="H54" s="68"/>
      <c r="I54" s="68"/>
      <c r="J54" s="99"/>
      <c r="K54" s="100"/>
      <c r="L54" s="108"/>
    </row>
    <row r="55" spans="1:12" ht="18.75">
      <c r="A55" s="109" t="s">
        <v>153</v>
      </c>
      <c r="B55" s="68"/>
      <c r="C55" s="84">
        <f>(C52/C53)/C54</f>
        <v>0.19333945002316275</v>
      </c>
      <c r="D55" s="68"/>
      <c r="E55" s="68"/>
      <c r="F55" s="68"/>
      <c r="G55" s="68"/>
      <c r="H55" s="68"/>
      <c r="I55" s="68"/>
      <c r="J55" s="99"/>
      <c r="L55" s="110"/>
    </row>
    <row r="56" spans="1:12" ht="18">
      <c r="A56" s="111" t="s">
        <v>154</v>
      </c>
      <c r="B56" s="68"/>
      <c r="C56" s="84">
        <f t="array" ref="C56">MMULT(D50:I50,TRANSPOSE(C42:H42))</f>
        <v>0.64409450081294728</v>
      </c>
      <c r="D56" s="68"/>
      <c r="E56" s="68"/>
      <c r="F56" s="68"/>
      <c r="G56" s="68"/>
      <c r="H56" s="68"/>
      <c r="I56" s="68"/>
      <c r="J56" s="99"/>
      <c r="L56" s="112"/>
    </row>
    <row r="57" spans="1:12">
      <c r="A57" s="113" t="s">
        <v>155</v>
      </c>
      <c r="B57" s="84">
        <f>1-C57</f>
        <v>0.81910784303441497</v>
      </c>
      <c r="C57" s="84">
        <f>C55/(1+(1-C56)*C55)</f>
        <v>0.18089215696558497</v>
      </c>
      <c r="D57" s="84">
        <f>$C$57*D50</f>
        <v>0.12391998744192756</v>
      </c>
      <c r="E57" s="84">
        <f t="shared" ref="E57:I57" si="10">$C$57*E50</f>
        <v>-6.7479237414003704E-2</v>
      </c>
      <c r="F57" s="84">
        <f t="shared" si="10"/>
        <v>-5.2792671185915643E-2</v>
      </c>
      <c r="G57" s="84">
        <f t="shared" si="10"/>
        <v>9.754925494573187E-2</v>
      </c>
      <c r="H57" s="84">
        <f t="shared" si="10"/>
        <v>6.8140285013785287E-2</v>
      </c>
      <c r="I57" s="84">
        <f t="shared" si="10"/>
        <v>1.1554538164059587E-2</v>
      </c>
      <c r="J57" s="99"/>
      <c r="L57" s="114"/>
    </row>
    <row r="58" spans="1:12" ht="15.75">
      <c r="A58" s="80"/>
      <c r="B58" s="68"/>
      <c r="C58" s="68"/>
      <c r="D58" s="68"/>
      <c r="E58" s="68"/>
      <c r="F58" s="68"/>
      <c r="G58" s="68"/>
      <c r="H58" s="68"/>
      <c r="I58" s="68"/>
      <c r="J58" s="99"/>
      <c r="L58" s="115"/>
    </row>
    <row r="59" spans="1:12" ht="15.75">
      <c r="A59" s="80" t="s">
        <v>138</v>
      </c>
      <c r="B59" s="84">
        <v>1</v>
      </c>
      <c r="C59" s="84">
        <f t="array" ref="C59">MMULT(D50:I50,TRANSPOSE(C42:H42))</f>
        <v>0.64409450081294728</v>
      </c>
      <c r="D59" s="84">
        <f t="shared" ref="D59:I59" si="11">C42</f>
        <v>0.20947547656486501</v>
      </c>
      <c r="E59" s="84">
        <f t="shared" si="11"/>
        <v>0.52646450360480701</v>
      </c>
      <c r="F59" s="84">
        <f t="shared" si="11"/>
        <v>0.237453914379811</v>
      </c>
      <c r="G59" s="84">
        <f t="shared" si="11"/>
        <v>0.29813184263917802</v>
      </c>
      <c r="H59" s="84">
        <f t="shared" si="11"/>
        <v>1.3257514036509299</v>
      </c>
      <c r="I59" s="84">
        <f t="shared" si="11"/>
        <v>1.6612587079705401</v>
      </c>
      <c r="J59" s="116">
        <f>B59*B57+C59*C57</f>
        <v>0.93561948657614069</v>
      </c>
      <c r="L59" s="115"/>
    </row>
    <row r="60" spans="1:12" ht="15.75">
      <c r="A60" s="80" t="s">
        <v>142</v>
      </c>
      <c r="B60" s="84">
        <f>B43</f>
        <v>0.06</v>
      </c>
      <c r="C60" s="84">
        <f t="array" ref="C60">MMULT(D50:I50, TRANSPOSE(D60:I60))</f>
        <v>6.2835467952505636E-2</v>
      </c>
      <c r="D60" s="84">
        <f t="array" ref="D60:I60">C43:H43</f>
        <v>2.7568528593891899E-2</v>
      </c>
      <c r="E60" s="84">
        <v>2.158787021628842E-2</v>
      </c>
      <c r="F60" s="84">
        <v>9.24723486278866E-3</v>
      </c>
      <c r="G60" s="84">
        <v>2.5387910558350681E-2</v>
      </c>
      <c r="H60" s="84">
        <v>9.1545084219055786E-2</v>
      </c>
      <c r="I60" s="84">
        <v>0.1021755224782324</v>
      </c>
      <c r="J60" s="116">
        <f>B60*B57+C60*C57</f>
        <v>6.0512913913935526E-2</v>
      </c>
      <c r="L60" s="115"/>
    </row>
    <row r="61" spans="1:12" ht="15.75">
      <c r="A61" s="80" t="s">
        <v>156</v>
      </c>
      <c r="B61" s="117">
        <f>B6</f>
        <v>0.12060571835789433</v>
      </c>
      <c r="C61" s="84">
        <f>SQRT(C56^2*C28+C53)</f>
        <v>0.19069892891882417</v>
      </c>
      <c r="D61" s="68"/>
      <c r="E61" s="68"/>
      <c r="F61" s="68"/>
      <c r="G61" s="68"/>
      <c r="H61" s="68"/>
      <c r="I61" s="68"/>
      <c r="J61" s="116">
        <f>SQRT((B57+C57*C56)^2*C28+C57^2*C53)</f>
        <v>0.11715637810074057</v>
      </c>
      <c r="L61" s="115"/>
    </row>
    <row r="62" spans="1:12" ht="16.5" thickBot="1">
      <c r="A62" s="93" t="s">
        <v>157</v>
      </c>
      <c r="B62" s="87">
        <f>B60/B61</f>
        <v>0.49748884892797174</v>
      </c>
      <c r="C62" s="87">
        <f>C60/C61</f>
        <v>0.32950089603939592</v>
      </c>
      <c r="D62" s="118"/>
      <c r="E62" s="119"/>
      <c r="F62" s="119"/>
      <c r="G62" s="119"/>
      <c r="H62" s="119"/>
      <c r="I62" s="119"/>
      <c r="J62" s="120">
        <f>J60/J61</f>
        <v>0.51651403786059014</v>
      </c>
      <c r="L62" s="115"/>
    </row>
    <row r="63" spans="1:12">
      <c r="D63" s="121"/>
      <c r="L63" s="68"/>
    </row>
    <row r="64" spans="1:12">
      <c r="D64" s="121"/>
    </row>
    <row r="65" spans="3:4">
      <c r="D65" s="121"/>
    </row>
    <row r="66" spans="3:4">
      <c r="C66" s="61"/>
    </row>
  </sheetData>
  <mergeCells count="5">
    <mergeCell ref="A3:F3"/>
    <mergeCell ref="A15:F15"/>
    <mergeCell ref="A25:F25"/>
    <mergeCell ref="A38:F38"/>
    <mergeCell ref="A46:I46"/>
  </mergeCells>
  <pageMargins left="0.7" right="0.7" top="0.75" bottom="0.75" header="0.3" footer="0.3"/>
  <pageSetup scale="8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1"/>
  <sheetViews>
    <sheetView zoomScale="80" zoomScaleNormal="80" workbookViewId="0">
      <pane xSplit="1" ySplit="8" topLeftCell="B84" activePane="bottomRight" state="frozen"/>
      <selection pane="topRight" activeCell="B1" sqref="B1"/>
      <selection pane="bottomLeft" activeCell="A7" sqref="A7"/>
      <selection pane="bottomRight" activeCell="D105" sqref="D105"/>
    </sheetView>
  </sheetViews>
  <sheetFormatPr defaultRowHeight="15"/>
  <cols>
    <col min="1" max="1" width="27.7109375" customWidth="1"/>
    <col min="3" max="3" width="10.140625" customWidth="1"/>
    <col min="4" max="4" width="11.5703125" customWidth="1"/>
    <col min="8" max="8" width="11.28515625" customWidth="1"/>
    <col min="10" max="10" width="12.28515625" customWidth="1"/>
    <col min="15" max="24" width="9.140625" customWidth="1"/>
  </cols>
  <sheetData>
    <row r="1" spans="1:35" ht="19.5">
      <c r="A1" s="126" t="s">
        <v>193</v>
      </c>
    </row>
    <row r="3" spans="1:35" ht="19.5">
      <c r="A3" s="126" t="s">
        <v>194</v>
      </c>
    </row>
    <row r="4" spans="1:35">
      <c r="B4" t="s">
        <v>136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</row>
    <row r="5" spans="1:35">
      <c r="A5" t="s">
        <v>171</v>
      </c>
      <c r="B5">
        <v>16.850000000000001</v>
      </c>
      <c r="C5">
        <v>73.98</v>
      </c>
      <c r="D5">
        <v>15.92</v>
      </c>
      <c r="E5">
        <v>88.37</v>
      </c>
      <c r="F5">
        <v>153.33000000000001</v>
      </c>
      <c r="G5">
        <v>65.66</v>
      </c>
      <c r="H5">
        <v>28.16</v>
      </c>
      <c r="I5">
        <v>38.32</v>
      </c>
      <c r="J5">
        <v>79.510000000000005</v>
      </c>
      <c r="K5">
        <v>60.9</v>
      </c>
    </row>
    <row r="6" spans="1:35">
      <c r="A6" t="s">
        <v>179</v>
      </c>
      <c r="B6" s="9">
        <v>2.7099999999999999E-2</v>
      </c>
      <c r="C6" s="9">
        <v>0.1191</v>
      </c>
      <c r="D6" s="9">
        <v>2.5600000000000001E-2</v>
      </c>
      <c r="E6" s="9">
        <v>0.14230000000000001</v>
      </c>
      <c r="F6" s="9">
        <v>0.24690000000000001</v>
      </c>
      <c r="G6" s="9">
        <v>0.1057</v>
      </c>
      <c r="H6" s="9">
        <v>4.53E-2</v>
      </c>
      <c r="I6" s="9">
        <v>6.1699999999999998E-2</v>
      </c>
      <c r="J6" s="9">
        <v>0.128</v>
      </c>
      <c r="K6" s="9">
        <v>9.8100000000000007E-2</v>
      </c>
    </row>
    <row r="7" spans="1:35">
      <c r="A7" t="s">
        <v>21</v>
      </c>
      <c r="B7" s="122">
        <v>-8.6999999999999994E-3</v>
      </c>
      <c r="C7" s="122">
        <v>-3.8999999999999998E-3</v>
      </c>
      <c r="D7" s="9">
        <v>5.9999999999999995E-4</v>
      </c>
      <c r="E7" s="9">
        <v>3.0000000000000001E-3</v>
      </c>
      <c r="F7" s="9">
        <v>1.0699999999999999E-2</v>
      </c>
      <c r="G7" s="9">
        <v>8.2000000000000007E-3</v>
      </c>
      <c r="H7" s="122">
        <v>-1.8E-3</v>
      </c>
      <c r="I7" s="9">
        <v>2.9999999999999997E-4</v>
      </c>
      <c r="J7" s="122">
        <v>-5.4999999999999997E-3</v>
      </c>
      <c r="K7" s="9">
        <v>7.4999999999999997E-3</v>
      </c>
    </row>
    <row r="8" spans="1:35">
      <c r="A8" t="s">
        <v>96</v>
      </c>
      <c r="B8" s="9">
        <v>0.10780000000000001</v>
      </c>
      <c r="C8" s="9">
        <v>8.4099999999999994E-2</v>
      </c>
      <c r="D8" s="9">
        <v>6.2300000000000001E-2</v>
      </c>
      <c r="E8" s="9">
        <v>0.108</v>
      </c>
      <c r="F8" s="9">
        <v>8.7099999999999997E-2</v>
      </c>
      <c r="G8" s="9">
        <v>6.4299999999999996E-2</v>
      </c>
      <c r="H8" s="9">
        <v>9.5399999999999999E-2</v>
      </c>
      <c r="I8" s="9">
        <v>6.1199999999999997E-2</v>
      </c>
      <c r="J8" s="9">
        <v>8.0600000000000005E-2</v>
      </c>
      <c r="K8" s="9">
        <v>5.5399999999999998E-2</v>
      </c>
    </row>
    <row r="9" spans="1:35">
      <c r="O9" t="s">
        <v>174</v>
      </c>
      <c r="P9">
        <v>0.3</v>
      </c>
      <c r="Q9" t="s">
        <v>175</v>
      </c>
      <c r="Z9" t="s">
        <v>176</v>
      </c>
    </row>
    <row r="10" spans="1:35">
      <c r="A10" t="s">
        <v>173</v>
      </c>
      <c r="M10" t="s">
        <v>21</v>
      </c>
      <c r="Z10" t="s">
        <v>173</v>
      </c>
    </row>
    <row r="11" spans="1:35">
      <c r="A11" t="s">
        <v>136</v>
      </c>
      <c r="B11">
        <v>1.18E-2</v>
      </c>
      <c r="C11">
        <v>3.0999999999999999E-3</v>
      </c>
      <c r="D11">
        <v>2.3999999999999998E-3</v>
      </c>
      <c r="E11">
        <v>4.1999999999999997E-3</v>
      </c>
      <c r="F11">
        <v>1.4E-3</v>
      </c>
      <c r="G11">
        <v>3.3E-3</v>
      </c>
      <c r="H11">
        <v>4.5999999999999999E-3</v>
      </c>
      <c r="I11">
        <v>1.8E-3</v>
      </c>
      <c r="J11">
        <v>1E-3</v>
      </c>
      <c r="K11">
        <v>1.4E-3</v>
      </c>
      <c r="M11" s="9">
        <v>-8.6999999999999994E-3</v>
      </c>
      <c r="O11">
        <v>1.18E-2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f t="array" ref="Z11:AI20">P9*B11:K20+(1-P9)*O11:X20</f>
        <v>1.18E-2</v>
      </c>
      <c r="AA11">
        <v>9.2999999999999995E-4</v>
      </c>
      <c r="AB11">
        <v>7.1999999999999994E-4</v>
      </c>
      <c r="AC11">
        <v>1.2599999999999998E-3</v>
      </c>
      <c r="AD11">
        <v>4.1999999999999996E-4</v>
      </c>
      <c r="AE11">
        <v>9.8999999999999999E-4</v>
      </c>
      <c r="AF11">
        <v>1.3799999999999999E-3</v>
      </c>
      <c r="AG11">
        <v>5.4000000000000001E-4</v>
      </c>
      <c r="AH11">
        <v>2.9999999999999997E-4</v>
      </c>
      <c r="AI11">
        <v>4.1999999999999996E-4</v>
      </c>
    </row>
    <row r="12" spans="1:35">
      <c r="A12" t="s">
        <v>162</v>
      </c>
      <c r="B12">
        <v>3.0999999999999999E-3</v>
      </c>
      <c r="C12">
        <v>7.1999999999999998E-3</v>
      </c>
      <c r="D12">
        <v>1.9E-3</v>
      </c>
      <c r="E12">
        <v>4.3E-3</v>
      </c>
      <c r="F12">
        <v>2.2000000000000001E-3</v>
      </c>
      <c r="G12">
        <v>3.3E-3</v>
      </c>
      <c r="H12">
        <v>4.5999999999999999E-3</v>
      </c>
      <c r="I12">
        <v>2E-3</v>
      </c>
      <c r="J12">
        <v>2.0000000000000001E-4</v>
      </c>
      <c r="K12">
        <v>1.8E-3</v>
      </c>
      <c r="M12" s="9">
        <v>-3.8999999999999998E-3</v>
      </c>
      <c r="O12">
        <v>0</v>
      </c>
      <c r="P12">
        <v>7.1999999999999998E-3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9.2999999999999995E-4</v>
      </c>
      <c r="AA12">
        <v>7.1999999999999998E-3</v>
      </c>
      <c r="AB12">
        <v>5.6999999999999998E-4</v>
      </c>
      <c r="AC12">
        <v>1.2899999999999999E-3</v>
      </c>
      <c r="AD12">
        <v>6.6E-4</v>
      </c>
      <c r="AE12">
        <v>9.8999999999999999E-4</v>
      </c>
      <c r="AF12">
        <v>1.3799999999999999E-3</v>
      </c>
      <c r="AG12">
        <v>5.9999999999999995E-4</v>
      </c>
      <c r="AH12">
        <v>6.0000000000000002E-5</v>
      </c>
      <c r="AI12">
        <v>5.4000000000000001E-4</v>
      </c>
    </row>
    <row r="13" spans="1:35">
      <c r="A13" t="s">
        <v>163</v>
      </c>
      <c r="B13">
        <v>2.3999999999999998E-3</v>
      </c>
      <c r="C13">
        <v>1.9E-3</v>
      </c>
      <c r="D13">
        <v>4.0000000000000001E-3</v>
      </c>
      <c r="E13">
        <v>3.0999999999999999E-3</v>
      </c>
      <c r="F13">
        <v>1E-4</v>
      </c>
      <c r="G13">
        <v>2.3999999999999998E-3</v>
      </c>
      <c r="H13">
        <v>4.3E-3</v>
      </c>
      <c r="I13">
        <v>2.0999999999999999E-3</v>
      </c>
      <c r="J13">
        <v>1.1999999999999999E-3</v>
      </c>
      <c r="K13">
        <v>1.6000000000000001E-3</v>
      </c>
      <c r="M13" s="9">
        <v>5.9999999999999995E-4</v>
      </c>
      <c r="O13">
        <v>0</v>
      </c>
      <c r="P13">
        <v>0</v>
      </c>
      <c r="Q13">
        <v>4.0000000000000001E-3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7.1999999999999994E-4</v>
      </c>
      <c r="AA13">
        <v>5.6999999999999998E-4</v>
      </c>
      <c r="AB13">
        <v>4.0000000000000001E-3</v>
      </c>
      <c r="AC13">
        <v>9.2999999999999995E-4</v>
      </c>
      <c r="AD13">
        <v>3.0000000000000001E-5</v>
      </c>
      <c r="AE13">
        <v>7.1999999999999994E-4</v>
      </c>
      <c r="AF13">
        <v>1.2899999999999999E-3</v>
      </c>
      <c r="AG13">
        <v>6.2999999999999992E-4</v>
      </c>
      <c r="AH13">
        <v>3.5999999999999997E-4</v>
      </c>
      <c r="AI13">
        <v>4.8000000000000001E-4</v>
      </c>
    </row>
    <row r="14" spans="1:35">
      <c r="A14" t="s">
        <v>164</v>
      </c>
      <c r="B14">
        <v>4.1999999999999997E-3</v>
      </c>
      <c r="C14">
        <v>4.3E-3</v>
      </c>
      <c r="D14">
        <v>3.0999999999999999E-3</v>
      </c>
      <c r="E14">
        <v>1.1900000000000001E-2</v>
      </c>
      <c r="F14">
        <v>2.5999999999999999E-3</v>
      </c>
      <c r="G14">
        <v>4.8999999999999998E-3</v>
      </c>
      <c r="H14">
        <v>6.1000000000000004E-3</v>
      </c>
      <c r="I14">
        <v>3.3E-3</v>
      </c>
      <c r="J14">
        <v>2E-3</v>
      </c>
      <c r="K14">
        <v>2.2000000000000001E-3</v>
      </c>
      <c r="M14" s="9">
        <v>3.0000000000000001E-3</v>
      </c>
      <c r="O14">
        <v>0</v>
      </c>
      <c r="P14">
        <v>0</v>
      </c>
      <c r="Q14">
        <v>0</v>
      </c>
      <c r="R14">
        <v>1.1900000000000001E-2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1.2599999999999998E-3</v>
      </c>
      <c r="AA14">
        <v>1.2899999999999999E-3</v>
      </c>
      <c r="AB14">
        <v>9.2999999999999995E-4</v>
      </c>
      <c r="AC14">
        <v>1.1900000000000001E-2</v>
      </c>
      <c r="AD14">
        <v>7.7999999999999999E-4</v>
      </c>
      <c r="AE14">
        <v>1.47E-3</v>
      </c>
      <c r="AF14">
        <v>1.83E-3</v>
      </c>
      <c r="AG14">
        <v>9.8999999999999999E-4</v>
      </c>
      <c r="AH14">
        <v>5.9999999999999995E-4</v>
      </c>
      <c r="AI14">
        <v>6.6E-4</v>
      </c>
    </row>
    <row r="15" spans="1:35">
      <c r="A15" t="s">
        <v>165</v>
      </c>
      <c r="B15">
        <v>1.4E-3</v>
      </c>
      <c r="C15">
        <v>2.2000000000000001E-3</v>
      </c>
      <c r="D15">
        <v>1E-4</v>
      </c>
      <c r="E15">
        <v>2.5999999999999999E-3</v>
      </c>
      <c r="F15">
        <v>7.7000000000000002E-3</v>
      </c>
      <c r="G15">
        <v>1.6000000000000001E-3</v>
      </c>
      <c r="H15">
        <v>1.8E-3</v>
      </c>
      <c r="I15">
        <v>8.9999999999999998E-4</v>
      </c>
      <c r="J15">
        <v>6.9999999999999999E-4</v>
      </c>
      <c r="K15">
        <v>8.0000000000000004E-4</v>
      </c>
      <c r="M15" s="9">
        <v>1.0699999999999999E-2</v>
      </c>
      <c r="O15">
        <v>0</v>
      </c>
      <c r="P15">
        <v>0</v>
      </c>
      <c r="Q15">
        <v>0</v>
      </c>
      <c r="R15">
        <v>0</v>
      </c>
      <c r="S15">
        <v>7.7000000000000002E-3</v>
      </c>
      <c r="T15">
        <v>0</v>
      </c>
      <c r="U15">
        <v>0</v>
      </c>
      <c r="V15">
        <v>0</v>
      </c>
      <c r="W15">
        <v>0</v>
      </c>
      <c r="X15">
        <v>0</v>
      </c>
      <c r="Z15">
        <v>4.1999999999999996E-4</v>
      </c>
      <c r="AA15">
        <v>6.6E-4</v>
      </c>
      <c r="AB15">
        <v>3.0000000000000001E-5</v>
      </c>
      <c r="AC15">
        <v>7.7999999999999999E-4</v>
      </c>
      <c r="AD15">
        <v>7.7000000000000002E-3</v>
      </c>
      <c r="AE15">
        <v>4.8000000000000001E-4</v>
      </c>
      <c r="AF15">
        <v>5.4000000000000001E-4</v>
      </c>
      <c r="AG15">
        <v>2.7E-4</v>
      </c>
      <c r="AH15">
        <v>2.0999999999999998E-4</v>
      </c>
      <c r="AI15">
        <v>2.4000000000000001E-4</v>
      </c>
    </row>
    <row r="16" spans="1:35">
      <c r="A16" t="s">
        <v>166</v>
      </c>
      <c r="B16">
        <v>3.3E-3</v>
      </c>
      <c r="C16">
        <v>3.3E-3</v>
      </c>
      <c r="D16">
        <v>2.3999999999999998E-3</v>
      </c>
      <c r="E16">
        <v>4.8999999999999998E-3</v>
      </c>
      <c r="F16">
        <v>1.6000000000000001E-3</v>
      </c>
      <c r="G16">
        <v>4.1999999999999997E-3</v>
      </c>
      <c r="H16">
        <v>3.8E-3</v>
      </c>
      <c r="I16">
        <v>1.9E-3</v>
      </c>
      <c r="J16">
        <v>1.1000000000000001E-3</v>
      </c>
      <c r="K16">
        <v>1.4E-3</v>
      </c>
      <c r="M16" s="9">
        <v>8.2000000000000007E-3</v>
      </c>
      <c r="O16">
        <v>0</v>
      </c>
      <c r="P16">
        <v>0</v>
      </c>
      <c r="Q16">
        <v>0</v>
      </c>
      <c r="R16">
        <v>0</v>
      </c>
      <c r="S16">
        <v>0</v>
      </c>
      <c r="T16">
        <v>4.1999999999999997E-3</v>
      </c>
      <c r="U16">
        <v>0</v>
      </c>
      <c r="V16">
        <v>0</v>
      </c>
      <c r="W16">
        <v>0</v>
      </c>
      <c r="X16">
        <v>0</v>
      </c>
      <c r="Z16">
        <v>9.8999999999999999E-4</v>
      </c>
      <c r="AA16">
        <v>9.8999999999999999E-4</v>
      </c>
      <c r="AB16">
        <v>7.1999999999999994E-4</v>
      </c>
      <c r="AC16">
        <v>1.47E-3</v>
      </c>
      <c r="AD16">
        <v>4.8000000000000001E-4</v>
      </c>
      <c r="AE16">
        <v>4.1999999999999989E-3</v>
      </c>
      <c r="AF16">
        <v>1.14E-3</v>
      </c>
      <c r="AG16">
        <v>5.6999999999999998E-4</v>
      </c>
      <c r="AH16">
        <v>3.3E-4</v>
      </c>
      <c r="AI16">
        <v>4.1999999999999996E-4</v>
      </c>
    </row>
    <row r="17" spans="1:35">
      <c r="A17" t="s">
        <v>167</v>
      </c>
      <c r="B17">
        <v>4.5999999999999999E-3</v>
      </c>
      <c r="C17">
        <v>4.5999999999999999E-3</v>
      </c>
      <c r="D17">
        <v>4.3E-3</v>
      </c>
      <c r="E17">
        <v>6.1000000000000004E-3</v>
      </c>
      <c r="F17">
        <v>1.8E-3</v>
      </c>
      <c r="G17">
        <v>3.8E-3</v>
      </c>
      <c r="H17">
        <v>9.2999999999999992E-3</v>
      </c>
      <c r="I17">
        <v>4.1000000000000003E-3</v>
      </c>
      <c r="J17">
        <v>1.8E-3</v>
      </c>
      <c r="K17">
        <v>2.3999999999999998E-3</v>
      </c>
      <c r="M17" s="9">
        <v>-1.8E-3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9.2999999999999992E-3</v>
      </c>
      <c r="V17">
        <v>0</v>
      </c>
      <c r="W17">
        <v>0</v>
      </c>
      <c r="X17">
        <v>0</v>
      </c>
      <c r="Z17">
        <v>1.3799999999999999E-3</v>
      </c>
      <c r="AA17">
        <v>1.3799999999999999E-3</v>
      </c>
      <c r="AB17">
        <v>1.2899999999999999E-3</v>
      </c>
      <c r="AC17">
        <v>1.83E-3</v>
      </c>
      <c r="AD17">
        <v>5.4000000000000001E-4</v>
      </c>
      <c r="AE17">
        <v>1.14E-3</v>
      </c>
      <c r="AF17">
        <v>9.2999999999999992E-3</v>
      </c>
      <c r="AG17">
        <v>1.23E-3</v>
      </c>
      <c r="AH17">
        <v>5.4000000000000001E-4</v>
      </c>
      <c r="AI17">
        <v>7.1999999999999994E-4</v>
      </c>
    </row>
    <row r="18" spans="1:35">
      <c r="A18" t="s">
        <v>168</v>
      </c>
      <c r="B18">
        <v>1.8E-3</v>
      </c>
      <c r="C18">
        <v>2E-3</v>
      </c>
      <c r="D18">
        <v>2.0999999999999999E-3</v>
      </c>
      <c r="E18">
        <v>3.3E-3</v>
      </c>
      <c r="F18">
        <v>8.9999999999999998E-4</v>
      </c>
      <c r="G18">
        <v>1.9E-3</v>
      </c>
      <c r="H18">
        <v>4.1000000000000003E-3</v>
      </c>
      <c r="I18">
        <v>3.8E-3</v>
      </c>
      <c r="J18">
        <v>1.6999999999999999E-3</v>
      </c>
      <c r="K18">
        <v>1.9E-3</v>
      </c>
      <c r="M18" s="9">
        <v>2.9999999999999997E-4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3.8E-3</v>
      </c>
      <c r="W18">
        <v>0</v>
      </c>
      <c r="X18">
        <v>0</v>
      </c>
      <c r="Z18">
        <v>5.4000000000000001E-4</v>
      </c>
      <c r="AA18">
        <v>5.9999999999999995E-4</v>
      </c>
      <c r="AB18">
        <v>6.2999999999999992E-4</v>
      </c>
      <c r="AC18">
        <v>9.8999999999999999E-4</v>
      </c>
      <c r="AD18">
        <v>2.7E-4</v>
      </c>
      <c r="AE18">
        <v>5.6999999999999998E-4</v>
      </c>
      <c r="AF18">
        <v>1.23E-3</v>
      </c>
      <c r="AG18">
        <v>3.8E-3</v>
      </c>
      <c r="AH18">
        <v>5.0999999999999993E-4</v>
      </c>
      <c r="AI18">
        <v>5.6999999999999998E-4</v>
      </c>
    </row>
    <row r="19" spans="1:35">
      <c r="A19" t="s">
        <v>169</v>
      </c>
      <c r="B19">
        <v>1E-3</v>
      </c>
      <c r="C19">
        <v>2.0000000000000001E-4</v>
      </c>
      <c r="D19">
        <v>1.1999999999999999E-3</v>
      </c>
      <c r="E19">
        <v>2E-3</v>
      </c>
      <c r="F19">
        <v>6.9999999999999999E-4</v>
      </c>
      <c r="G19">
        <v>1.1000000000000001E-3</v>
      </c>
      <c r="H19">
        <v>1.8E-3</v>
      </c>
      <c r="I19">
        <v>1.6999999999999999E-3</v>
      </c>
      <c r="J19">
        <v>6.6E-3</v>
      </c>
      <c r="K19">
        <v>5.0000000000000001E-4</v>
      </c>
      <c r="M19" s="9">
        <v>-5.4999999999999997E-3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6.6E-3</v>
      </c>
      <c r="X19">
        <v>0</v>
      </c>
      <c r="Z19">
        <v>2.9999999999999997E-4</v>
      </c>
      <c r="AA19">
        <v>6.0000000000000002E-5</v>
      </c>
      <c r="AB19">
        <v>3.5999999999999997E-4</v>
      </c>
      <c r="AC19">
        <v>5.9999999999999995E-4</v>
      </c>
      <c r="AD19">
        <v>2.0999999999999998E-4</v>
      </c>
      <c r="AE19">
        <v>3.3E-4</v>
      </c>
      <c r="AF19">
        <v>5.4000000000000001E-4</v>
      </c>
      <c r="AG19">
        <v>5.0999999999999993E-4</v>
      </c>
      <c r="AH19">
        <v>6.6E-3</v>
      </c>
      <c r="AI19">
        <v>1.4999999999999999E-4</v>
      </c>
    </row>
    <row r="20" spans="1:35">
      <c r="A20" t="s">
        <v>170</v>
      </c>
      <c r="B20">
        <v>1.4E-3</v>
      </c>
      <c r="C20">
        <v>1.8E-3</v>
      </c>
      <c r="D20">
        <v>1.6000000000000001E-3</v>
      </c>
      <c r="E20">
        <v>2.2000000000000001E-3</v>
      </c>
      <c r="F20">
        <v>8.0000000000000004E-4</v>
      </c>
      <c r="G20">
        <v>1.4E-3</v>
      </c>
      <c r="H20">
        <v>2.3999999999999998E-3</v>
      </c>
      <c r="I20">
        <v>1.9E-3</v>
      </c>
      <c r="J20">
        <v>5.0000000000000001E-4</v>
      </c>
      <c r="K20">
        <v>3.0999999999999999E-3</v>
      </c>
      <c r="M20" s="9">
        <v>7.4999999999999997E-3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3.0999999999999999E-3</v>
      </c>
      <c r="Z20">
        <v>4.1999999999999996E-4</v>
      </c>
      <c r="AA20">
        <v>5.4000000000000001E-4</v>
      </c>
      <c r="AB20">
        <v>4.8000000000000001E-4</v>
      </c>
      <c r="AC20">
        <v>6.6E-4</v>
      </c>
      <c r="AD20">
        <v>2.4000000000000001E-4</v>
      </c>
      <c r="AE20">
        <v>4.1999999999999996E-4</v>
      </c>
      <c r="AF20">
        <v>7.1999999999999994E-4</v>
      </c>
      <c r="AG20">
        <v>5.6999999999999998E-4</v>
      </c>
      <c r="AH20">
        <v>1.4999999999999999E-4</v>
      </c>
      <c r="AI20">
        <v>3.0999999999999995E-3</v>
      </c>
    </row>
    <row r="22" spans="1:35">
      <c r="A22" t="s">
        <v>172</v>
      </c>
      <c r="B22" s="123">
        <v>4.0000000000000001E-3</v>
      </c>
    </row>
    <row r="23" spans="1:35">
      <c r="B23" s="9"/>
    </row>
    <row r="24" spans="1:35">
      <c r="A24" t="s">
        <v>196</v>
      </c>
      <c r="B24" t="str">
        <f ca="1">_xlfn.FORMULATEXT(B25)</f>
        <v>{=MMULT(MINVERSE(B11:K20),M11:M20-B22)}</v>
      </c>
      <c r="Z24" t="s">
        <v>195</v>
      </c>
    </row>
    <row r="25" spans="1:35">
      <c r="A25" t="s">
        <v>136</v>
      </c>
      <c r="B25" s="7">
        <f t="array" ref="B25:B34">MMULT(MINVERSE(B11:K20),M11:M20-B22)</f>
        <v>-1.6084151302460621</v>
      </c>
      <c r="C25" s="7">
        <f>B25/SUM($B$25:$B$34)</f>
        <v>6.3457609516309565</v>
      </c>
      <c r="E25" s="9"/>
      <c r="Z25" t="s">
        <v>136</v>
      </c>
      <c r="AA25" s="7">
        <f t="array" ref="AA25:AA34">MMULT(MINVERSE(Z11:AI20),M11:M20)</f>
        <v>-0.90984177080193662</v>
      </c>
      <c r="AB25" s="7">
        <f t="shared" ref="AB25:AB34" si="0">AA25/SUM($AA$25:$AA$34)</f>
        <v>-0.34183589892569305</v>
      </c>
    </row>
    <row r="26" spans="1:35">
      <c r="A26" t="s">
        <v>162</v>
      </c>
      <c r="B26" s="7">
        <v>-3.2086225140765037</v>
      </c>
      <c r="C26" s="7">
        <f t="shared" ref="C26:C34" si="1">B26/SUM($B$25:$B$34)</f>
        <v>12.659139469320767</v>
      </c>
      <c r="E26" s="9"/>
      <c r="Z26" t="s">
        <v>162</v>
      </c>
      <c r="AA26" s="7">
        <v>-0.94655566332504693</v>
      </c>
      <c r="AB26" s="7">
        <f t="shared" si="0"/>
        <v>-0.35562964510931461</v>
      </c>
    </row>
    <row r="27" spans="1:35">
      <c r="A27" t="s">
        <v>163</v>
      </c>
      <c r="B27" s="7">
        <v>-2.1891949913759823</v>
      </c>
      <c r="C27" s="7">
        <f t="shared" si="1"/>
        <v>8.6371408913907093</v>
      </c>
      <c r="E27" s="9"/>
      <c r="Z27" t="s">
        <v>163</v>
      </c>
      <c r="AA27" s="7">
        <v>-2.6223027130100968E-2</v>
      </c>
      <c r="AB27" s="7">
        <f t="shared" si="0"/>
        <v>-9.8522318267164587E-3</v>
      </c>
    </row>
    <row r="28" spans="1:35">
      <c r="A28" t="s">
        <v>164</v>
      </c>
      <c r="B28" s="7">
        <v>-0.68870455842565215</v>
      </c>
      <c r="C28" s="7">
        <f t="shared" si="1"/>
        <v>2.7171806655407109</v>
      </c>
      <c r="E28" s="9"/>
      <c r="Z28" t="s">
        <v>164</v>
      </c>
      <c r="AA28" s="7">
        <v>8.2864582929523409E-2</v>
      </c>
      <c r="AB28" s="7">
        <f t="shared" si="0"/>
        <v>3.1132983892187754E-2</v>
      </c>
    </row>
    <row r="29" spans="1:35">
      <c r="A29" t="s">
        <v>165</v>
      </c>
      <c r="B29" s="7">
        <v>0.94357969277021592</v>
      </c>
      <c r="C29" s="7">
        <f t="shared" si="1"/>
        <v>-3.7227523271415275</v>
      </c>
      <c r="E29" s="9"/>
      <c r="Z29" t="s">
        <v>165</v>
      </c>
      <c r="AA29" s="7">
        <v>1.3598614902396899</v>
      </c>
      <c r="AB29" s="7">
        <f t="shared" si="0"/>
        <v>0.51091243537961284</v>
      </c>
    </row>
    <row r="30" spans="1:35">
      <c r="A30" t="s">
        <v>166</v>
      </c>
      <c r="B30" s="7">
        <v>5.7988829177483341</v>
      </c>
      <c r="C30" s="7">
        <f t="shared" si="1"/>
        <v>-22.878623864286581</v>
      </c>
      <c r="E30" s="9"/>
      <c r="Z30" t="s">
        <v>166</v>
      </c>
      <c r="AA30" s="7">
        <v>2.1696214438125985</v>
      </c>
      <c r="AB30" s="7">
        <f t="shared" si="0"/>
        <v>0.8151466775595978</v>
      </c>
    </row>
    <row r="31" spans="1:35">
      <c r="A31" t="s">
        <v>167</v>
      </c>
      <c r="B31" s="7">
        <v>0.91568975462851876</v>
      </c>
      <c r="C31" s="7">
        <f t="shared" si="1"/>
        <v>-3.6127167541884746</v>
      </c>
      <c r="E31" s="9"/>
      <c r="Z31" t="s">
        <v>167</v>
      </c>
      <c r="AA31" s="7">
        <v>-0.38508250108602898</v>
      </c>
      <c r="AB31" s="7">
        <f t="shared" si="0"/>
        <v>-0.14467902787456491</v>
      </c>
    </row>
    <row r="32" spans="1:35">
      <c r="A32" t="s">
        <v>168</v>
      </c>
      <c r="B32" s="7">
        <v>-1.6062149716356116</v>
      </c>
      <c r="C32" s="7">
        <f t="shared" si="1"/>
        <v>6.3370805554228857</v>
      </c>
      <c r="E32" s="9"/>
      <c r="Z32" t="s">
        <v>168</v>
      </c>
      <c r="AA32" s="7">
        <v>-0.19943298480592025</v>
      </c>
      <c r="AB32" s="7">
        <f t="shared" si="0"/>
        <v>-7.4928801715135246E-2</v>
      </c>
    </row>
    <row r="33" spans="1:28">
      <c r="A33" t="s">
        <v>169</v>
      </c>
      <c r="B33" s="7">
        <v>-1.6224817703943846</v>
      </c>
      <c r="C33" s="7">
        <f t="shared" si="1"/>
        <v>6.4012587731170134</v>
      </c>
      <c r="E33" s="9"/>
      <c r="Z33" t="s">
        <v>169</v>
      </c>
      <c r="AA33" s="7">
        <v>-0.95036999179744031</v>
      </c>
      <c r="AB33" s="7">
        <f t="shared" si="0"/>
        <v>-0.3570627233037893</v>
      </c>
    </row>
    <row r="34" spans="1:28">
      <c r="A34" t="s">
        <v>170</v>
      </c>
      <c r="B34" s="7">
        <v>3.0120186463073448</v>
      </c>
      <c r="C34" s="7">
        <f t="shared" si="1"/>
        <v>-11.883468360806461</v>
      </c>
      <c r="E34" s="9"/>
      <c r="Z34" t="s">
        <v>170</v>
      </c>
      <c r="AA34" s="7">
        <v>2.4667916022752956</v>
      </c>
      <c r="AB34" s="7">
        <f t="shared" si="0"/>
        <v>0.92679623192381522</v>
      </c>
    </row>
    <row r="35" spans="1:28">
      <c r="B35" s="9">
        <f>SUM(B25:B34)</f>
        <v>-0.25346292469978327</v>
      </c>
      <c r="C35" s="9">
        <f>SUM(C25:C34)</f>
        <v>1</v>
      </c>
      <c r="AA35" s="9">
        <f>SUM(AA25:AA34)</f>
        <v>2.6616331803106332</v>
      </c>
      <c r="AB35" s="9">
        <f>SUM(AB25:AB34)</f>
        <v>1</v>
      </c>
    </row>
    <row r="38" spans="1:28">
      <c r="A38" t="s">
        <v>177</v>
      </c>
      <c r="B38" s="19">
        <v>0.01</v>
      </c>
      <c r="H38" t="s">
        <v>192</v>
      </c>
    </row>
    <row r="39" spans="1:28">
      <c r="H39" s="124">
        <f t="array" ref="H39">(B38-B22)/MMULT(MMULT(B6:K6,B11:K20),TRANSPOSE(B6:K6))</f>
        <v>2.1304538626447278</v>
      </c>
      <c r="I39" t="str">
        <f ca="1">_xlfn.FORMULATEXT(H39)</f>
        <v>{=(B38-B22)/MMULT(MMULT(B6:K6,B11:K20),TRANSPOSE(B6:K6))}</v>
      </c>
    </row>
    <row r="40" spans="1:28" ht="19.5">
      <c r="A40" s="126" t="s">
        <v>178</v>
      </c>
    </row>
    <row r="41" spans="1:28">
      <c r="B41" t="s">
        <v>181</v>
      </c>
      <c r="H41" t="s">
        <v>182</v>
      </c>
    </row>
    <row r="42" spans="1:28">
      <c r="A42" t="s">
        <v>136</v>
      </c>
      <c r="B42" s="7">
        <f t="array" ref="B42:B51">MMULT(B11:K20,TRANSPOSE(B6:K6)+B22)</f>
        <v>2.7673399999999992E-3</v>
      </c>
      <c r="C42" t="str">
        <f ca="1">_xlfn.FORMULATEXT(B42)</f>
        <v>{=MMULT(B11:K20,TRANSPOSE(B6:K6)+B22)}</v>
      </c>
      <c r="H42" s="7">
        <f t="array" ref="H42:H51">MMULT(B11:K20,TRANSPOSE(B6:K6))*H39+B22</f>
        <v>9.5974266514810003E-3</v>
      </c>
      <c r="I42" t="str">
        <f ca="1">_xlfn.FORMULATEXT(H42)</f>
        <v>{=MMULT(B11:K20,TRANSPOSE(B6:K6))*H39+B22}</v>
      </c>
    </row>
    <row r="43" spans="1:28">
      <c r="A43" t="s">
        <v>162</v>
      </c>
      <c r="B43" s="7">
        <v>3.1504100000000002E-3</v>
      </c>
      <c r="H43" s="7">
        <v>1.0451035600626865E-2</v>
      </c>
    </row>
    <row r="44" spans="1:28">
      <c r="A44" t="s">
        <v>163</v>
      </c>
      <c r="B44" s="7">
        <v>1.84055E-3</v>
      </c>
      <c r="H44" s="7">
        <v>7.7243529199823814E-3</v>
      </c>
    </row>
    <row r="45" spans="1:28">
      <c r="A45" t="s">
        <v>164</v>
      </c>
      <c r="B45" s="7">
        <v>4.6887100000000004E-3</v>
      </c>
      <c r="H45" s="7">
        <v>1.3609007361225145E-2</v>
      </c>
    </row>
    <row r="46" spans="1:28">
      <c r="A46" t="s">
        <v>165</v>
      </c>
      <c r="B46" s="7">
        <v>3.1271000000000003E-3</v>
      </c>
      <c r="H46" s="7">
        <v>1.0493410327954866E-2</v>
      </c>
    </row>
    <row r="47" spans="1:28">
      <c r="A47" t="s">
        <v>166</v>
      </c>
      <c r="B47" s="7">
        <v>2.7592599999999995E-3</v>
      </c>
      <c r="H47" s="7">
        <v>9.6407174739699397E-3</v>
      </c>
    </row>
    <row r="48" spans="1:28">
      <c r="A48" t="s">
        <v>167</v>
      </c>
      <c r="B48" s="7">
        <v>3.8080100000000001E-3</v>
      </c>
      <c r="H48" s="7">
        <v>1.1748055912204972E-2</v>
      </c>
    </row>
    <row r="49" spans="1:8">
      <c r="A49" t="s">
        <v>168</v>
      </c>
      <c r="B49" s="7">
        <v>2.1515500000000003E-3</v>
      </c>
      <c r="H49" s="7">
        <v>8.3835153450846599E-3</v>
      </c>
    </row>
    <row r="50" spans="1:8">
      <c r="A50" t="s">
        <v>169</v>
      </c>
      <c r="B50" s="7">
        <v>1.8028200000000001E-3</v>
      </c>
      <c r="H50" s="7">
        <v>7.6976583330834424E-3</v>
      </c>
    </row>
    <row r="51" spans="1:8">
      <c r="A51" t="s">
        <v>170</v>
      </c>
      <c r="B51" s="7">
        <v>1.6143000000000002E-3</v>
      </c>
      <c r="H51" s="7">
        <v>7.2934686262624854E-3</v>
      </c>
    </row>
    <row r="53" spans="1:8">
      <c r="A53" t="s">
        <v>180</v>
      </c>
      <c r="B53" s="11">
        <f t="array" ref="B53">MMULT(B6:K6,B42:B51)</f>
        <v>2.9226423080000005E-3</v>
      </c>
      <c r="G53" t="s">
        <v>180</v>
      </c>
      <c r="H53" s="125">
        <f t="array" ref="H53">MMULT(B6:K6,H42:H51)</f>
        <v>9.9991999999999998E-3</v>
      </c>
    </row>
    <row r="56" spans="1:8">
      <c r="A56" t="s">
        <v>183</v>
      </c>
      <c r="B56" t="str">
        <f ca="1">_xlfn.FORMULATEXT(B57)</f>
        <v>{=MMULT(MINVERSE(B11:K20),H42:H51-B22)}</v>
      </c>
    </row>
    <row r="57" spans="1:8">
      <c r="A57" t="s">
        <v>136</v>
      </c>
      <c r="B57" s="7">
        <f t="array" ref="B57:B66">MMULT(MINVERSE(B11:K20),H42:H51-B22)</f>
        <v>5.7735299677672491E-2</v>
      </c>
      <c r="C57" s="9">
        <f>B57/SUM($B$57:$B$66)</f>
        <v>2.7105421084217013E-2</v>
      </c>
      <c r="D57" s="10" t="s">
        <v>184</v>
      </c>
    </row>
    <row r="58" spans="1:8">
      <c r="A58" t="s">
        <v>162</v>
      </c>
      <c r="B58" s="7">
        <v>0.25373705504098776</v>
      </c>
      <c r="C58" s="9">
        <f t="shared" ref="C58:C66" si="2">B58/SUM($B$57:$B$66)</f>
        <v>0.11912382476495328</v>
      </c>
    </row>
    <row r="59" spans="1:8">
      <c r="A59" t="s">
        <v>163</v>
      </c>
      <c r="B59" s="7">
        <v>5.4539618883705676E-2</v>
      </c>
      <c r="C59" s="9">
        <f t="shared" si="2"/>
        <v>2.5605121024205139E-2</v>
      </c>
    </row>
    <row r="60" spans="1:8">
      <c r="A60" t="s">
        <v>164</v>
      </c>
      <c r="B60" s="7">
        <v>0.30316358465434545</v>
      </c>
      <c r="C60" s="9">
        <f t="shared" si="2"/>
        <v>0.14232846569313892</v>
      </c>
    </row>
    <row r="61" spans="1:8">
      <c r="A61" t="s">
        <v>165</v>
      </c>
      <c r="B61" s="7">
        <v>0.52600905868698333</v>
      </c>
      <c r="C61" s="9">
        <f t="shared" si="2"/>
        <v>0.24694938987797557</v>
      </c>
    </row>
    <row r="62" spans="1:8">
      <c r="A62" t="s">
        <v>166</v>
      </c>
      <c r="B62" s="7">
        <v>0.22518897328154591</v>
      </c>
      <c r="C62" s="9">
        <f t="shared" si="2"/>
        <v>0.1057211442288449</v>
      </c>
    </row>
    <row r="63" spans="1:8">
      <c r="A63" t="s">
        <v>167</v>
      </c>
      <c r="B63" s="7">
        <v>9.650955997780504E-2</v>
      </c>
      <c r="C63" s="9">
        <f t="shared" si="2"/>
        <v>4.5309061812361932E-2</v>
      </c>
    </row>
    <row r="64" spans="1:8">
      <c r="A64" t="s">
        <v>168</v>
      </c>
      <c r="B64" s="7">
        <v>0.13144900332518028</v>
      </c>
      <c r="C64" s="9">
        <f t="shared" si="2"/>
        <v>6.1712342468493962E-2</v>
      </c>
    </row>
    <row r="65" spans="1:10">
      <c r="A65" t="s">
        <v>169</v>
      </c>
      <c r="B65" s="7">
        <v>0.27269809441852522</v>
      </c>
      <c r="C65" s="9">
        <f t="shared" si="2"/>
        <v>0.12802560512102421</v>
      </c>
    </row>
    <row r="66" spans="1:10">
      <c r="A66" t="s">
        <v>170</v>
      </c>
      <c r="B66" s="7">
        <v>0.20899752392544779</v>
      </c>
      <c r="C66" s="9">
        <f t="shared" si="2"/>
        <v>9.8119623924784946E-2</v>
      </c>
    </row>
    <row r="67" spans="1:10">
      <c r="B67" s="9">
        <f>SUM(B57:B66)</f>
        <v>2.1300277718721992</v>
      </c>
      <c r="C67" s="9">
        <f>SUM(C57:C66)</f>
        <v>0.99999999999999989</v>
      </c>
    </row>
    <row r="70" spans="1:10" ht="19.5">
      <c r="A70" s="126" t="s">
        <v>185</v>
      </c>
    </row>
    <row r="71" spans="1:10">
      <c r="A71" t="s">
        <v>186</v>
      </c>
    </row>
    <row r="72" spans="1:10" ht="16.5">
      <c r="D72" s="10" t="s">
        <v>189</v>
      </c>
    </row>
    <row r="73" spans="1:10">
      <c r="B73" t="s">
        <v>187</v>
      </c>
      <c r="C73" t="s">
        <v>191</v>
      </c>
      <c r="D73" t="s">
        <v>188</v>
      </c>
      <c r="I73" t="s">
        <v>183</v>
      </c>
    </row>
    <row r="74" spans="1:10">
      <c r="A74" t="s">
        <v>136</v>
      </c>
      <c r="B74" s="9">
        <f t="shared" ref="B74:B83" si="3">H42</f>
        <v>9.5974266514810003E-3</v>
      </c>
      <c r="C74" s="9">
        <v>1.4E-3</v>
      </c>
      <c r="D74" s="9">
        <f>B74+B11/$B$11*$C$74</f>
        <v>1.0997426651481E-2</v>
      </c>
      <c r="E74" t="str">
        <f ca="1">_xlfn.FORMULATEXT(D74)</f>
        <v>=B74+B11/$B$11*$C$74</v>
      </c>
      <c r="I74" s="9">
        <f t="array" ref="I74:I83">MMULT(MINVERSE(B11:K20),D74:D83-B22)</f>
        <v>0.17637936747428273</v>
      </c>
      <c r="J74" s="127">
        <f>I74/$I$84</f>
        <v>7.8437130915580966E-2</v>
      </c>
    </row>
    <row r="75" spans="1:10">
      <c r="A75" t="s">
        <v>162</v>
      </c>
      <c r="B75" s="9">
        <f t="shared" si="3"/>
        <v>1.0451035600626865E-2</v>
      </c>
      <c r="C75" s="9">
        <v>0</v>
      </c>
      <c r="D75" s="9">
        <f t="shared" ref="D75:D83" si="4">B75+B12/$B$11*$C$74</f>
        <v>1.0818832210796357E-2</v>
      </c>
      <c r="E75" t="str">
        <f t="shared" ref="E75:E83" ca="1" si="5">_xlfn.FORMULATEXT(D75)</f>
        <v>=B75+B12/$B$11*$C$74</v>
      </c>
      <c r="I75" s="9">
        <v>0.2537370550409877</v>
      </c>
      <c r="J75" s="127">
        <f t="shared" ref="J75:J83" si="6">I75/$I$84</f>
        <v>0.11283863237170202</v>
      </c>
    </row>
    <row r="76" spans="1:10">
      <c r="A76" t="s">
        <v>163</v>
      </c>
      <c r="B76" s="9">
        <f t="shared" si="3"/>
        <v>7.7243529199823814E-3</v>
      </c>
      <c r="C76" s="9">
        <v>0</v>
      </c>
      <c r="D76" s="9">
        <f t="shared" si="4"/>
        <v>8.0090986826942458E-3</v>
      </c>
      <c r="E76" t="str">
        <f t="shared" ca="1" si="5"/>
        <v>=B76+B13/$B$11*$C$74</v>
      </c>
      <c r="I76" s="9">
        <v>5.4539618883705898E-2</v>
      </c>
      <c r="J76" s="127">
        <f t="shared" si="6"/>
        <v>2.4254147680231826E-2</v>
      </c>
    </row>
    <row r="77" spans="1:10">
      <c r="A77" t="s">
        <v>164</v>
      </c>
      <c r="B77" s="9">
        <f t="shared" si="3"/>
        <v>1.3609007361225145E-2</v>
      </c>
      <c r="C77" s="9">
        <v>0</v>
      </c>
      <c r="D77" s="9">
        <f t="shared" si="4"/>
        <v>1.4107312445970908E-2</v>
      </c>
      <c r="E77" t="str">
        <f t="shared" ca="1" si="5"/>
        <v>=B77+B14/$B$11*$C$74</v>
      </c>
      <c r="I77" s="9">
        <v>0.30316358465434573</v>
      </c>
      <c r="J77" s="127">
        <f t="shared" si="6"/>
        <v>0.13481895370691191</v>
      </c>
    </row>
    <row r="78" spans="1:10">
      <c r="A78" t="s">
        <v>165</v>
      </c>
      <c r="B78" s="9">
        <f t="shared" si="3"/>
        <v>1.0493410327954866E-2</v>
      </c>
      <c r="C78" s="9">
        <v>0</v>
      </c>
      <c r="D78" s="9">
        <f t="shared" si="4"/>
        <v>1.065951202287012E-2</v>
      </c>
      <c r="E78" t="str">
        <f t="shared" ca="1" si="5"/>
        <v>=B78+B15/$B$11*$C$74</v>
      </c>
      <c r="I78" s="9">
        <v>0.526009058686983</v>
      </c>
      <c r="J78" s="127">
        <f t="shared" si="6"/>
        <v>0.23391988524410701</v>
      </c>
    </row>
    <row r="79" spans="1:10">
      <c r="A79" t="s">
        <v>166</v>
      </c>
      <c r="B79" s="9">
        <f t="shared" si="3"/>
        <v>9.6407174739699397E-3</v>
      </c>
      <c r="C79" s="9">
        <v>0</v>
      </c>
      <c r="D79" s="9">
        <f t="shared" si="4"/>
        <v>1.0032242897698754E-2</v>
      </c>
      <c r="E79" t="str">
        <f t="shared" ca="1" si="5"/>
        <v>=B79+B16/$B$11*$C$74</v>
      </c>
      <c r="I79" s="9">
        <v>0.22518897328154736</v>
      </c>
      <c r="J79" s="127">
        <f t="shared" si="6"/>
        <v>0.10014310194533044</v>
      </c>
    </row>
    <row r="80" spans="1:10">
      <c r="A80" t="s">
        <v>167</v>
      </c>
      <c r="B80" s="9">
        <f t="shared" si="3"/>
        <v>1.1748055912204972E-2</v>
      </c>
      <c r="C80" s="9">
        <v>0</v>
      </c>
      <c r="D80" s="9">
        <f t="shared" si="4"/>
        <v>1.2293818624069378E-2</v>
      </c>
      <c r="E80" t="str">
        <f t="shared" ca="1" si="5"/>
        <v>=B80+B17/$B$11*$C$74</v>
      </c>
      <c r="I80" s="9">
        <v>9.6509559977804665E-2</v>
      </c>
      <c r="J80" s="127">
        <f t="shared" si="6"/>
        <v>4.2918472262283874E-2</v>
      </c>
    </row>
    <row r="81" spans="1:34">
      <c r="A81" t="s">
        <v>168</v>
      </c>
      <c r="B81" s="9">
        <f t="shared" si="3"/>
        <v>8.3835153450846599E-3</v>
      </c>
      <c r="C81" s="9">
        <v>0</v>
      </c>
      <c r="D81" s="9">
        <f t="shared" si="4"/>
        <v>8.597074667118558E-3</v>
      </c>
      <c r="E81" t="str">
        <f t="shared" ca="1" si="5"/>
        <v>=B81+B18/$B$11*$C$74</v>
      </c>
      <c r="I81" s="9">
        <v>0.13144900332518006</v>
      </c>
      <c r="J81" s="127">
        <f t="shared" si="6"/>
        <v>5.8456285619932963E-2</v>
      </c>
    </row>
    <row r="82" spans="1:34">
      <c r="A82" t="s">
        <v>169</v>
      </c>
      <c r="B82" s="9">
        <f t="shared" si="3"/>
        <v>7.6976583330834424E-3</v>
      </c>
      <c r="C82" s="9">
        <v>0</v>
      </c>
      <c r="D82" s="9">
        <f t="shared" si="4"/>
        <v>7.816302400880052E-3</v>
      </c>
      <c r="E82" t="str">
        <f t="shared" ca="1" si="5"/>
        <v>=B82+B19/$B$11*$C$74</v>
      </c>
      <c r="I82" s="9">
        <v>0.27269809441852516</v>
      </c>
      <c r="J82" s="127">
        <f t="shared" si="6"/>
        <v>0.12127073840115721</v>
      </c>
    </row>
    <row r="83" spans="1:34">
      <c r="A83" t="s">
        <v>170</v>
      </c>
      <c r="B83" s="9">
        <f t="shared" si="3"/>
        <v>7.2934686262624854E-3</v>
      </c>
      <c r="C83" s="9">
        <v>0</v>
      </c>
      <c r="D83" s="9">
        <f t="shared" si="4"/>
        <v>7.4595703211777394E-3</v>
      </c>
      <c r="E83" t="str">
        <f t="shared" ca="1" si="5"/>
        <v>=B83+B20/$B$11*$C$74</v>
      </c>
      <c r="I83" s="9">
        <v>0.20899752392544735</v>
      </c>
      <c r="J83" s="127">
        <f t="shared" si="6"/>
        <v>9.2942651852761682E-2</v>
      </c>
    </row>
    <row r="84" spans="1:34">
      <c r="A84" s="9"/>
      <c r="I84" s="9">
        <f>SUM(I74:I83)</f>
        <v>2.2486718396688099</v>
      </c>
      <c r="J84" s="9">
        <f>SUM(J74:J83)</f>
        <v>1</v>
      </c>
    </row>
    <row r="86" spans="1:34">
      <c r="A86" t="s">
        <v>190</v>
      </c>
    </row>
    <row r="88" spans="1:34">
      <c r="A88" s="129" t="s">
        <v>197</v>
      </c>
    </row>
    <row r="89" spans="1:34">
      <c r="B89" t="s">
        <v>187</v>
      </c>
      <c r="C89" t="s">
        <v>191</v>
      </c>
      <c r="D89" t="s">
        <v>188</v>
      </c>
      <c r="G89" t="s">
        <v>202</v>
      </c>
      <c r="R89" t="s">
        <v>183</v>
      </c>
    </row>
    <row r="90" spans="1:34">
      <c r="A90" t="s">
        <v>136</v>
      </c>
      <c r="B90" s="9">
        <f>H42</f>
        <v>9.5974266514810003E-3</v>
      </c>
      <c r="C90" s="9">
        <f t="array" ref="C90:C99">MMULT(MINVERSE(G90:P99),D90:D99-B90:B99)</f>
        <v>1.9045506431444924E-3</v>
      </c>
      <c r="D90" s="9">
        <v>1.0999999999999999E-2</v>
      </c>
      <c r="G90" s="53">
        <f t="array" ref="G90:P90">B11:K11/B11</f>
        <v>1</v>
      </c>
      <c r="H90" s="53">
        <v>0.26271186440677968</v>
      </c>
      <c r="I90" s="53">
        <v>0.20338983050847456</v>
      </c>
      <c r="J90" s="53">
        <v>0.3559322033898305</v>
      </c>
      <c r="K90" s="53">
        <v>0.11864406779661017</v>
      </c>
      <c r="L90" s="53">
        <v>0.27966101694915257</v>
      </c>
      <c r="M90" s="53">
        <v>0.38983050847457629</v>
      </c>
      <c r="N90" s="53">
        <v>0.15254237288135594</v>
      </c>
      <c r="O90" s="53">
        <v>8.4745762711864417E-2</v>
      </c>
      <c r="P90" s="53">
        <v>0.11864406779661017</v>
      </c>
      <c r="R90" s="9">
        <f t="array" ref="R90:R99">MMULT(MINVERSE(B11:K20),D90:D99-B22)</f>
        <v>0.21911445380098948</v>
      </c>
      <c r="S90" s="128">
        <f>R90/$R$100</f>
        <v>0.10230026451373163</v>
      </c>
      <c r="AA90" s="53"/>
      <c r="AB90" s="53"/>
      <c r="AC90" s="53"/>
      <c r="AD90" s="53"/>
      <c r="AE90" s="53"/>
      <c r="AF90" s="53"/>
      <c r="AG90" s="53"/>
      <c r="AH90" s="53"/>
    </row>
    <row r="91" spans="1:34">
      <c r="A91" t="s">
        <v>162</v>
      </c>
      <c r="B91" s="9">
        <f t="shared" ref="B91:B99" si="7">H43</f>
        <v>1.0451035600626865E-2</v>
      </c>
      <c r="C91" s="9">
        <v>-8.7119853431116921E-4</v>
      </c>
      <c r="D91" s="9">
        <v>0.01</v>
      </c>
      <c r="G91" s="53">
        <f t="array" ref="G91:P91">B12:K12/C12</f>
        <v>0.43055555555555552</v>
      </c>
      <c r="H91" s="53">
        <v>1</v>
      </c>
      <c r="I91" s="53">
        <v>0.2638888888888889</v>
      </c>
      <c r="J91" s="53">
        <v>0.59722222222222221</v>
      </c>
      <c r="K91" s="53">
        <v>0.30555555555555558</v>
      </c>
      <c r="L91" s="53">
        <v>0.45833333333333337</v>
      </c>
      <c r="M91" s="53">
        <v>0.63888888888888895</v>
      </c>
      <c r="N91" s="53">
        <v>0.27777777777777779</v>
      </c>
      <c r="O91" s="53">
        <v>2.777777777777778E-2</v>
      </c>
      <c r="P91" s="53">
        <v>0.25</v>
      </c>
      <c r="R91" s="9">
        <v>0.13261778475071506</v>
      </c>
      <c r="S91" s="128">
        <f t="shared" ref="S91:S99" si="8">R91/$R$100</f>
        <v>6.1916656906373421E-2</v>
      </c>
      <c r="AA91" s="53"/>
      <c r="AB91" s="53"/>
      <c r="AC91" s="53"/>
      <c r="AD91" s="53"/>
      <c r="AE91" s="53"/>
      <c r="AF91" s="53"/>
      <c r="AG91" s="53"/>
      <c r="AH91" s="53"/>
    </row>
    <row r="92" spans="1:34">
      <c r="A92" t="s">
        <v>163</v>
      </c>
      <c r="B92" s="128">
        <f t="shared" si="7"/>
        <v>7.7243529199823814E-3</v>
      </c>
      <c r="C92" s="9">
        <v>-1.7737832358788043E-4</v>
      </c>
      <c r="D92" s="128">
        <f>B92</f>
        <v>7.7243529199823814E-3</v>
      </c>
      <c r="G92" s="53">
        <f t="array" ref="G92:P92">B13:K13/D13</f>
        <v>0.6</v>
      </c>
      <c r="H92" s="53">
        <v>0.47499999999999998</v>
      </c>
      <c r="I92" s="53">
        <v>1</v>
      </c>
      <c r="J92" s="53">
        <v>0.77499999999999991</v>
      </c>
      <c r="K92" s="53">
        <v>2.5000000000000001E-2</v>
      </c>
      <c r="L92" s="53">
        <v>0.6</v>
      </c>
      <c r="M92" s="53">
        <v>1.075</v>
      </c>
      <c r="N92" s="53">
        <v>0.52499999999999991</v>
      </c>
      <c r="O92" s="53">
        <v>0.3</v>
      </c>
      <c r="P92" s="53">
        <v>0.4</v>
      </c>
      <c r="R92" s="9">
        <v>2.5574334675363575E-2</v>
      </c>
      <c r="S92" s="128">
        <f t="shared" si="8"/>
        <v>1.1940158016360754E-2</v>
      </c>
      <c r="AA92" s="53"/>
      <c r="AB92" s="53"/>
      <c r="AC92" s="53"/>
      <c r="AD92" s="53"/>
      <c r="AE92" s="53"/>
      <c r="AF92" s="53"/>
      <c r="AG92" s="53"/>
      <c r="AH92" s="53"/>
    </row>
    <row r="93" spans="1:34">
      <c r="A93" t="s">
        <v>164</v>
      </c>
      <c r="B93" s="128">
        <f t="shared" si="7"/>
        <v>1.3609007361225145E-2</v>
      </c>
      <c r="C93" s="9">
        <v>4.267101772408736E-6</v>
      </c>
      <c r="D93" s="128">
        <f t="shared" ref="D93:D99" si="9">B93</f>
        <v>1.3609007361225145E-2</v>
      </c>
      <c r="G93" s="53">
        <f t="array" ref="G93:P93">B14:K14/E14</f>
        <v>0.3529411764705882</v>
      </c>
      <c r="H93" s="53">
        <v>0.36134453781512604</v>
      </c>
      <c r="I93" s="53">
        <v>0.26050420168067223</v>
      </c>
      <c r="J93" s="53">
        <v>1</v>
      </c>
      <c r="K93" s="53">
        <v>0.21848739495798317</v>
      </c>
      <c r="L93" s="53">
        <v>0.41176470588235292</v>
      </c>
      <c r="M93" s="53">
        <v>0.51260504201680668</v>
      </c>
      <c r="N93" s="53">
        <v>0.27731092436974786</v>
      </c>
      <c r="O93" s="53">
        <v>0.16806722689075629</v>
      </c>
      <c r="P93" s="53">
        <v>0.18487394957983194</v>
      </c>
      <c r="R93" s="9">
        <v>0.30260239820026213</v>
      </c>
      <c r="S93" s="128">
        <f t="shared" si="8"/>
        <v>0.14127915726861362</v>
      </c>
      <c r="AA93" s="53"/>
      <c r="AB93" s="53"/>
      <c r="AC93" s="53"/>
      <c r="AD93" s="53"/>
      <c r="AE93" s="53"/>
      <c r="AF93" s="53"/>
      <c r="AG93" s="53"/>
      <c r="AH93" s="53"/>
    </row>
    <row r="94" spans="1:34">
      <c r="A94" t="s">
        <v>165</v>
      </c>
      <c r="B94" s="128">
        <f t="shared" si="7"/>
        <v>1.0493410327954866E-2</v>
      </c>
      <c r="C94" s="9">
        <v>6.9087320722548045E-5</v>
      </c>
      <c r="D94" s="128">
        <f t="shared" si="9"/>
        <v>1.0493410327954866E-2</v>
      </c>
      <c r="G94" s="53">
        <f t="array" ref="G94:P94">B15:K15/F15</f>
        <v>0.18181818181818182</v>
      </c>
      <c r="H94" s="53">
        <v>0.2857142857142857</v>
      </c>
      <c r="I94" s="53">
        <v>1.2987012987012988E-2</v>
      </c>
      <c r="J94" s="53">
        <v>0.33766233766233761</v>
      </c>
      <c r="K94" s="53">
        <v>1</v>
      </c>
      <c r="L94" s="53">
        <v>0.20779220779220781</v>
      </c>
      <c r="M94" s="53">
        <v>0.23376623376623376</v>
      </c>
      <c r="N94" s="53">
        <v>0.11688311688311688</v>
      </c>
      <c r="O94" s="53">
        <v>9.0909090909090912E-2</v>
      </c>
      <c r="P94" s="53">
        <v>0.1038961038961039</v>
      </c>
      <c r="R94" s="9">
        <v>0.53563978829317394</v>
      </c>
      <c r="S94" s="128">
        <f t="shared" si="8"/>
        <v>0.25007976916136904</v>
      </c>
      <c r="AA94" s="53"/>
      <c r="AB94" s="53"/>
      <c r="AC94" s="53"/>
      <c r="AD94" s="53"/>
      <c r="AE94" s="53"/>
      <c r="AF94" s="53"/>
      <c r="AG94" s="53"/>
      <c r="AH94" s="53"/>
    </row>
    <row r="95" spans="1:34">
      <c r="A95" t="s">
        <v>166</v>
      </c>
      <c r="B95" s="128">
        <f t="shared" si="7"/>
        <v>9.6407174739699397E-3</v>
      </c>
      <c r="C95" s="9">
        <v>-5.5604454354289386E-4</v>
      </c>
      <c r="D95" s="128">
        <f t="shared" si="9"/>
        <v>9.6407174739699397E-3</v>
      </c>
      <c r="G95" s="53">
        <f t="array" ref="G95:P95">B16:K16/G16</f>
        <v>0.78571428571428581</v>
      </c>
      <c r="H95" s="53">
        <v>0.78571428571428581</v>
      </c>
      <c r="I95" s="53">
        <v>0.5714285714285714</v>
      </c>
      <c r="J95" s="53">
        <v>1.1666666666666667</v>
      </c>
      <c r="K95" s="53">
        <v>0.38095238095238099</v>
      </c>
      <c r="L95" s="53">
        <v>1</v>
      </c>
      <c r="M95" s="53">
        <v>0.90476190476190477</v>
      </c>
      <c r="N95" s="53">
        <v>0.45238095238095238</v>
      </c>
      <c r="O95" s="53">
        <v>0.26190476190476192</v>
      </c>
      <c r="P95" s="53">
        <v>0.33333333333333337</v>
      </c>
      <c r="R95" s="9">
        <v>0.20583006340574145</v>
      </c>
      <c r="S95" s="128">
        <f t="shared" si="8"/>
        <v>9.6098041758623673E-2</v>
      </c>
      <c r="AA95" s="53"/>
      <c r="AB95" s="53"/>
      <c r="AC95" s="53"/>
      <c r="AD95" s="53"/>
      <c r="AE95" s="53"/>
      <c r="AF95" s="53"/>
      <c r="AG95" s="53"/>
      <c r="AH95" s="53"/>
    </row>
    <row r="96" spans="1:34">
      <c r="A96" t="s">
        <v>167</v>
      </c>
      <c r="B96" s="128">
        <f t="shared" si="7"/>
        <v>1.1748055912204972E-2</v>
      </c>
      <c r="C96" s="9">
        <v>-3.4783671341338639E-4</v>
      </c>
      <c r="D96" s="128">
        <f t="shared" si="9"/>
        <v>1.1748055912204972E-2</v>
      </c>
      <c r="G96" s="53">
        <f t="array" ref="G96:P96">B17:K17/H17</f>
        <v>0.4946236559139785</v>
      </c>
      <c r="H96" s="53">
        <v>0.4946236559139785</v>
      </c>
      <c r="I96" s="53">
        <v>0.4623655913978495</v>
      </c>
      <c r="J96" s="53">
        <v>0.65591397849462374</v>
      </c>
      <c r="K96" s="53">
        <v>0.19354838709677422</v>
      </c>
      <c r="L96" s="53">
        <v>0.40860215053763443</v>
      </c>
      <c r="M96" s="53">
        <v>1</v>
      </c>
      <c r="N96" s="53">
        <v>0.44086021505376349</v>
      </c>
      <c r="O96" s="53">
        <v>0.19354838709677422</v>
      </c>
      <c r="P96" s="53">
        <v>0.25806451612903225</v>
      </c>
      <c r="R96" s="9">
        <v>8.5582433620740986E-2</v>
      </c>
      <c r="S96" s="128">
        <f t="shared" si="8"/>
        <v>3.9956768918049099E-2</v>
      </c>
      <c r="AA96" s="53"/>
      <c r="AB96" s="53"/>
      <c r="AC96" s="53"/>
      <c r="AD96" s="53"/>
      <c r="AE96" s="53"/>
      <c r="AF96" s="53"/>
      <c r="AG96" s="53"/>
      <c r="AH96" s="53"/>
    </row>
    <row r="97" spans="1:34">
      <c r="A97" t="s">
        <v>168</v>
      </c>
      <c r="B97" s="128">
        <f t="shared" si="7"/>
        <v>8.3835153450846599E-3</v>
      </c>
      <c r="C97" s="9">
        <v>3.1670084944756757E-4</v>
      </c>
      <c r="D97" s="128">
        <f t="shared" si="9"/>
        <v>8.3835153450846599E-3</v>
      </c>
      <c r="G97" s="53">
        <f t="array" ref="G97:P97">B18:K18/I18</f>
        <v>0.47368421052631576</v>
      </c>
      <c r="H97" s="53">
        <v>0.52631578947368418</v>
      </c>
      <c r="I97" s="53">
        <v>0.55263157894736836</v>
      </c>
      <c r="J97" s="53">
        <v>0.86842105263157898</v>
      </c>
      <c r="K97" s="53">
        <v>0.23684210526315788</v>
      </c>
      <c r="L97" s="53">
        <v>0.5</v>
      </c>
      <c r="M97" s="53">
        <v>1.0789473684210527</v>
      </c>
      <c r="N97" s="53">
        <v>1</v>
      </c>
      <c r="O97" s="53">
        <v>0.44736842105263158</v>
      </c>
      <c r="P97" s="53">
        <v>0.5</v>
      </c>
      <c r="R97" s="9">
        <v>0.15384447104252508</v>
      </c>
      <c r="S97" s="128">
        <f t="shared" si="8"/>
        <v>7.1826982696083425E-2</v>
      </c>
      <c r="AA97" s="53"/>
      <c r="AB97" s="53"/>
      <c r="AC97" s="53"/>
      <c r="AD97" s="53"/>
      <c r="AE97" s="53"/>
      <c r="AF97" s="53"/>
      <c r="AG97" s="53"/>
      <c r="AH97" s="53"/>
    </row>
    <row r="98" spans="1:34">
      <c r="A98" t="s">
        <v>169</v>
      </c>
      <c r="B98" s="128">
        <f t="shared" si="7"/>
        <v>7.6976583330834424E-3</v>
      </c>
      <c r="C98" s="9">
        <v>-1.3749140805824402E-4</v>
      </c>
      <c r="D98" s="128">
        <f t="shared" si="9"/>
        <v>7.6976583330834424E-3</v>
      </c>
      <c r="G98" s="53">
        <f t="array" ref="G98:P98">B19:K19/J19</f>
        <v>0.15151515151515152</v>
      </c>
      <c r="H98" s="53">
        <v>3.0303030303030304E-2</v>
      </c>
      <c r="I98" s="53">
        <v>0.1818181818181818</v>
      </c>
      <c r="J98" s="53">
        <v>0.30303030303030304</v>
      </c>
      <c r="K98" s="53">
        <v>0.10606060606060606</v>
      </c>
      <c r="L98" s="53">
        <v>0.16666666666666669</v>
      </c>
      <c r="M98" s="53">
        <v>0.27272727272727271</v>
      </c>
      <c r="N98" s="53">
        <v>0.25757575757575757</v>
      </c>
      <c r="O98" s="53">
        <v>1</v>
      </c>
      <c r="P98" s="53">
        <v>7.575757575757576E-2</v>
      </c>
      <c r="R98" s="9">
        <v>0.25551580656560241</v>
      </c>
      <c r="S98" s="128">
        <f t="shared" si="8"/>
        <v>0.11929534608813</v>
      </c>
      <c r="AA98" s="53"/>
      <c r="AB98" s="53"/>
      <c r="AC98" s="53"/>
      <c r="AD98" s="53"/>
      <c r="AE98" s="53"/>
      <c r="AF98" s="53"/>
      <c r="AG98" s="53"/>
      <c r="AH98" s="53"/>
    </row>
    <row r="99" spans="1:34">
      <c r="A99" t="s">
        <v>170</v>
      </c>
      <c r="B99" s="128">
        <f t="shared" si="7"/>
        <v>7.2934686262624854E-3</v>
      </c>
      <c r="C99" s="9">
        <v>6.4909310274841313E-5</v>
      </c>
      <c r="D99" s="128">
        <f t="shared" si="9"/>
        <v>7.2934686262624854E-3</v>
      </c>
      <c r="G99" s="53">
        <f t="array" ref="G99:P99">B20:K20/K20</f>
        <v>0.45161290322580644</v>
      </c>
      <c r="H99" s="53">
        <v>0.58064516129032262</v>
      </c>
      <c r="I99" s="53">
        <v>0.51612903225806461</v>
      </c>
      <c r="J99" s="53">
        <v>0.70967741935483875</v>
      </c>
      <c r="K99" s="53">
        <v>0.25806451612903231</v>
      </c>
      <c r="L99" s="53">
        <v>0.45161290322580644</v>
      </c>
      <c r="M99" s="53">
        <v>0.77419354838709675</v>
      </c>
      <c r="N99" s="53">
        <v>0.61290322580645162</v>
      </c>
      <c r="O99" s="53">
        <v>0.16129032258064516</v>
      </c>
      <c r="P99" s="53">
        <v>1</v>
      </c>
      <c r="R99" s="9">
        <v>0.22555419629441897</v>
      </c>
      <c r="S99" s="128">
        <f t="shared" si="8"/>
        <v>0.10530685467266518</v>
      </c>
      <c r="AA99" s="53"/>
      <c r="AB99" s="53"/>
      <c r="AC99" s="53"/>
      <c r="AD99" s="53"/>
      <c r="AE99" s="53"/>
      <c r="AF99" s="53"/>
      <c r="AG99" s="53"/>
      <c r="AH99" s="53"/>
    </row>
    <row r="100" spans="1:34">
      <c r="C100" t="str">
        <f ca="1">_xlfn.FORMULATEXT(C90)</f>
        <v>{=MMULT(MINVERSE(G90:P99),D90:D99-B90:B99)}</v>
      </c>
      <c r="R100" s="9">
        <f>SUM(R90:R99)</f>
        <v>2.1418757306495335</v>
      </c>
      <c r="S100" s="9">
        <f>SUM(S90:S99)</f>
        <v>0.99999999999999989</v>
      </c>
    </row>
    <row r="103" spans="1:34">
      <c r="A103" s="129" t="s">
        <v>198</v>
      </c>
    </row>
    <row r="104" spans="1:34">
      <c r="B104" t="s">
        <v>187</v>
      </c>
      <c r="C104" t="s">
        <v>191</v>
      </c>
      <c r="D104" t="s">
        <v>203</v>
      </c>
      <c r="R104" t="s">
        <v>183</v>
      </c>
    </row>
    <row r="105" spans="1:34">
      <c r="A105" t="s">
        <v>136</v>
      </c>
      <c r="B105" s="9">
        <f>H42</f>
        <v>9.5974266514810003E-3</v>
      </c>
      <c r="C105" s="9">
        <v>1.4E-3</v>
      </c>
      <c r="D105" s="9">
        <f t="array" ref="D105:D114">B105:B114+MMULT(G90:P99,C105:C114)</f>
        <v>1.086607071927761E-2</v>
      </c>
      <c r="R105" s="9">
        <f t="array" ref="R105:R114">MMULT(MINVERSE(B11:K20),D105:D114-B22)</f>
        <v>0.14918342450561747</v>
      </c>
      <c r="S105" s="128">
        <f>R105/$R$115</f>
        <v>6.180604926393167E-2</v>
      </c>
    </row>
    <row r="106" spans="1:34">
      <c r="A106" t="s">
        <v>162</v>
      </c>
      <c r="B106" s="9">
        <f t="shared" ref="B106:B114" si="10">H43</f>
        <v>1.0451035600626865E-2</v>
      </c>
      <c r="C106" s="9">
        <v>-5.0000000000000001E-4</v>
      </c>
      <c r="D106" s="9">
        <v>1.0553813378404643E-2</v>
      </c>
      <c r="R106" s="9">
        <v>0.16471735991167086</v>
      </c>
      <c r="S106" s="128">
        <f t="shared" ref="S106:S114" si="11">R106/$R$115</f>
        <v>6.8241691696399862E-2</v>
      </c>
    </row>
    <row r="107" spans="1:34">
      <c r="A107" t="s">
        <v>163</v>
      </c>
      <c r="B107" s="9">
        <f t="shared" si="10"/>
        <v>7.7243529199823814E-3</v>
      </c>
      <c r="C107" s="9">
        <v>0</v>
      </c>
      <c r="D107" s="9">
        <v>8.3268529199823811E-3</v>
      </c>
      <c r="R107" s="9">
        <v>0.15485897754017275</v>
      </c>
      <c r="S107" s="128">
        <f t="shared" si="11"/>
        <v>6.4157406404419956E-2</v>
      </c>
    </row>
    <row r="108" spans="1:34">
      <c r="A108" t="s">
        <v>164</v>
      </c>
      <c r="B108" s="9">
        <f t="shared" si="10"/>
        <v>1.3609007361225145E-2</v>
      </c>
      <c r="C108" s="9">
        <v>0</v>
      </c>
      <c r="D108" s="9">
        <v>1.3922452739376406E-2</v>
      </c>
      <c r="R108" s="9">
        <v>0.22259264962889999</v>
      </c>
      <c r="S108" s="128">
        <f t="shared" si="11"/>
        <v>9.2219174578840934E-2</v>
      </c>
    </row>
    <row r="109" spans="1:34">
      <c r="A109" t="s">
        <v>165</v>
      </c>
      <c r="B109" s="9">
        <f t="shared" si="10"/>
        <v>1.0493410327954866E-2</v>
      </c>
      <c r="C109" s="9">
        <v>0</v>
      </c>
      <c r="D109" s="9">
        <v>1.0605098639643177E-2</v>
      </c>
      <c r="R109" s="9">
        <v>0.53514484532303386</v>
      </c>
      <c r="S109" s="128">
        <f t="shared" si="11"/>
        <v>0.22170820104836167</v>
      </c>
    </row>
    <row r="110" spans="1:34">
      <c r="A110" t="s">
        <v>166</v>
      </c>
      <c r="B110" s="9">
        <f t="shared" si="10"/>
        <v>9.6407174739699397E-3</v>
      </c>
      <c r="C110" s="9">
        <v>0</v>
      </c>
      <c r="D110" s="9">
        <v>1.0347860331112797E-2</v>
      </c>
      <c r="R110" s="9">
        <v>0.45719377507063652</v>
      </c>
      <c r="S110" s="128">
        <f t="shared" si="11"/>
        <v>0.1894134088878931</v>
      </c>
    </row>
    <row r="111" spans="1:34">
      <c r="A111" t="s">
        <v>167</v>
      </c>
      <c r="B111" s="9">
        <f t="shared" si="10"/>
        <v>1.1748055912204972E-2</v>
      </c>
      <c r="C111" s="9">
        <v>0</v>
      </c>
      <c r="D111" s="9">
        <v>1.2193217202527553E-2</v>
      </c>
      <c r="R111" s="9">
        <v>6.7216800735703242E-3</v>
      </c>
      <c r="S111" s="128">
        <f t="shared" si="11"/>
        <v>2.7847630602408644E-3</v>
      </c>
    </row>
    <row r="112" spans="1:34">
      <c r="A112" t="s">
        <v>168</v>
      </c>
      <c r="B112" s="9">
        <f t="shared" si="10"/>
        <v>8.3835153450846599E-3</v>
      </c>
      <c r="C112" s="9">
        <v>0</v>
      </c>
      <c r="D112" s="9">
        <v>8.7835153450846592E-3</v>
      </c>
      <c r="R112" s="9">
        <v>0.22359515795002027</v>
      </c>
      <c r="S112" s="128">
        <f t="shared" si="11"/>
        <v>9.2634509451920796E-2</v>
      </c>
    </row>
    <row r="113" spans="1:19">
      <c r="A113" t="s">
        <v>169</v>
      </c>
      <c r="B113" s="9">
        <f t="shared" si="10"/>
        <v>7.6976583330834424E-3</v>
      </c>
      <c r="C113" s="9">
        <v>0</v>
      </c>
      <c r="D113" s="9">
        <v>7.8946280300531396E-3</v>
      </c>
      <c r="R113" s="9">
        <v>0.25604855046044439</v>
      </c>
      <c r="S113" s="128">
        <f t="shared" si="11"/>
        <v>0.10607980997996609</v>
      </c>
    </row>
    <row r="114" spans="1:19">
      <c r="A114" t="s">
        <v>170</v>
      </c>
      <c r="B114" s="9">
        <f t="shared" si="10"/>
        <v>7.2934686262624854E-3</v>
      </c>
      <c r="C114" s="9">
        <v>0</v>
      </c>
      <c r="D114" s="9">
        <v>7.6354041101334529E-3</v>
      </c>
      <c r="R114" s="9">
        <v>0.24367858253792773</v>
      </c>
      <c r="S114" s="128">
        <f t="shared" si="11"/>
        <v>0.10095498562802524</v>
      </c>
    </row>
    <row r="115" spans="1:19">
      <c r="R115" s="9">
        <f>SUM(R105:R114)</f>
        <v>2.4137350030019937</v>
      </c>
      <c r="S115" s="9">
        <f>SUM(S105:S114)</f>
        <v>1.0000000000000002</v>
      </c>
    </row>
    <row r="118" spans="1:19" ht="19.5">
      <c r="A118" s="126" t="s">
        <v>199</v>
      </c>
    </row>
    <row r="120" spans="1:19">
      <c r="A120" t="s">
        <v>200</v>
      </c>
      <c r="B120">
        <v>0.6</v>
      </c>
      <c r="C120" t="s">
        <v>201</v>
      </c>
    </row>
    <row r="122" spans="1:19">
      <c r="A122" t="s">
        <v>136</v>
      </c>
      <c r="B122" s="7">
        <f t="array" ref="B122:B131">B120*S90:S99+(1-B120)*B90:B99</f>
        <v>6.5219129368831369E-2</v>
      </c>
    </row>
    <row r="123" spans="1:19">
      <c r="A123" t="s">
        <v>162</v>
      </c>
      <c r="B123" s="7">
        <v>4.1330408384074792E-2</v>
      </c>
    </row>
    <row r="124" spans="1:19">
      <c r="A124" t="s">
        <v>163</v>
      </c>
      <c r="B124" s="7">
        <v>1.0253835977809406E-2</v>
      </c>
    </row>
    <row r="125" spans="1:19">
      <c r="A125" t="s">
        <v>164</v>
      </c>
      <c r="B125" s="7">
        <v>9.0211097305658225E-2</v>
      </c>
    </row>
    <row r="126" spans="1:19">
      <c r="A126" t="s">
        <v>165</v>
      </c>
      <c r="B126" s="7">
        <v>0.15424522562800336</v>
      </c>
    </row>
    <row r="127" spans="1:19">
      <c r="A127" t="s">
        <v>166</v>
      </c>
      <c r="B127" s="7">
        <v>6.1515112044762177E-2</v>
      </c>
    </row>
    <row r="128" spans="1:19">
      <c r="A128" t="s">
        <v>167</v>
      </c>
      <c r="B128" s="7">
        <v>2.8673283715711446E-2</v>
      </c>
    </row>
    <row r="129" spans="1:2">
      <c r="A129" t="s">
        <v>168</v>
      </c>
      <c r="B129" s="7">
        <v>4.6449595755683921E-2</v>
      </c>
    </row>
    <row r="130" spans="1:2">
      <c r="A130" t="s">
        <v>169</v>
      </c>
      <c r="B130" s="7">
        <v>7.465627098611137E-2</v>
      </c>
    </row>
    <row r="131" spans="1:2">
      <c r="A131" t="s">
        <v>170</v>
      </c>
      <c r="B131" s="7">
        <v>6.6101500254104092E-2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RawData</vt:lpstr>
      <vt:lpstr>Port</vt:lpstr>
      <vt:lpstr>Port_Rf</vt:lpstr>
      <vt:lpstr>Matrix</vt:lpstr>
      <vt:lpstr>Port_Random</vt:lpstr>
      <vt:lpstr>Port10</vt:lpstr>
      <vt:lpstr>BL</vt:lpstr>
      <vt:lpstr>Benninga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JWC</cp:lastModifiedBy>
  <cp:lastPrinted>2018-11-16T04:19:09Z</cp:lastPrinted>
  <dcterms:created xsi:type="dcterms:W3CDTF">2018-10-13T01:48:00Z</dcterms:created>
  <dcterms:modified xsi:type="dcterms:W3CDTF">2024-06-03T07:48:03Z</dcterms:modified>
</cp:coreProperties>
</file>