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aching\BUSS386-Slides\notes\02_Interest_Rate\"/>
    </mc:Choice>
  </mc:AlternateContent>
  <bookViews>
    <workbookView xWindow="0" yWindow="0" windowWidth="28800" windowHeight="122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2" l="1"/>
  <c r="L18" i="2"/>
  <c r="M33" i="1"/>
  <c r="K33" i="1"/>
  <c r="M18" i="1"/>
  <c r="K18" i="1"/>
  <c r="S22" i="1" l="1"/>
  <c r="S21" i="1"/>
  <c r="S20" i="1"/>
  <c r="T22" i="1"/>
  <c r="T21" i="1"/>
  <c r="T20" i="1"/>
  <c r="R22" i="1"/>
  <c r="R21" i="1"/>
  <c r="R20" i="1"/>
  <c r="R19" i="1"/>
  <c r="M23" i="2"/>
  <c r="M22" i="2"/>
  <c r="R11" i="1"/>
  <c r="J24" i="2"/>
  <c r="C24" i="2"/>
  <c r="J3" i="1"/>
  <c r="M11" i="2"/>
  <c r="M10" i="2"/>
  <c r="M9" i="2"/>
  <c r="M8" i="2"/>
  <c r="M7" i="2"/>
  <c r="B7" i="2"/>
  <c r="B8" i="2" s="1"/>
  <c r="B9" i="2" s="1"/>
  <c r="B10" i="2" s="1"/>
  <c r="J10" i="2" s="1"/>
  <c r="L2" i="2"/>
  <c r="F11" i="2"/>
  <c r="F10" i="2"/>
  <c r="F9" i="2"/>
  <c r="F8" i="2"/>
  <c r="F7" i="2"/>
  <c r="C7" i="2" l="1"/>
  <c r="J7" i="2"/>
  <c r="J8" i="2"/>
  <c r="J9" i="2"/>
  <c r="C8" i="2"/>
  <c r="C9" i="2"/>
  <c r="M32" i="1"/>
  <c r="M31" i="1"/>
  <c r="M30" i="1"/>
  <c r="M29" i="1"/>
  <c r="M28" i="1"/>
  <c r="M27" i="1"/>
  <c r="M26" i="1"/>
  <c r="L31" i="1"/>
  <c r="L30" i="1"/>
  <c r="L29" i="1"/>
  <c r="L28" i="1"/>
  <c r="L27" i="1"/>
  <c r="L26" i="1"/>
  <c r="K31" i="1"/>
  <c r="K30" i="1"/>
  <c r="K29" i="1"/>
  <c r="K28" i="1"/>
  <c r="K27" i="1"/>
  <c r="K26" i="1"/>
  <c r="J31" i="1"/>
  <c r="J30" i="1"/>
  <c r="J29" i="1"/>
  <c r="J28" i="1"/>
  <c r="J27" i="1"/>
  <c r="J26" i="1"/>
  <c r="I31" i="1"/>
  <c r="I30" i="1"/>
  <c r="I29" i="1"/>
  <c r="I28" i="1"/>
  <c r="I27" i="1"/>
  <c r="I26" i="1"/>
  <c r="T5" i="1"/>
  <c r="C10" i="2" l="1"/>
  <c r="K32" i="1"/>
  <c r="I32" i="1"/>
  <c r="L16" i="1"/>
  <c r="L15" i="1"/>
  <c r="L14" i="1"/>
  <c r="L13" i="1"/>
  <c r="L12" i="1"/>
  <c r="L11" i="1"/>
  <c r="L10" i="1"/>
  <c r="L9" i="1"/>
  <c r="L8" i="1"/>
  <c r="L7" i="1"/>
  <c r="F31" i="1"/>
  <c r="F30" i="1"/>
  <c r="F29" i="1"/>
  <c r="F28" i="1"/>
  <c r="F27" i="1"/>
  <c r="F26" i="1"/>
  <c r="B26" i="1"/>
  <c r="C26" i="1" s="1"/>
  <c r="D23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B41" i="1"/>
  <c r="B42" i="1" s="1"/>
  <c r="D38" i="1"/>
  <c r="F16" i="1"/>
  <c r="F15" i="1"/>
  <c r="F14" i="1"/>
  <c r="F13" i="1"/>
  <c r="F12" i="1"/>
  <c r="F11" i="1"/>
  <c r="F10" i="1"/>
  <c r="F9" i="1"/>
  <c r="F8" i="1"/>
  <c r="F7" i="1"/>
  <c r="B7" i="1"/>
  <c r="C7" i="1" s="1"/>
  <c r="I11" i="1"/>
  <c r="B11" i="2" l="1"/>
  <c r="I12" i="1"/>
  <c r="I7" i="1"/>
  <c r="I16" i="1"/>
  <c r="I9" i="1"/>
  <c r="I15" i="1"/>
  <c r="I10" i="1"/>
  <c r="I13" i="1"/>
  <c r="I14" i="1"/>
  <c r="I8" i="1"/>
  <c r="B27" i="1"/>
  <c r="B8" i="1"/>
  <c r="C8" i="1" s="1"/>
  <c r="C41" i="1"/>
  <c r="B43" i="1"/>
  <c r="C42" i="1"/>
  <c r="B9" i="1"/>
  <c r="C11" i="2" l="1"/>
  <c r="J11" i="2"/>
  <c r="I17" i="1"/>
  <c r="J11" i="1" s="1"/>
  <c r="B28" i="1"/>
  <c r="C27" i="1"/>
  <c r="C43" i="1"/>
  <c r="B44" i="1"/>
  <c r="C9" i="1"/>
  <c r="B10" i="1"/>
  <c r="J17" i="2" l="1"/>
  <c r="K11" i="1"/>
  <c r="M11" i="1"/>
  <c r="J7" i="1"/>
  <c r="J16" i="1"/>
  <c r="J13" i="1"/>
  <c r="J8" i="1"/>
  <c r="J9" i="1"/>
  <c r="J14" i="1"/>
  <c r="J10" i="1"/>
  <c r="J12" i="1"/>
  <c r="J15" i="1"/>
  <c r="C28" i="1"/>
  <c r="B29" i="1"/>
  <c r="B11" i="1"/>
  <c r="C10" i="1"/>
  <c r="C44" i="1"/>
  <c r="B45" i="1"/>
  <c r="K10" i="2" l="1"/>
  <c r="K8" i="2"/>
  <c r="K9" i="2"/>
  <c r="K7" i="2"/>
  <c r="K11" i="2"/>
  <c r="C17" i="2"/>
  <c r="K14" i="1"/>
  <c r="M14" i="1"/>
  <c r="M8" i="1"/>
  <c r="K8" i="1"/>
  <c r="M12" i="1"/>
  <c r="K12" i="1"/>
  <c r="M9" i="1"/>
  <c r="K9" i="1"/>
  <c r="K13" i="1"/>
  <c r="M13" i="1"/>
  <c r="K16" i="1"/>
  <c r="M16" i="1"/>
  <c r="K15" i="1"/>
  <c r="M15" i="1"/>
  <c r="M7" i="1"/>
  <c r="K7" i="1"/>
  <c r="K10" i="1"/>
  <c r="M10" i="1"/>
  <c r="C29" i="1"/>
  <c r="B30" i="1"/>
  <c r="C45" i="1"/>
  <c r="B46" i="1"/>
  <c r="B12" i="1"/>
  <c r="C11" i="1"/>
  <c r="M17" i="1" l="1"/>
  <c r="N11" i="2"/>
  <c r="L11" i="2"/>
  <c r="N7" i="2"/>
  <c r="L7" i="2"/>
  <c r="N9" i="2"/>
  <c r="L9" i="2"/>
  <c r="N8" i="2"/>
  <c r="L8" i="2"/>
  <c r="N10" i="2"/>
  <c r="L10" i="2"/>
  <c r="D8" i="2"/>
  <c r="D7" i="2"/>
  <c r="D9" i="2"/>
  <c r="D11" i="2"/>
  <c r="D10" i="2"/>
  <c r="K17" i="1"/>
  <c r="B31" i="1"/>
  <c r="C31" i="1" s="1"/>
  <c r="C30" i="1"/>
  <c r="C12" i="1"/>
  <c r="B13" i="1"/>
  <c r="B47" i="1"/>
  <c r="C46" i="1"/>
  <c r="T14" i="1" l="1"/>
  <c r="U14" i="1" s="1"/>
  <c r="T13" i="1"/>
  <c r="U13" i="1" s="1"/>
  <c r="L17" i="2"/>
  <c r="N17" i="2"/>
  <c r="E10" i="2"/>
  <c r="G10" i="2"/>
  <c r="E7" i="2"/>
  <c r="G7" i="2"/>
  <c r="E11" i="2"/>
  <c r="G11" i="2"/>
  <c r="E9" i="2"/>
  <c r="G9" i="2"/>
  <c r="E8" i="2"/>
  <c r="G8" i="2"/>
  <c r="C32" i="1"/>
  <c r="D30" i="1" s="1"/>
  <c r="C47" i="1"/>
  <c r="B48" i="1"/>
  <c r="B14" i="1"/>
  <c r="C13" i="1"/>
  <c r="N23" i="2" l="1"/>
  <c r="N22" i="2"/>
  <c r="G17" i="2"/>
  <c r="G18" i="2" s="1"/>
  <c r="E17" i="2"/>
  <c r="E18" i="2" s="1"/>
  <c r="F22" i="2" s="1"/>
  <c r="G30" i="1"/>
  <c r="E30" i="1"/>
  <c r="D31" i="1"/>
  <c r="D26" i="1"/>
  <c r="D27" i="1"/>
  <c r="D28" i="1"/>
  <c r="D29" i="1"/>
  <c r="B49" i="1"/>
  <c r="C48" i="1"/>
  <c r="B15" i="1"/>
  <c r="C14" i="1"/>
  <c r="G22" i="2" l="1"/>
  <c r="F23" i="2"/>
  <c r="G23" i="2" s="1"/>
  <c r="E27" i="1"/>
  <c r="G27" i="1"/>
  <c r="E31" i="1"/>
  <c r="G31" i="1"/>
  <c r="E26" i="1"/>
  <c r="G26" i="1"/>
  <c r="E29" i="1"/>
  <c r="G29" i="1"/>
  <c r="E28" i="1"/>
  <c r="G28" i="1"/>
  <c r="B16" i="1"/>
  <c r="C16" i="1" s="1"/>
  <c r="C15" i="1"/>
  <c r="B50" i="1"/>
  <c r="C49" i="1"/>
  <c r="G32" i="1" l="1"/>
  <c r="G33" i="1" s="1"/>
  <c r="E32" i="1"/>
  <c r="E33" i="1" s="1"/>
  <c r="B51" i="1"/>
  <c r="C50" i="1"/>
  <c r="C17" i="1"/>
  <c r="D7" i="1" l="1"/>
  <c r="D8" i="1"/>
  <c r="D9" i="1"/>
  <c r="D10" i="1"/>
  <c r="D11" i="1"/>
  <c r="D12" i="1"/>
  <c r="D13" i="1"/>
  <c r="D14" i="1"/>
  <c r="D16" i="1"/>
  <c r="D15" i="1"/>
  <c r="C51" i="1"/>
  <c r="B52" i="1"/>
  <c r="C52" i="1" l="1"/>
  <c r="B53" i="1"/>
  <c r="G14" i="1"/>
  <c r="E14" i="1"/>
  <c r="E10" i="1"/>
  <c r="G10" i="1"/>
  <c r="G9" i="1"/>
  <c r="E9" i="1"/>
  <c r="E15" i="1"/>
  <c r="G15" i="1"/>
  <c r="E16" i="1"/>
  <c r="G16" i="1"/>
  <c r="E13" i="1"/>
  <c r="G13" i="1"/>
  <c r="E12" i="1"/>
  <c r="G12" i="1"/>
  <c r="G11" i="1"/>
  <c r="E11" i="1"/>
  <c r="E8" i="1"/>
  <c r="G8" i="1"/>
  <c r="E7" i="1"/>
  <c r="G7" i="1"/>
  <c r="G17" i="1" l="1"/>
  <c r="G18" i="1" s="1"/>
  <c r="C53" i="1"/>
  <c r="B54" i="1"/>
  <c r="E17" i="1"/>
  <c r="E18" i="1" s="1"/>
  <c r="T8" i="1" l="1"/>
  <c r="U8" i="1" s="1"/>
  <c r="T7" i="1"/>
  <c r="U7" i="1" s="1"/>
  <c r="C54" i="1"/>
  <c r="B55" i="1"/>
  <c r="B56" i="1" l="1"/>
  <c r="C55" i="1"/>
  <c r="C56" i="1" l="1"/>
  <c r="B57" i="1"/>
  <c r="B58" i="1" l="1"/>
  <c r="C57" i="1"/>
  <c r="B59" i="1" l="1"/>
  <c r="C58" i="1"/>
  <c r="B60" i="1" l="1"/>
  <c r="C60" i="1" s="1"/>
  <c r="C59" i="1"/>
  <c r="C61" i="1" l="1"/>
  <c r="D59" i="1" s="1"/>
  <c r="E59" i="1" l="1"/>
  <c r="G5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E52" i="1" l="1"/>
  <c r="G52" i="1"/>
  <c r="E51" i="1"/>
  <c r="G51" i="1"/>
  <c r="E50" i="1"/>
  <c r="G50" i="1"/>
  <c r="E47" i="1"/>
  <c r="G47" i="1"/>
  <c r="G46" i="1"/>
  <c r="E46" i="1"/>
  <c r="E45" i="1"/>
  <c r="G45" i="1"/>
  <c r="E44" i="1"/>
  <c r="G44" i="1"/>
  <c r="E60" i="1"/>
  <c r="G60" i="1"/>
  <c r="E43" i="1"/>
  <c r="G43" i="1"/>
  <c r="G58" i="1"/>
  <c r="E58" i="1"/>
  <c r="G42" i="1"/>
  <c r="E42" i="1"/>
  <c r="E57" i="1"/>
  <c r="G57" i="1"/>
  <c r="E41" i="1"/>
  <c r="G41" i="1"/>
  <c r="E53" i="1"/>
  <c r="G53" i="1"/>
  <c r="G48" i="1"/>
  <c r="E48" i="1"/>
  <c r="E56" i="1"/>
  <c r="G56" i="1"/>
  <c r="E54" i="1"/>
  <c r="G54" i="1"/>
  <c r="E49" i="1"/>
  <c r="G49" i="1"/>
  <c r="G55" i="1"/>
  <c r="E55" i="1"/>
  <c r="G61" i="1" l="1"/>
  <c r="G62" i="1" s="1"/>
  <c r="E61" i="1"/>
  <c r="E62" i="1" s="1"/>
</calcChain>
</file>

<file path=xl/sharedStrings.xml><?xml version="1.0" encoding="utf-8"?>
<sst xmlns="http://schemas.openxmlformats.org/spreadsheetml/2006/main" count="127" uniqueCount="43">
  <si>
    <t>c=</t>
    <phoneticPr fontId="2" type="noConversion"/>
  </si>
  <si>
    <t>k=</t>
    <phoneticPr fontId="2" type="noConversion"/>
  </si>
  <si>
    <t>M=</t>
    <phoneticPr fontId="2" type="noConversion"/>
  </si>
  <si>
    <t>y(cc)=</t>
    <phoneticPr fontId="2" type="noConversion"/>
  </si>
  <si>
    <t>Using y(cc)</t>
    <phoneticPr fontId="2" type="noConversion"/>
  </si>
  <si>
    <t>Ki</t>
    <phoneticPr fontId="2" type="noConversion"/>
  </si>
  <si>
    <t>PV(Ki)</t>
    <phoneticPr fontId="2" type="noConversion"/>
  </si>
  <si>
    <t>wi</t>
    <phoneticPr fontId="2" type="noConversion"/>
  </si>
  <si>
    <t>ti*wi</t>
    <phoneticPr fontId="2" type="noConversion"/>
  </si>
  <si>
    <t>ti^2</t>
    <phoneticPr fontId="2" type="noConversion"/>
  </si>
  <si>
    <t>ti^2*wi</t>
    <phoneticPr fontId="2" type="noConversion"/>
  </si>
  <si>
    <t>D_{Mac}</t>
    <phoneticPr fontId="2" type="noConversion"/>
  </si>
  <si>
    <t>C_{Mac}</t>
    <phoneticPr fontId="2" type="noConversion"/>
  </si>
  <si>
    <t>D_{Mod}</t>
    <phoneticPr fontId="2" type="noConversion"/>
  </si>
  <si>
    <t>C_{Mod}</t>
    <phoneticPr fontId="2" type="noConversion"/>
  </si>
  <si>
    <t>5 year corporate bond</t>
    <phoneticPr fontId="2" type="noConversion"/>
  </si>
  <si>
    <t>y(semi)=</t>
    <phoneticPr fontId="2" type="noConversion"/>
  </si>
  <si>
    <t>Using y(semi)</t>
    <phoneticPr fontId="2" type="noConversion"/>
  </si>
  <si>
    <t>ti</t>
    <phoneticPr fontId="2" type="noConversion"/>
  </si>
  <si>
    <t>3 year Treasury bond</t>
    <phoneticPr fontId="2" type="noConversion"/>
  </si>
  <si>
    <t>10 year Treasury bond</t>
    <phoneticPr fontId="2" type="noConversion"/>
  </si>
  <si>
    <t>P=</t>
    <phoneticPr fontId="2" type="noConversion"/>
  </si>
  <si>
    <t>When y(semi) increases by</t>
  </si>
  <si>
    <t xml:space="preserve">What is dP/P? </t>
  </si>
  <si>
    <t>Actual change</t>
  </si>
  <si>
    <t>ti*(ti+1/m)</t>
  </si>
  <si>
    <t>ti*(ti+1/m)*wi</t>
  </si>
  <si>
    <t>3 year corporate bond (annual C)</t>
  </si>
  <si>
    <t>c=</t>
  </si>
  <si>
    <t>y(ann)=</t>
  </si>
  <si>
    <t>Using y(cc)</t>
  </si>
  <si>
    <t>ti^2</t>
  </si>
  <si>
    <t>ti^2*wi</t>
  </si>
  <si>
    <t xml:space="preserve">y(cc) increases by </t>
  </si>
  <si>
    <t>P0=</t>
  </si>
  <si>
    <t>P1=</t>
  </si>
  <si>
    <t>dy=</t>
  </si>
  <si>
    <t>C</t>
  </si>
  <si>
    <t>D</t>
  </si>
  <si>
    <t>y(semi)</t>
  </si>
  <si>
    <t>y(cc)</t>
  </si>
  <si>
    <t>dy(cc)</t>
  </si>
  <si>
    <t>dy(semi)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</si>
</sst>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_ "/>
    <numFmt numFmtId="165" formatCode="0.000%"/>
    <numFmt numFmtId="166" formatCode="0.0000"/>
    <numFmt numFmtId="167" formatCode="0.00000"/>
    <numFmt numFmtId="168" formatCode="0.000000"/>
  </numFmts>
  <fonts count="6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rgb="FFFF0000"/>
      <name val="Aptos Narrow"/>
      <family val="3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11"/>
      <color rgb="FFFF0000"/>
      <name val="Aptos Narrow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0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5" fillId="0" borderId="0" xfId="0" applyFon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5" fillId="0" borderId="0" xfId="0" applyNumberFormat="1" applyFont="1">
      <alignment vertical="center"/>
    </xf>
    <xf numFmtId="0" fontId="0" fillId="0" borderId="0" xfId="0" quotePrefix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165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2"/>
  <sheetViews>
    <sheetView tabSelected="1" workbookViewId="0">
      <selection activeCell="I21" sqref="I21"/>
    </sheetView>
  </sheetViews>
  <sheetFormatPr defaultRowHeight="13.5"/>
  <cols>
    <col min="4" max="4" width="9.25" customWidth="1"/>
    <col min="20" max="20" width="9" style="11"/>
  </cols>
  <sheetData>
    <row r="2" spans="1:21">
      <c r="A2" s="5" t="s">
        <v>15</v>
      </c>
    </row>
    <row r="3" spans="1:21">
      <c r="A3" t="s">
        <v>28</v>
      </c>
      <c r="B3" s="6">
        <v>6.9000000000000006E-2</v>
      </c>
      <c r="C3" t="s">
        <v>16</v>
      </c>
      <c r="D3" s="6">
        <v>6.9000000000000006E-2</v>
      </c>
      <c r="E3" t="s">
        <v>1</v>
      </c>
      <c r="F3">
        <v>2</v>
      </c>
      <c r="I3" t="s">
        <v>3</v>
      </c>
      <c r="J3" s="6">
        <f>2*LN(1+D3/F3)</f>
        <v>6.7836436406921288E-2</v>
      </c>
      <c r="K3" t="s">
        <v>1</v>
      </c>
      <c r="L3">
        <v>2</v>
      </c>
      <c r="O3" t="s">
        <v>22</v>
      </c>
      <c r="R3" s="10">
        <v>0.01</v>
      </c>
    </row>
    <row r="4" spans="1:21">
      <c r="A4" t="s">
        <v>2</v>
      </c>
      <c r="B4">
        <v>1000</v>
      </c>
      <c r="J4" s="6"/>
      <c r="S4" s="1"/>
    </row>
    <row r="5" spans="1:21">
      <c r="C5" s="2" t="s">
        <v>17</v>
      </c>
      <c r="F5" s="2"/>
      <c r="I5" s="2" t="s">
        <v>4</v>
      </c>
      <c r="O5" t="s">
        <v>23</v>
      </c>
      <c r="Q5" t="s">
        <v>24</v>
      </c>
      <c r="S5">
        <v>959.34438964995809</v>
      </c>
      <c r="T5" s="12">
        <f>S5/1000-1</f>
        <v>-4.0655610350041949E-2</v>
      </c>
    </row>
    <row r="6" spans="1:21">
      <c r="A6" t="s">
        <v>18</v>
      </c>
      <c r="B6" t="s">
        <v>5</v>
      </c>
      <c r="C6" t="s">
        <v>6</v>
      </c>
      <c r="D6" t="s">
        <v>7</v>
      </c>
      <c r="E6" t="s">
        <v>8</v>
      </c>
      <c r="F6" t="s">
        <v>25</v>
      </c>
      <c r="G6" t="s">
        <v>26</v>
      </c>
      <c r="I6" t="s">
        <v>6</v>
      </c>
      <c r="J6" t="s">
        <v>7</v>
      </c>
      <c r="K6" t="s">
        <v>8</v>
      </c>
      <c r="L6" t="s">
        <v>9</v>
      </c>
      <c r="M6" t="s">
        <v>10</v>
      </c>
    </row>
    <row r="7" spans="1:21">
      <c r="A7">
        <v>0.5</v>
      </c>
      <c r="B7">
        <f>B4*B3/2</f>
        <v>34.5</v>
      </c>
      <c r="C7">
        <f t="shared" ref="C7:C16" si="0">B7/(1+$D$3/$F$3)^(A7*$F$3)</f>
        <v>33.349444175930401</v>
      </c>
      <c r="D7">
        <f>C7/$C$17</f>
        <v>3.3349444175930401E-2</v>
      </c>
      <c r="E7">
        <f>A7*D7</f>
        <v>1.6674722087965201E-2</v>
      </c>
      <c r="F7">
        <f>A7*(A7+1/$F$3)</f>
        <v>0.5</v>
      </c>
      <c r="G7">
        <f t="shared" ref="G7:G16" si="1">F7*D7</f>
        <v>1.6674722087965201E-2</v>
      </c>
      <c r="I7">
        <f t="shared" ref="I7:I16" si="2">B7*EXP(-$J$3*A7)</f>
        <v>33.349444175930401</v>
      </c>
      <c r="J7">
        <f>I7/$I$17</f>
        <v>3.3349444175930394E-2</v>
      </c>
      <c r="K7">
        <f>A7*J7</f>
        <v>1.6674722087965197E-2</v>
      </c>
      <c r="L7">
        <f>A7^2</f>
        <v>0.25</v>
      </c>
      <c r="M7">
        <f>L7*J7</f>
        <v>8.3373610439825985E-3</v>
      </c>
      <c r="R7" t="s">
        <v>38</v>
      </c>
      <c r="T7" s="12">
        <f>-E18*R3</f>
        <v>-4.1688020375358258E-2</v>
      </c>
      <c r="U7" s="11">
        <f>T7-T5</f>
        <v>-1.032410025316309E-3</v>
      </c>
    </row>
    <row r="8" spans="1:21">
      <c r="A8">
        <v>1</v>
      </c>
      <c r="B8">
        <f>B7</f>
        <v>34.5</v>
      </c>
      <c r="C8">
        <f t="shared" si="0"/>
        <v>32.237258749086905</v>
      </c>
      <c r="D8">
        <f t="shared" ref="D8:D16" si="3">C8/$C$17</f>
        <v>3.2237258749086908E-2</v>
      </c>
      <c r="E8">
        <f t="shared" ref="E8:E16" si="4">A8*D8</f>
        <v>3.2237258749086908E-2</v>
      </c>
      <c r="F8">
        <f t="shared" ref="F8:F16" si="5">A8*(A8+1/$F$3)</f>
        <v>1.5</v>
      </c>
      <c r="G8">
        <f t="shared" si="1"/>
        <v>4.8355888123630363E-2</v>
      </c>
      <c r="I8">
        <f t="shared" si="2"/>
        <v>32.237258749086905</v>
      </c>
      <c r="J8">
        <f t="shared" ref="J8:J16" si="6">I8/$I$17</f>
        <v>3.2237258749086894E-2</v>
      </c>
      <c r="K8">
        <f t="shared" ref="K8:K16" si="7">A8*J8</f>
        <v>3.2237258749086894E-2</v>
      </c>
      <c r="L8">
        <f t="shared" ref="L8:L16" si="8">A8^2</f>
        <v>1</v>
      </c>
      <c r="M8">
        <f t="shared" ref="M8:M16" si="9">L8*J8</f>
        <v>3.2237258749086894E-2</v>
      </c>
      <c r="R8" t="s">
        <v>37</v>
      </c>
      <c r="T8" s="12">
        <f>-E18*R3+0.5*G18*R3^2</f>
        <v>-4.0636105061258927E-2</v>
      </c>
      <c r="U8" s="11">
        <f>T8-T5</f>
        <v>1.9505288783021324E-5</v>
      </c>
    </row>
    <row r="9" spans="1:21">
      <c r="A9">
        <v>1.5</v>
      </c>
      <c r="B9">
        <f t="shared" ref="B9:B11" si="10">B8</f>
        <v>34.5</v>
      </c>
      <c r="C9">
        <f t="shared" si="0"/>
        <v>31.162164088049206</v>
      </c>
      <c r="D9">
        <f t="shared" si="3"/>
        <v>3.1162164088049206E-2</v>
      </c>
      <c r="E9">
        <f t="shared" si="4"/>
        <v>4.6743246132073812E-2</v>
      </c>
      <c r="F9">
        <f t="shared" si="5"/>
        <v>3</v>
      </c>
      <c r="G9">
        <f t="shared" si="1"/>
        <v>9.3486492264147625E-2</v>
      </c>
      <c r="I9">
        <f t="shared" si="2"/>
        <v>31.162164088049209</v>
      </c>
      <c r="J9">
        <f t="shared" si="6"/>
        <v>3.1162164088049202E-2</v>
      </c>
      <c r="K9">
        <f t="shared" si="7"/>
        <v>4.6743246132073805E-2</v>
      </c>
      <c r="L9">
        <f t="shared" si="8"/>
        <v>2.25</v>
      </c>
      <c r="M9">
        <f t="shared" si="9"/>
        <v>7.0114869198110705E-2</v>
      </c>
    </row>
    <row r="10" spans="1:21">
      <c r="A10">
        <v>2</v>
      </c>
      <c r="B10">
        <f t="shared" si="10"/>
        <v>34.5</v>
      </c>
      <c r="C10">
        <f t="shared" si="0"/>
        <v>30.122923236393628</v>
      </c>
      <c r="D10">
        <f t="shared" si="3"/>
        <v>3.012292323639363E-2</v>
      </c>
      <c r="E10">
        <f t="shared" si="4"/>
        <v>6.0245846472787259E-2</v>
      </c>
      <c r="F10">
        <f t="shared" si="5"/>
        <v>5</v>
      </c>
      <c r="G10">
        <f t="shared" si="1"/>
        <v>0.15061461618196814</v>
      </c>
      <c r="I10">
        <f t="shared" si="2"/>
        <v>30.122923236393628</v>
      </c>
      <c r="J10">
        <f t="shared" si="6"/>
        <v>3.0122923236393623E-2</v>
      </c>
      <c r="K10">
        <f t="shared" si="7"/>
        <v>6.0245846472787246E-2</v>
      </c>
      <c r="L10">
        <f t="shared" si="8"/>
        <v>4</v>
      </c>
      <c r="M10">
        <f t="shared" si="9"/>
        <v>0.12049169294557449</v>
      </c>
    </row>
    <row r="11" spans="1:21">
      <c r="A11">
        <v>2.5</v>
      </c>
      <c r="B11">
        <f t="shared" si="10"/>
        <v>34.5</v>
      </c>
      <c r="C11">
        <f t="shared" si="0"/>
        <v>29.11834048950568</v>
      </c>
      <c r="D11">
        <f t="shared" si="3"/>
        <v>2.9118340489505682E-2</v>
      </c>
      <c r="E11">
        <f t="shared" si="4"/>
        <v>7.279585122376421E-2</v>
      </c>
      <c r="F11">
        <f t="shared" si="5"/>
        <v>7.5</v>
      </c>
      <c r="G11">
        <f t="shared" si="1"/>
        <v>0.21838755367129262</v>
      </c>
      <c r="I11">
        <f t="shared" si="2"/>
        <v>29.118340489505684</v>
      </c>
      <c r="J11">
        <f t="shared" si="6"/>
        <v>2.9118340489505679E-2</v>
      </c>
      <c r="K11">
        <f t="shared" si="7"/>
        <v>7.2795851223764196E-2</v>
      </c>
      <c r="L11">
        <f t="shared" si="8"/>
        <v>6.25</v>
      </c>
      <c r="M11">
        <f t="shared" si="9"/>
        <v>0.18198962805941049</v>
      </c>
      <c r="O11" t="s">
        <v>33</v>
      </c>
      <c r="R11" s="10">
        <f>T11-S11</f>
        <v>9.6432202249400051E-3</v>
      </c>
      <c r="S11" s="16">
        <v>6.7836436406921288E-2</v>
      </c>
      <c r="T11" s="16">
        <v>7.7479656631861293E-2</v>
      </c>
    </row>
    <row r="12" spans="1:21">
      <c r="A12">
        <v>3</v>
      </c>
      <c r="B12">
        <f>B11</f>
        <v>34.5</v>
      </c>
      <c r="C12">
        <f t="shared" si="0"/>
        <v>28.147260018855178</v>
      </c>
      <c r="D12">
        <f t="shared" si="3"/>
        <v>2.8147260018855178E-2</v>
      </c>
      <c r="E12">
        <f t="shared" si="4"/>
        <v>8.4441780056565538E-2</v>
      </c>
      <c r="F12">
        <f t="shared" si="5"/>
        <v>10.5</v>
      </c>
      <c r="G12">
        <f t="shared" si="1"/>
        <v>0.29554623019797938</v>
      </c>
      <c r="I12">
        <f t="shared" si="2"/>
        <v>28.147260018855182</v>
      </c>
      <c r="J12">
        <f t="shared" si="6"/>
        <v>2.8147260018855175E-2</v>
      </c>
      <c r="K12">
        <f t="shared" si="7"/>
        <v>8.4441780056565524E-2</v>
      </c>
      <c r="L12">
        <f t="shared" si="8"/>
        <v>9</v>
      </c>
      <c r="M12">
        <f t="shared" si="9"/>
        <v>0.25332534016969654</v>
      </c>
    </row>
    <row r="13" spans="1:21">
      <c r="A13">
        <v>3.5</v>
      </c>
      <c r="B13">
        <f>B12</f>
        <v>34.5</v>
      </c>
      <c r="C13">
        <f t="shared" si="0"/>
        <v>27.20856454215097</v>
      </c>
      <c r="D13">
        <f t="shared" si="3"/>
        <v>2.7208564542150971E-2</v>
      </c>
      <c r="E13">
        <f t="shared" si="4"/>
        <v>9.5229975897528393E-2</v>
      </c>
      <c r="F13">
        <f t="shared" si="5"/>
        <v>14</v>
      </c>
      <c r="G13">
        <f t="shared" si="1"/>
        <v>0.38091990359011357</v>
      </c>
      <c r="I13">
        <f t="shared" si="2"/>
        <v>27.208564542150974</v>
      </c>
      <c r="J13">
        <f t="shared" si="6"/>
        <v>2.7208564542150968E-2</v>
      </c>
      <c r="K13">
        <f t="shared" si="7"/>
        <v>9.5229975897528379E-2</v>
      </c>
      <c r="L13">
        <f t="shared" si="8"/>
        <v>12.25</v>
      </c>
      <c r="M13">
        <f t="shared" si="9"/>
        <v>0.33330491564134934</v>
      </c>
      <c r="R13" t="s">
        <v>38</v>
      </c>
      <c r="T13" s="12">
        <f>-K17*R11</f>
        <v>-4.1587599448350297E-2</v>
      </c>
      <c r="U13" s="11">
        <f>T13-T5</f>
        <v>-9.319890983083487E-4</v>
      </c>
    </row>
    <row r="14" spans="1:21">
      <c r="A14">
        <v>4</v>
      </c>
      <c r="B14">
        <f>B13</f>
        <v>34.5</v>
      </c>
      <c r="C14">
        <f t="shared" si="0"/>
        <v>26.301174037845307</v>
      </c>
      <c r="D14">
        <f t="shared" si="3"/>
        <v>2.6301174037845307E-2</v>
      </c>
      <c r="E14">
        <f t="shared" si="4"/>
        <v>0.10520469615138123</v>
      </c>
      <c r="F14">
        <f t="shared" si="5"/>
        <v>18</v>
      </c>
      <c r="G14">
        <f t="shared" si="1"/>
        <v>0.47342113268121555</v>
      </c>
      <c r="I14">
        <f t="shared" si="2"/>
        <v>26.30117403784531</v>
      </c>
      <c r="J14">
        <f t="shared" si="6"/>
        <v>2.6301174037845303E-2</v>
      </c>
      <c r="K14">
        <f t="shared" si="7"/>
        <v>0.10520469615138121</v>
      </c>
      <c r="L14">
        <f t="shared" si="8"/>
        <v>16</v>
      </c>
      <c r="M14">
        <f t="shared" si="9"/>
        <v>0.42081878460552485</v>
      </c>
      <c r="R14" t="s">
        <v>37</v>
      </c>
      <c r="T14" s="12">
        <f>-K17*R11+0.5*M17*R11^2</f>
        <v>-4.0641005475097476E-2</v>
      </c>
      <c r="U14" s="11">
        <f>T14-T5</f>
        <v>1.4604874944472435E-5</v>
      </c>
    </row>
    <row r="15" spans="1:21">
      <c r="A15">
        <v>4.5</v>
      </c>
      <c r="B15">
        <f>B14</f>
        <v>34.5</v>
      </c>
      <c r="C15">
        <f t="shared" si="0"/>
        <v>25.424044502508757</v>
      </c>
      <c r="D15">
        <f t="shared" si="3"/>
        <v>2.5424044502508757E-2</v>
      </c>
      <c r="E15">
        <f t="shared" si="4"/>
        <v>0.11440820026128941</v>
      </c>
      <c r="F15">
        <f t="shared" si="5"/>
        <v>22.5</v>
      </c>
      <c r="G15">
        <f t="shared" si="1"/>
        <v>0.57204100130644697</v>
      </c>
      <c r="I15">
        <f t="shared" si="2"/>
        <v>25.424044502508757</v>
      </c>
      <c r="J15">
        <f t="shared" si="6"/>
        <v>2.542404450250875E-2</v>
      </c>
      <c r="K15">
        <f t="shared" si="7"/>
        <v>0.11440820026128937</v>
      </c>
      <c r="L15">
        <f t="shared" si="8"/>
        <v>20.25</v>
      </c>
      <c r="M15">
        <f t="shared" si="9"/>
        <v>0.51483690117580216</v>
      </c>
    </row>
    <row r="16" spans="1:21">
      <c r="A16">
        <v>5</v>
      </c>
      <c r="B16">
        <f>B15+B4</f>
        <v>1034.5</v>
      </c>
      <c r="C16">
        <f t="shared" si="0"/>
        <v>736.92882615967403</v>
      </c>
      <c r="D16">
        <f t="shared" si="3"/>
        <v>0.73692882615967403</v>
      </c>
      <c r="E16">
        <f t="shared" si="4"/>
        <v>3.6846441307983699</v>
      </c>
      <c r="F16">
        <f t="shared" si="5"/>
        <v>27.5</v>
      </c>
      <c r="G16">
        <f t="shared" si="1"/>
        <v>20.265542719391036</v>
      </c>
      <c r="I16">
        <f t="shared" si="2"/>
        <v>736.92882615967426</v>
      </c>
      <c r="J16">
        <f t="shared" si="6"/>
        <v>0.73692882615967414</v>
      </c>
      <c r="K16">
        <f t="shared" si="7"/>
        <v>3.6846441307983708</v>
      </c>
      <c r="L16">
        <f t="shared" si="8"/>
        <v>25</v>
      </c>
      <c r="M16">
        <f t="shared" si="9"/>
        <v>18.423220653991855</v>
      </c>
    </row>
    <row r="17" spans="1:20">
      <c r="C17">
        <f>SUM(C7:C16)</f>
        <v>1000</v>
      </c>
      <c r="D17" t="s">
        <v>11</v>
      </c>
      <c r="E17" s="4">
        <f>SUM(E7:E16)</f>
        <v>4.3126257078308115</v>
      </c>
      <c r="F17" t="s">
        <v>12</v>
      </c>
      <c r="G17" s="4">
        <f>SUM(G7:G16)</f>
        <v>22.514990259495796</v>
      </c>
      <c r="I17">
        <f>SUM(I7:I16)</f>
        <v>1000.0000000000002</v>
      </c>
      <c r="J17" s="9" t="s">
        <v>13</v>
      </c>
      <c r="K17" s="4">
        <f>SUM(K7:K16)</f>
        <v>4.3126257078308123</v>
      </c>
      <c r="L17" s="9" t="s">
        <v>14</v>
      </c>
      <c r="M17" s="4">
        <f>SUM(M7:M16)</f>
        <v>20.358677405580394</v>
      </c>
    </row>
    <row r="18" spans="1:20">
      <c r="D18" t="s">
        <v>13</v>
      </c>
      <c r="E18" s="4">
        <f>E17/(1+$D$3/$F$3)</f>
        <v>4.1688020375358255</v>
      </c>
      <c r="F18" t="s">
        <v>14</v>
      </c>
      <c r="G18" s="4">
        <f>G17/(1+D3/F3)^2</f>
        <v>21.038306281986586</v>
      </c>
      <c r="J18" s="9" t="s">
        <v>11</v>
      </c>
      <c r="K18" s="4">
        <f>K17</f>
        <v>4.3126257078308123</v>
      </c>
      <c r="L18" s="9" t="s">
        <v>12</v>
      </c>
      <c r="M18" s="4">
        <f>M17</f>
        <v>20.358677405580394</v>
      </c>
      <c r="Q18" t="s">
        <v>39</v>
      </c>
      <c r="R18" t="s">
        <v>40</v>
      </c>
      <c r="S18" t="s">
        <v>42</v>
      </c>
      <c r="T18" t="s">
        <v>41</v>
      </c>
    </row>
    <row r="19" spans="1:20">
      <c r="Q19" s="1">
        <v>0.05</v>
      </c>
      <c r="R19" s="10">
        <f>2*LN(1+Q19/2)</f>
        <v>4.9385225180742828E-2</v>
      </c>
      <c r="T19" s="10"/>
    </row>
    <row r="20" spans="1:20">
      <c r="Q20" s="1">
        <v>0.06</v>
      </c>
      <c r="R20" s="10">
        <f>2*LN(1+Q20/2)</f>
        <v>5.9117604483088858E-2</v>
      </c>
      <c r="S20" s="1">
        <f t="shared" ref="S20:T22" si="11">Q20-Q19</f>
        <v>9.999999999999995E-3</v>
      </c>
      <c r="T20" s="10">
        <f t="shared" si="11"/>
        <v>9.7323793023460295E-3</v>
      </c>
    </row>
    <row r="21" spans="1:20">
      <c r="A21" s="5" t="s">
        <v>19</v>
      </c>
      <c r="H21" s="7"/>
      <c r="J21" s="6"/>
      <c r="O21" s="6"/>
      <c r="P21" s="6"/>
      <c r="Q21" s="1">
        <v>7.0000000000000007E-2</v>
      </c>
      <c r="R21" s="10">
        <f>2*LN(1+Q21/2)</f>
        <v>6.8802853434664635E-2</v>
      </c>
      <c r="S21" s="1">
        <f t="shared" si="11"/>
        <v>1.0000000000000009E-2</v>
      </c>
      <c r="T21" s="10">
        <f t="shared" si="11"/>
        <v>9.685248951575777E-3</v>
      </c>
    </row>
    <row r="22" spans="1:20">
      <c r="A22" t="s">
        <v>0</v>
      </c>
      <c r="B22" s="6">
        <v>6.3E-2</v>
      </c>
      <c r="C22" t="s">
        <v>16</v>
      </c>
      <c r="D22" s="6">
        <v>0.06</v>
      </c>
      <c r="E22" t="s">
        <v>1</v>
      </c>
      <c r="F22">
        <v>2</v>
      </c>
      <c r="H22" s="7"/>
      <c r="J22" s="6"/>
      <c r="O22" s="6"/>
      <c r="P22" s="6"/>
      <c r="Q22" s="1">
        <v>0.08</v>
      </c>
      <c r="R22" s="10">
        <f>2*LN(1+Q22/2)</f>
        <v>7.8441426306562659E-2</v>
      </c>
      <c r="S22" s="1">
        <f t="shared" si="11"/>
        <v>9.999999999999995E-3</v>
      </c>
      <c r="T22" s="10">
        <f t="shared" si="11"/>
        <v>9.638572871898024E-3</v>
      </c>
    </row>
    <row r="23" spans="1:20">
      <c r="A23" t="s">
        <v>2</v>
      </c>
      <c r="B23">
        <v>1000</v>
      </c>
      <c r="C23" t="s">
        <v>3</v>
      </c>
      <c r="D23" s="3">
        <f>F22*LN(1+D22/F22)</f>
        <v>5.9117604483088858E-2</v>
      </c>
      <c r="E23" t="s">
        <v>21</v>
      </c>
      <c r="F23">
        <v>1008</v>
      </c>
      <c r="H23" s="7"/>
      <c r="J23" s="6"/>
      <c r="Q23" s="6"/>
      <c r="R23" s="6"/>
      <c r="S23" s="6"/>
    </row>
    <row r="24" spans="1:20">
      <c r="C24" s="2" t="s">
        <v>17</v>
      </c>
      <c r="H24" s="7"/>
      <c r="I24" s="2" t="s">
        <v>4</v>
      </c>
      <c r="Q24" s="6"/>
      <c r="R24" s="6"/>
      <c r="S24" s="6"/>
    </row>
    <row r="25" spans="1:20">
      <c r="A25" t="s">
        <v>18</v>
      </c>
      <c r="B25" t="s">
        <v>5</v>
      </c>
      <c r="C25" t="s">
        <v>6</v>
      </c>
      <c r="D25" t="s">
        <v>7</v>
      </c>
      <c r="E25" t="s">
        <v>8</v>
      </c>
      <c r="F25" t="s">
        <v>25</v>
      </c>
      <c r="G25" t="s">
        <v>26</v>
      </c>
      <c r="H25" s="7"/>
      <c r="I25" t="s">
        <v>6</v>
      </c>
      <c r="J25" t="s">
        <v>7</v>
      </c>
      <c r="K25" t="s">
        <v>8</v>
      </c>
      <c r="L25" t="s">
        <v>9</v>
      </c>
      <c r="M25" t="s">
        <v>10</v>
      </c>
      <c r="S25" s="6"/>
    </row>
    <row r="26" spans="1:20">
      <c r="A26">
        <v>0.5</v>
      </c>
      <c r="B26">
        <f>B23*B22/2</f>
        <v>31.5</v>
      </c>
      <c r="C26">
        <f t="shared" ref="C26:C31" si="12">B26/(1+$D$22/$F$22)^(A26*$F$3)</f>
        <v>30.582524271844658</v>
      </c>
      <c r="D26">
        <f t="shared" ref="D26:D31" si="13">C26/$C$32</f>
        <v>3.0336020228013884E-2</v>
      </c>
      <c r="E26">
        <f>A26*D26</f>
        <v>1.5168010114006942E-2</v>
      </c>
      <c r="F26">
        <f>A26*(A26+1/$F$3)</f>
        <v>0.5</v>
      </c>
      <c r="G26">
        <f t="shared" ref="G26:G31" si="14">F26*D26</f>
        <v>1.5168010114006942E-2</v>
      </c>
      <c r="H26" s="7"/>
      <c r="I26">
        <f t="shared" ref="I26:I31" si="15">B26*EXP(-$D$23*A26)</f>
        <v>30.582524271844662</v>
      </c>
      <c r="J26">
        <f t="shared" ref="J26:J31" si="16">I26/$I$32</f>
        <v>3.0336020228013894E-2</v>
      </c>
      <c r="K26">
        <f t="shared" ref="K26:K31" si="17">A26*J26</f>
        <v>1.5168010114006947E-2</v>
      </c>
      <c r="L26">
        <f t="shared" ref="L26:L31" si="18">A26^2</f>
        <v>0.25</v>
      </c>
      <c r="M26">
        <f t="shared" ref="M26:M31" si="19">L26*J26</f>
        <v>7.5840050570034736E-3</v>
      </c>
    </row>
    <row r="27" spans="1:20">
      <c r="A27">
        <v>1</v>
      </c>
      <c r="B27">
        <f>B26</f>
        <v>31.5</v>
      </c>
      <c r="C27">
        <f t="shared" si="12"/>
        <v>29.691771137713264</v>
      </c>
      <c r="D27">
        <f t="shared" si="13"/>
        <v>2.9452446823314455E-2</v>
      </c>
      <c r="E27">
        <f t="shared" ref="E27:E31" si="20">A27*D27</f>
        <v>2.9452446823314455E-2</v>
      </c>
      <c r="F27">
        <f t="shared" ref="F27:F31" si="21">A27*(A27+1/$F$3)</f>
        <v>1.5</v>
      </c>
      <c r="G27">
        <f t="shared" si="14"/>
        <v>4.4178670234971684E-2</v>
      </c>
      <c r="H27" s="7"/>
      <c r="I27">
        <f t="shared" si="15"/>
        <v>29.69177113771326</v>
      </c>
      <c r="J27">
        <f t="shared" si="16"/>
        <v>2.9452446823314458E-2</v>
      </c>
      <c r="K27">
        <f t="shared" si="17"/>
        <v>2.9452446823314458E-2</v>
      </c>
      <c r="L27">
        <f t="shared" si="18"/>
        <v>1</v>
      </c>
      <c r="M27">
        <f t="shared" si="19"/>
        <v>2.9452446823314458E-2</v>
      </c>
    </row>
    <row r="28" spans="1:20">
      <c r="A28">
        <v>1.5</v>
      </c>
      <c r="B28">
        <f t="shared" ref="B28:B30" si="22">B27</f>
        <v>31.5</v>
      </c>
      <c r="C28">
        <f t="shared" si="12"/>
        <v>28.826962269624527</v>
      </c>
      <c r="D28">
        <f t="shared" si="13"/>
        <v>2.8594608566324713E-2</v>
      </c>
      <c r="E28">
        <f t="shared" si="20"/>
        <v>4.2891912849487068E-2</v>
      </c>
      <c r="F28">
        <f t="shared" si="21"/>
        <v>3</v>
      </c>
      <c r="G28">
        <f t="shared" si="14"/>
        <v>8.5783825698974137E-2</v>
      </c>
      <c r="H28" s="7"/>
      <c r="I28">
        <f t="shared" si="15"/>
        <v>28.826962269624524</v>
      </c>
      <c r="J28">
        <f t="shared" si="16"/>
        <v>2.8594608566324717E-2</v>
      </c>
      <c r="K28">
        <f t="shared" si="17"/>
        <v>4.2891912849487075E-2</v>
      </c>
      <c r="L28">
        <f t="shared" si="18"/>
        <v>2.25</v>
      </c>
      <c r="M28">
        <f t="shared" si="19"/>
        <v>6.4337869274230616E-2</v>
      </c>
    </row>
    <row r="29" spans="1:20">
      <c r="A29">
        <v>2</v>
      </c>
      <c r="B29">
        <f t="shared" si="22"/>
        <v>31.5</v>
      </c>
      <c r="C29">
        <f t="shared" si="12"/>
        <v>27.987342009344204</v>
      </c>
      <c r="D29">
        <f t="shared" si="13"/>
        <v>2.7761755889635645E-2</v>
      </c>
      <c r="E29">
        <f t="shared" si="20"/>
        <v>5.5523511779271291E-2</v>
      </c>
      <c r="F29">
        <f t="shared" si="21"/>
        <v>5</v>
      </c>
      <c r="G29">
        <f t="shared" si="14"/>
        <v>0.13880877944817824</v>
      </c>
      <c r="H29" s="7"/>
      <c r="I29">
        <f t="shared" si="15"/>
        <v>27.987342009344196</v>
      </c>
      <c r="J29">
        <f t="shared" si="16"/>
        <v>2.7761755889635645E-2</v>
      </c>
      <c r="K29">
        <f t="shared" si="17"/>
        <v>5.5523511779271291E-2</v>
      </c>
      <c r="L29">
        <f t="shared" si="18"/>
        <v>4</v>
      </c>
      <c r="M29">
        <f t="shared" si="19"/>
        <v>0.11104702355854258</v>
      </c>
    </row>
    <row r="30" spans="1:20">
      <c r="A30">
        <v>2.5</v>
      </c>
      <c r="B30">
        <f t="shared" si="22"/>
        <v>31.5</v>
      </c>
      <c r="C30">
        <f t="shared" si="12"/>
        <v>27.172176708101169</v>
      </c>
      <c r="D30">
        <f t="shared" si="13"/>
        <v>2.6953161057898686E-2</v>
      </c>
      <c r="E30">
        <f t="shared" si="20"/>
        <v>6.7382902644746709E-2</v>
      </c>
      <c r="F30">
        <f t="shared" si="21"/>
        <v>7.5</v>
      </c>
      <c r="G30">
        <f t="shared" si="14"/>
        <v>0.20214870793424014</v>
      </c>
      <c r="H30" s="7"/>
      <c r="I30">
        <f t="shared" si="15"/>
        <v>27.172176708101162</v>
      </c>
      <c r="J30">
        <f t="shared" si="16"/>
        <v>2.6953161057898686E-2</v>
      </c>
      <c r="K30">
        <f t="shared" si="17"/>
        <v>6.7382902644746709E-2</v>
      </c>
      <c r="L30">
        <f t="shared" si="18"/>
        <v>6.25</v>
      </c>
      <c r="M30">
        <f t="shared" si="19"/>
        <v>0.16845725661186678</v>
      </c>
    </row>
    <row r="31" spans="1:20">
      <c r="A31">
        <v>3</v>
      </c>
      <c r="B31">
        <f>B30+B23</f>
        <v>1031.5</v>
      </c>
      <c r="C31">
        <f t="shared" si="12"/>
        <v>863.86501076918955</v>
      </c>
      <c r="D31">
        <f t="shared" si="13"/>
        <v>0.8569020074348126</v>
      </c>
      <c r="E31">
        <f t="shared" si="20"/>
        <v>2.5707060223044378</v>
      </c>
      <c r="F31">
        <f t="shared" si="21"/>
        <v>10.5</v>
      </c>
      <c r="G31">
        <f t="shared" si="14"/>
        <v>8.9974710780655318</v>
      </c>
      <c r="H31" s="7"/>
      <c r="I31">
        <f t="shared" si="15"/>
        <v>863.86501076918933</v>
      </c>
      <c r="J31">
        <f t="shared" si="16"/>
        <v>0.85690200743481248</v>
      </c>
      <c r="K31">
        <f t="shared" si="17"/>
        <v>2.5707060223044373</v>
      </c>
      <c r="L31">
        <f t="shared" si="18"/>
        <v>9</v>
      </c>
      <c r="M31">
        <f t="shared" si="19"/>
        <v>7.7121180669133125</v>
      </c>
    </row>
    <row r="32" spans="1:20">
      <c r="C32">
        <f>SUM(C26:C31)</f>
        <v>1008.1257871658174</v>
      </c>
      <c r="D32" t="s">
        <v>11</v>
      </c>
      <c r="E32" s="4">
        <f>SUM(E26:E31)</f>
        <v>2.7811248065152641</v>
      </c>
      <c r="F32" t="s">
        <v>12</v>
      </c>
      <c r="G32" s="4">
        <f>SUM(G26:G31)</f>
        <v>9.4835590714959022</v>
      </c>
      <c r="H32" s="7"/>
      <c r="I32">
        <f>SUM(I26:I31)</f>
        <v>1008.1257871658172</v>
      </c>
      <c r="J32" s="9" t="s">
        <v>13</v>
      </c>
      <c r="K32" s="4">
        <f>SUM(K26:K31)</f>
        <v>2.7811248065152636</v>
      </c>
      <c r="L32" s="9" t="s">
        <v>12</v>
      </c>
      <c r="M32" s="4">
        <f>SUM(M26:M31)</f>
        <v>8.0929966682382712</v>
      </c>
    </row>
    <row r="33" spans="1:13">
      <c r="D33" t="s">
        <v>13</v>
      </c>
      <c r="E33" s="4">
        <f>E32/(1+D22/F22)</f>
        <v>2.7001211713740427</v>
      </c>
      <c r="F33" t="s">
        <v>14</v>
      </c>
      <c r="G33" s="4">
        <f>G32/(1+D22/F22)^2</f>
        <v>8.9391639848203432</v>
      </c>
      <c r="H33" s="7"/>
      <c r="J33" s="9" t="s">
        <v>11</v>
      </c>
      <c r="K33" s="4">
        <f>K32</f>
        <v>2.7811248065152636</v>
      </c>
      <c r="L33" s="9" t="s">
        <v>14</v>
      </c>
      <c r="M33" s="4">
        <f>M32</f>
        <v>8.0929966682382712</v>
      </c>
    </row>
    <row r="34" spans="1:13">
      <c r="A34" s="7"/>
      <c r="B34" s="7"/>
      <c r="C34" s="7"/>
      <c r="D34" s="7"/>
      <c r="E34" s="7"/>
      <c r="F34" s="7"/>
      <c r="G34" s="8"/>
      <c r="H34" s="7"/>
    </row>
    <row r="35" spans="1:13">
      <c r="A35" s="7"/>
      <c r="B35" s="7"/>
      <c r="C35" s="7"/>
      <c r="D35" s="7"/>
      <c r="E35" s="7"/>
      <c r="F35" s="7"/>
      <c r="G35" s="7"/>
      <c r="H35" s="7"/>
    </row>
    <row r="36" spans="1:13">
      <c r="A36" s="5" t="s">
        <v>20</v>
      </c>
      <c r="H36" s="7"/>
    </row>
    <row r="37" spans="1:13">
      <c r="A37" t="s">
        <v>0</v>
      </c>
      <c r="B37" s="6">
        <v>0.08</v>
      </c>
      <c r="C37" t="s">
        <v>16</v>
      </c>
      <c r="D37" s="6">
        <v>6.5000000000000002E-2</v>
      </c>
      <c r="E37" t="s">
        <v>1</v>
      </c>
      <c r="F37">
        <v>2</v>
      </c>
      <c r="H37" s="7"/>
    </row>
    <row r="38" spans="1:13">
      <c r="A38" t="s">
        <v>2</v>
      </c>
      <c r="B38">
        <v>1000</v>
      </c>
      <c r="C38" t="s">
        <v>3</v>
      </c>
      <c r="D38" s="3">
        <f>F37*LN(1+D37/F37)</f>
        <v>6.3966091706101486E-2</v>
      </c>
      <c r="E38" t="s">
        <v>21</v>
      </c>
      <c r="F38">
        <v>1109</v>
      </c>
    </row>
    <row r="39" spans="1:13">
      <c r="C39" s="2" t="s">
        <v>17</v>
      </c>
    </row>
    <row r="40" spans="1:13">
      <c r="A40" t="s">
        <v>18</v>
      </c>
      <c r="B40" t="s">
        <v>5</v>
      </c>
      <c r="C40" t="s">
        <v>6</v>
      </c>
      <c r="D40" t="s">
        <v>7</v>
      </c>
      <c r="E40" t="s">
        <v>8</v>
      </c>
      <c r="F40" t="s">
        <v>25</v>
      </c>
      <c r="G40" t="s">
        <v>26</v>
      </c>
    </row>
    <row r="41" spans="1:13">
      <c r="A41">
        <v>0.5</v>
      </c>
      <c r="B41">
        <f>B38*B37/$F$37</f>
        <v>40</v>
      </c>
      <c r="C41">
        <f t="shared" ref="C41:C60" si="23">B41/(1+$D$37/$F$37)^(A41*$F$37)</f>
        <v>38.7409200968523</v>
      </c>
      <c r="D41">
        <f t="shared" ref="D41:D60" si="24">C41/$C$61</f>
        <v>3.4931780712088391E-2</v>
      </c>
      <c r="E41">
        <f>A41*D41</f>
        <v>1.7465890356044195E-2</v>
      </c>
      <c r="F41">
        <f t="shared" ref="F41:F60" si="25">A41*(A41+1/$F$37)</f>
        <v>0.5</v>
      </c>
      <c r="G41">
        <f>F41*D41</f>
        <v>1.7465890356044195E-2</v>
      </c>
    </row>
    <row r="42" spans="1:13">
      <c r="A42">
        <v>1</v>
      </c>
      <c r="B42">
        <f>B41</f>
        <v>40</v>
      </c>
      <c r="C42">
        <f t="shared" si="23"/>
        <v>37.521472248767367</v>
      </c>
      <c r="D42">
        <f t="shared" si="24"/>
        <v>3.3832233135194574E-2</v>
      </c>
      <c r="E42">
        <f t="shared" ref="E42:E60" si="26">A42*D42</f>
        <v>3.3832233135194574E-2</v>
      </c>
      <c r="F42">
        <f t="shared" si="25"/>
        <v>1.5</v>
      </c>
      <c r="G42">
        <f t="shared" ref="G42:G60" si="27">F42*D42</f>
        <v>5.0748349702791865E-2</v>
      </c>
    </row>
    <row r="43" spans="1:13">
      <c r="A43">
        <v>1.5</v>
      </c>
      <c r="B43">
        <f t="shared" ref="B43:B59" si="28">B42</f>
        <v>40</v>
      </c>
      <c r="C43">
        <f t="shared" si="23"/>
        <v>36.340408957643938</v>
      </c>
      <c r="D43">
        <f t="shared" si="24"/>
        <v>3.2767296014716292E-2</v>
      </c>
      <c r="E43">
        <f t="shared" si="26"/>
        <v>4.9150944022074441E-2</v>
      </c>
      <c r="F43">
        <f t="shared" si="25"/>
        <v>3</v>
      </c>
      <c r="G43">
        <f t="shared" si="27"/>
        <v>9.8301888044148883E-2</v>
      </c>
    </row>
    <row r="44" spans="1:13">
      <c r="A44">
        <v>2</v>
      </c>
      <c r="B44">
        <f t="shared" si="28"/>
        <v>40</v>
      </c>
      <c r="C44">
        <f t="shared" si="23"/>
        <v>35.196521992875482</v>
      </c>
      <c r="D44">
        <f t="shared" si="24"/>
        <v>3.1735879917400761E-2</v>
      </c>
      <c r="E44">
        <f t="shared" si="26"/>
        <v>6.3471759834801522E-2</v>
      </c>
      <c r="F44">
        <f t="shared" si="25"/>
        <v>5</v>
      </c>
      <c r="G44">
        <f t="shared" si="27"/>
        <v>0.15867939958700381</v>
      </c>
    </row>
    <row r="45" spans="1:13">
      <c r="A45">
        <v>2.5</v>
      </c>
      <c r="B45">
        <f t="shared" si="28"/>
        <v>40</v>
      </c>
      <c r="C45">
        <f t="shared" si="23"/>
        <v>34.088641155327345</v>
      </c>
      <c r="D45">
        <f t="shared" si="24"/>
        <v>3.0736929702083065E-2</v>
      </c>
      <c r="E45">
        <f t="shared" si="26"/>
        <v>7.6842324255207664E-2</v>
      </c>
      <c r="F45">
        <f t="shared" si="25"/>
        <v>7.5</v>
      </c>
      <c r="G45">
        <f t="shared" si="27"/>
        <v>0.23052697276562298</v>
      </c>
    </row>
    <row r="46" spans="1:13">
      <c r="A46">
        <v>3</v>
      </c>
      <c r="B46">
        <f t="shared" si="28"/>
        <v>40</v>
      </c>
      <c r="C46">
        <f t="shared" si="23"/>
        <v>33.015633080220191</v>
      </c>
      <c r="D46">
        <f t="shared" si="24"/>
        <v>2.9769423440274157E-2</v>
      </c>
      <c r="E46">
        <f t="shared" si="26"/>
        <v>8.9308270320822475E-2</v>
      </c>
      <c r="F46">
        <f t="shared" si="25"/>
        <v>10.5</v>
      </c>
      <c r="G46">
        <f t="shared" si="27"/>
        <v>0.31257894612287868</v>
      </c>
    </row>
    <row r="47" spans="1:13">
      <c r="A47">
        <v>3.5</v>
      </c>
      <c r="B47">
        <f t="shared" si="28"/>
        <v>40</v>
      </c>
      <c r="C47">
        <f t="shared" si="23"/>
        <v>31.9764000776951</v>
      </c>
      <c r="D47">
        <f t="shared" si="24"/>
        <v>2.8832371370725578E-2</v>
      </c>
      <c r="E47">
        <f t="shared" si="26"/>
        <v>0.10091329979753952</v>
      </c>
      <c r="F47">
        <f t="shared" si="25"/>
        <v>14</v>
      </c>
      <c r="G47">
        <f t="shared" si="27"/>
        <v>0.40365319919015807</v>
      </c>
    </row>
    <row r="48" spans="1:13">
      <c r="A48">
        <v>4</v>
      </c>
      <c r="B48">
        <f t="shared" si="28"/>
        <v>40</v>
      </c>
      <c r="C48">
        <f t="shared" si="23"/>
        <v>30.969879009874187</v>
      </c>
      <c r="D48">
        <f t="shared" si="24"/>
        <v>2.7924814886901284E-2</v>
      </c>
      <c r="E48">
        <f t="shared" si="26"/>
        <v>0.11169925954760514</v>
      </c>
      <c r="F48">
        <f t="shared" si="25"/>
        <v>18</v>
      </c>
      <c r="G48">
        <f t="shared" si="27"/>
        <v>0.50264666796422308</v>
      </c>
    </row>
    <row r="49" spans="1:7">
      <c r="A49">
        <v>4.5</v>
      </c>
      <c r="B49">
        <f t="shared" si="28"/>
        <v>40</v>
      </c>
      <c r="C49">
        <f t="shared" si="23"/>
        <v>29.995040203267976</v>
      </c>
      <c r="D49">
        <f t="shared" si="24"/>
        <v>2.7045825556320853E-2</v>
      </c>
      <c r="E49">
        <f t="shared" si="26"/>
        <v>0.12170621500344384</v>
      </c>
      <c r="F49">
        <f t="shared" si="25"/>
        <v>22.5</v>
      </c>
      <c r="G49">
        <f t="shared" si="27"/>
        <v>0.60853107501721915</v>
      </c>
    </row>
    <row r="50" spans="1:7">
      <c r="A50">
        <v>5</v>
      </c>
      <c r="B50">
        <f t="shared" si="28"/>
        <v>40</v>
      </c>
      <c r="C50">
        <f t="shared" si="23"/>
        <v>29.050886395416928</v>
      </c>
      <c r="D50">
        <f t="shared" si="24"/>
        <v>2.6194504170770804E-2</v>
      </c>
      <c r="E50">
        <f t="shared" si="26"/>
        <v>0.13097252085385402</v>
      </c>
      <c r="F50">
        <f t="shared" si="25"/>
        <v>27.5</v>
      </c>
      <c r="G50">
        <f t="shared" si="27"/>
        <v>0.72034886469619708</v>
      </c>
    </row>
    <row r="51" spans="1:7">
      <c r="A51">
        <v>5.5</v>
      </c>
      <c r="B51">
        <f t="shared" si="28"/>
        <v>40</v>
      </c>
      <c r="C51">
        <f t="shared" si="23"/>
        <v>28.136451714689521</v>
      </c>
      <c r="D51">
        <f t="shared" si="24"/>
        <v>2.5369979826412405E-2</v>
      </c>
      <c r="E51">
        <f t="shared" si="26"/>
        <v>0.13953488904526823</v>
      </c>
      <c r="F51">
        <f t="shared" si="25"/>
        <v>33</v>
      </c>
      <c r="G51">
        <f t="shared" si="27"/>
        <v>0.83720933427160937</v>
      </c>
    </row>
    <row r="52" spans="1:7">
      <c r="A52">
        <v>6</v>
      </c>
      <c r="B52">
        <f t="shared" si="28"/>
        <v>40</v>
      </c>
      <c r="C52">
        <f t="shared" si="23"/>
        <v>27.250800692193241</v>
      </c>
      <c r="D52">
        <f t="shared" si="24"/>
        <v>2.4571409032844944E-2</v>
      </c>
      <c r="E52">
        <f t="shared" si="26"/>
        <v>0.14742845419706968</v>
      </c>
      <c r="F52">
        <f t="shared" si="25"/>
        <v>39</v>
      </c>
      <c r="G52">
        <f t="shared" si="27"/>
        <v>0.95828495228095278</v>
      </c>
    </row>
    <row r="53" spans="1:7">
      <c r="A53">
        <v>6.5</v>
      </c>
      <c r="B53">
        <f t="shared" si="28"/>
        <v>40</v>
      </c>
      <c r="C53">
        <f t="shared" si="23"/>
        <v>26.393027304787644</v>
      </c>
      <c r="D53">
        <f t="shared" si="24"/>
        <v>2.3797974850213021E-2</v>
      </c>
      <c r="E53">
        <f t="shared" si="26"/>
        <v>0.15468683652638462</v>
      </c>
      <c r="F53">
        <f t="shared" si="25"/>
        <v>45.5</v>
      </c>
      <c r="G53">
        <f t="shared" si="27"/>
        <v>1.0828078556846925</v>
      </c>
    </row>
    <row r="54" spans="1:7">
      <c r="A54">
        <v>7</v>
      </c>
      <c r="B54">
        <f t="shared" si="28"/>
        <v>40</v>
      </c>
      <c r="C54">
        <f t="shared" si="23"/>
        <v>25.562254048220481</v>
      </c>
      <c r="D54">
        <f t="shared" si="24"/>
        <v>2.3048886053475083E-2</v>
      </c>
      <c r="E54">
        <f t="shared" si="26"/>
        <v>0.16134220237432559</v>
      </c>
      <c r="F54">
        <f t="shared" si="25"/>
        <v>52.5</v>
      </c>
      <c r="G54">
        <f t="shared" si="27"/>
        <v>1.2100665178074419</v>
      </c>
    </row>
    <row r="55" spans="1:7">
      <c r="A55">
        <v>7.5</v>
      </c>
      <c r="B55">
        <f t="shared" si="28"/>
        <v>40</v>
      </c>
      <c r="C55">
        <f t="shared" si="23"/>
        <v>24.757631039438721</v>
      </c>
      <c r="D55">
        <f t="shared" si="24"/>
        <v>2.2323376322978285E-2</v>
      </c>
      <c r="E55">
        <f t="shared" si="26"/>
        <v>0.16742532242233715</v>
      </c>
      <c r="F55">
        <f t="shared" si="25"/>
        <v>60</v>
      </c>
      <c r="G55">
        <f t="shared" si="27"/>
        <v>1.3394025793786972</v>
      </c>
    </row>
    <row r="56" spans="1:7">
      <c r="A56">
        <v>8</v>
      </c>
      <c r="B56">
        <f t="shared" si="28"/>
        <v>40</v>
      </c>
      <c r="C56">
        <f t="shared" si="23"/>
        <v>23.978335147156145</v>
      </c>
      <c r="D56">
        <f t="shared" si="24"/>
        <v>2.1620703460511658E-2</v>
      </c>
      <c r="E56">
        <f t="shared" si="26"/>
        <v>0.17296562768409326</v>
      </c>
      <c r="F56">
        <f t="shared" si="25"/>
        <v>68</v>
      </c>
      <c r="G56">
        <f t="shared" si="27"/>
        <v>1.4702078353147927</v>
      </c>
    </row>
    <row r="57" spans="1:7">
      <c r="A57">
        <v>8.5</v>
      </c>
      <c r="B57">
        <f t="shared" si="28"/>
        <v>40</v>
      </c>
      <c r="C57">
        <f t="shared" si="23"/>
        <v>23.223569149788034</v>
      </c>
      <c r="D57">
        <f t="shared" si="24"/>
        <v>2.0940148630035505E-2</v>
      </c>
      <c r="E57">
        <f t="shared" si="26"/>
        <v>0.1779912633553018</v>
      </c>
      <c r="F57">
        <f t="shared" si="25"/>
        <v>76.5</v>
      </c>
      <c r="G57">
        <f t="shared" si="27"/>
        <v>1.6019213701977162</v>
      </c>
    </row>
    <row r="58" spans="1:7">
      <c r="A58">
        <v>9</v>
      </c>
      <c r="B58">
        <f t="shared" si="28"/>
        <v>40</v>
      </c>
      <c r="C58">
        <f t="shared" si="23"/>
        <v>22.492560919891559</v>
      </c>
      <c r="D58">
        <f t="shared" si="24"/>
        <v>2.0281015622310414E-2</v>
      </c>
      <c r="E58">
        <f t="shared" si="26"/>
        <v>0.18252914060079373</v>
      </c>
      <c r="F58">
        <f t="shared" si="25"/>
        <v>85.5</v>
      </c>
      <c r="G58">
        <f t="shared" si="27"/>
        <v>1.7340268357075403</v>
      </c>
    </row>
    <row r="59" spans="1:7">
      <c r="A59">
        <v>9.5</v>
      </c>
      <c r="B59">
        <f t="shared" si="28"/>
        <v>40</v>
      </c>
      <c r="C59">
        <f t="shared" si="23"/>
        <v>21.784562634277542</v>
      </c>
      <c r="D59">
        <f t="shared" si="24"/>
        <v>1.9642630142673527E-2</v>
      </c>
      <c r="E59">
        <f t="shared" si="26"/>
        <v>0.18660498635539852</v>
      </c>
      <c r="F59">
        <f t="shared" si="25"/>
        <v>95</v>
      </c>
      <c r="G59">
        <f t="shared" si="27"/>
        <v>1.8660498635539851</v>
      </c>
    </row>
    <row r="60" spans="1:7">
      <c r="A60">
        <v>10</v>
      </c>
      <c r="B60">
        <f>B59+B38</f>
        <v>1040</v>
      </c>
      <c r="C60">
        <f t="shared" si="23"/>
        <v>548.57010023362329</v>
      </c>
      <c r="D60">
        <f t="shared" si="24"/>
        <v>0.49463281715206947</v>
      </c>
      <c r="E60">
        <f t="shared" si="26"/>
        <v>4.9463281715206948</v>
      </c>
      <c r="F60">
        <f t="shared" si="25"/>
        <v>105</v>
      </c>
      <c r="G60">
        <f t="shared" si="27"/>
        <v>51.936445800967292</v>
      </c>
    </row>
    <row r="61" spans="1:7">
      <c r="C61">
        <f>SUM(C41:C60)</f>
        <v>1109.0450961020069</v>
      </c>
      <c r="D61" t="s">
        <v>11</v>
      </c>
      <c r="E61" s="4">
        <f>SUM(E41:E60)</f>
        <v>7.2321996112082552</v>
      </c>
      <c r="F61" t="s">
        <v>12</v>
      </c>
      <c r="G61" s="4">
        <f>SUM(G41:G60)</f>
        <v>67.139904198611006</v>
      </c>
    </row>
    <row r="62" spans="1:7">
      <c r="D62" t="s">
        <v>13</v>
      </c>
      <c r="E62" s="4">
        <f>E61/(1+D37/2)</f>
        <v>7.0045516815576319</v>
      </c>
      <c r="F62" t="s">
        <v>14</v>
      </c>
      <c r="G62" s="4">
        <f>G61/(1+D37/F37)^2</f>
        <v>62.979701304327058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N18" sqref="N18"/>
    </sheetView>
  </sheetViews>
  <sheetFormatPr defaultRowHeight="13.5"/>
  <cols>
    <col min="7" max="7" width="9.5" bestFit="1" customWidth="1"/>
    <col min="8" max="8" width="9.5" customWidth="1"/>
  </cols>
  <sheetData>
    <row r="2" spans="1:14">
      <c r="A2" s="5" t="s">
        <v>27</v>
      </c>
      <c r="L2" s="6">
        <f>LN(1+D3)</f>
        <v>4.8790164169432049E-2</v>
      </c>
    </row>
    <row r="3" spans="1:14">
      <c r="A3" t="s">
        <v>28</v>
      </c>
      <c r="B3" s="6">
        <v>0.1</v>
      </c>
      <c r="C3" t="s">
        <v>29</v>
      </c>
      <c r="D3" s="6">
        <v>0.05</v>
      </c>
      <c r="E3" t="s">
        <v>1</v>
      </c>
      <c r="F3">
        <v>1</v>
      </c>
      <c r="J3" t="s">
        <v>3</v>
      </c>
      <c r="K3" s="6">
        <v>0.05</v>
      </c>
      <c r="M3">
        <v>1</v>
      </c>
    </row>
    <row r="4" spans="1:14">
      <c r="A4" t="s">
        <v>2</v>
      </c>
      <c r="B4">
        <v>1000</v>
      </c>
    </row>
    <row r="5" spans="1:14">
      <c r="C5" s="2" t="s">
        <v>17</v>
      </c>
      <c r="F5" s="2"/>
      <c r="J5" s="2" t="s">
        <v>30</v>
      </c>
      <c r="M5" s="2"/>
    </row>
    <row r="6" spans="1:14">
      <c r="A6" t="s">
        <v>18</v>
      </c>
      <c r="B6" t="s">
        <v>5</v>
      </c>
      <c r="C6" t="s">
        <v>6</v>
      </c>
      <c r="D6" t="s">
        <v>7</v>
      </c>
      <c r="E6" t="s">
        <v>8</v>
      </c>
      <c r="F6" t="s">
        <v>25</v>
      </c>
      <c r="G6" t="s">
        <v>26</v>
      </c>
      <c r="J6" t="s">
        <v>6</v>
      </c>
      <c r="K6" t="s">
        <v>7</v>
      </c>
      <c r="L6" t="s">
        <v>8</v>
      </c>
      <c r="M6" t="s">
        <v>31</v>
      </c>
      <c r="N6" t="s">
        <v>32</v>
      </c>
    </row>
    <row r="7" spans="1:14">
      <c r="A7">
        <v>1</v>
      </c>
      <c r="B7">
        <f>B4*B3</f>
        <v>100</v>
      </c>
      <c r="C7">
        <f>B7/(1+$D$3)^(A7)</f>
        <v>95.238095238095241</v>
      </c>
      <c r="D7">
        <f>C7/$C$17</f>
        <v>7.8290294959826534E-2</v>
      </c>
      <c r="E7">
        <f>A7*D7</f>
        <v>7.8290294959826534E-2</v>
      </c>
      <c r="F7">
        <f>A7*(A7+1/$F$3)</f>
        <v>2</v>
      </c>
      <c r="G7">
        <f t="shared" ref="G7:G11" si="0">F7*D7</f>
        <v>0.15658058991965307</v>
      </c>
      <c r="J7">
        <f>B7*EXP(-$K$3*A7)</f>
        <v>95.122942450071406</v>
      </c>
      <c r="K7">
        <f>J7/$J$17</f>
        <v>7.8598969576813782E-2</v>
      </c>
      <c r="L7">
        <f>K7*A7</f>
        <v>7.8598969576813782E-2</v>
      </c>
      <c r="M7">
        <f>A7^2</f>
        <v>1</v>
      </c>
      <c r="N7">
        <f>M7*K7</f>
        <v>7.8598969576813782E-2</v>
      </c>
    </row>
    <row r="8" spans="1:14">
      <c r="A8">
        <v>2</v>
      </c>
      <c r="B8">
        <f>B7</f>
        <v>100</v>
      </c>
      <c r="C8">
        <f>B8/(1+$D$3)^(A8)</f>
        <v>90.702947845804985</v>
      </c>
      <c r="D8">
        <f t="shared" ref="D8:D11" si="1">C8/$C$17</f>
        <v>7.4562185676025253E-2</v>
      </c>
      <c r="E8">
        <f t="shared" ref="E8:E11" si="2">A8*D8</f>
        <v>0.14912437135205051</v>
      </c>
      <c r="F8">
        <f t="shared" ref="F8:F11" si="3">A8*(A8+1/$F$3)</f>
        <v>6</v>
      </c>
      <c r="G8">
        <f t="shared" si="0"/>
        <v>0.44737311405615154</v>
      </c>
      <c r="J8">
        <f t="shared" ref="J8:J11" si="4">B8*EXP(-$K$3*A8)</f>
        <v>90.483741803595947</v>
      </c>
      <c r="K8">
        <f t="shared" ref="K8:K11" si="5">J8/$J$17</f>
        <v>7.4765652596901683E-2</v>
      </c>
      <c r="L8">
        <f t="shared" ref="L8:L11" si="6">K8*A8</f>
        <v>0.14953130519380337</v>
      </c>
      <c r="M8">
        <f t="shared" ref="M8:M11" si="7">A8^2</f>
        <v>4</v>
      </c>
      <c r="N8">
        <f t="shared" ref="N8:N11" si="8">M8*K8</f>
        <v>0.29906261038760673</v>
      </c>
    </row>
    <row r="9" spans="1:14">
      <c r="A9">
        <v>3</v>
      </c>
      <c r="B9">
        <f t="shared" ref="B9:B10" si="9">B8</f>
        <v>100</v>
      </c>
      <c r="C9">
        <f>B9/(1+$D$3)^(A9)</f>
        <v>86.383759853147595</v>
      </c>
      <c r="D9">
        <f t="shared" si="1"/>
        <v>7.1011605405738337E-2</v>
      </c>
      <c r="E9">
        <f t="shared" si="2"/>
        <v>0.21303481621721501</v>
      </c>
      <c r="F9">
        <f t="shared" si="3"/>
        <v>12</v>
      </c>
      <c r="G9">
        <f t="shared" si="0"/>
        <v>0.85213926486886005</v>
      </c>
      <c r="J9">
        <f t="shared" si="4"/>
        <v>86.070797642505781</v>
      </c>
      <c r="K9">
        <f t="shared" si="5"/>
        <v>7.1119288692171115E-2</v>
      </c>
      <c r="L9">
        <f t="shared" si="6"/>
        <v>0.21335786607651336</v>
      </c>
      <c r="M9">
        <f t="shared" si="7"/>
        <v>9</v>
      </c>
      <c r="N9">
        <f t="shared" si="8"/>
        <v>0.64007359822954002</v>
      </c>
    </row>
    <row r="10" spans="1:14">
      <c r="A10">
        <v>4</v>
      </c>
      <c r="B10">
        <f t="shared" si="9"/>
        <v>100</v>
      </c>
      <c r="C10">
        <f>B10/(1+$D$3)^(A10)</f>
        <v>82.2702474791882</v>
      </c>
      <c r="D10">
        <f t="shared" si="1"/>
        <v>6.7630100386417466E-2</v>
      </c>
      <c r="E10">
        <f t="shared" si="2"/>
        <v>0.27052040154566986</v>
      </c>
      <c r="F10">
        <f t="shared" si="3"/>
        <v>20</v>
      </c>
      <c r="G10">
        <f t="shared" si="0"/>
        <v>1.3526020077283494</v>
      </c>
      <c r="J10">
        <f t="shared" si="4"/>
        <v>81.873075307798189</v>
      </c>
      <c r="K10">
        <f t="shared" si="5"/>
        <v>6.7650760053554068E-2</v>
      </c>
      <c r="L10">
        <f t="shared" si="6"/>
        <v>0.27060304021421627</v>
      </c>
      <c r="M10">
        <f t="shared" si="7"/>
        <v>16</v>
      </c>
      <c r="N10">
        <f t="shared" si="8"/>
        <v>1.0824121608568651</v>
      </c>
    </row>
    <row r="11" spans="1:14">
      <c r="A11">
        <v>5</v>
      </c>
      <c r="B11">
        <f>B10+B4</f>
        <v>1100</v>
      </c>
      <c r="C11">
        <f>B11/(1+$D$3)^(A11)</f>
        <v>861.87878311530483</v>
      </c>
      <c r="D11">
        <f t="shared" si="1"/>
        <v>0.70850581357199249</v>
      </c>
      <c r="E11">
        <f t="shared" si="2"/>
        <v>3.5425290678599626</v>
      </c>
      <c r="F11">
        <f t="shared" si="3"/>
        <v>30</v>
      </c>
      <c r="G11">
        <f t="shared" si="0"/>
        <v>21.255174407159775</v>
      </c>
      <c r="J11">
        <f t="shared" si="4"/>
        <v>856.68086137854539</v>
      </c>
      <c r="K11">
        <f t="shared" si="5"/>
        <v>0.70786532908055944</v>
      </c>
      <c r="L11">
        <f t="shared" si="6"/>
        <v>3.539326645402797</v>
      </c>
      <c r="M11">
        <f t="shared" si="7"/>
        <v>25</v>
      </c>
      <c r="N11">
        <f t="shared" si="8"/>
        <v>17.696633227013987</v>
      </c>
    </row>
    <row r="17" spans="2:14">
      <c r="C17">
        <f>SUM(C7:C16)</f>
        <v>1216.4738335315408</v>
      </c>
      <c r="D17" t="s">
        <v>11</v>
      </c>
      <c r="E17" s="4">
        <f>SUM(E7:E16)</f>
        <v>4.2534989519347244</v>
      </c>
      <c r="F17" t="s">
        <v>12</v>
      </c>
      <c r="G17" s="4">
        <f>SUM(G7:G16)</f>
        <v>24.06386938373279</v>
      </c>
      <c r="J17">
        <f>SUM(J7:J16)</f>
        <v>1210.2314185825167</v>
      </c>
      <c r="K17" t="s">
        <v>11</v>
      </c>
      <c r="L17" s="4">
        <f>SUM(L7:L16)</f>
        <v>4.2514178264641433</v>
      </c>
      <c r="M17" t="s">
        <v>12</v>
      </c>
      <c r="N17" s="4">
        <f>SUM(N7:N16)</f>
        <v>19.796780566064811</v>
      </c>
    </row>
    <row r="18" spans="2:14">
      <c r="D18" t="s">
        <v>13</v>
      </c>
      <c r="E18" s="4">
        <f>E17/(1+$D$3/$F$3)</f>
        <v>4.0509513827949757</v>
      </c>
      <c r="F18" t="s">
        <v>14</v>
      </c>
      <c r="G18" s="4">
        <f>G17/(1+D3/F3)^2</f>
        <v>21.826638896809786</v>
      </c>
      <c r="K18" t="s">
        <v>13</v>
      </c>
      <c r="L18" s="4">
        <f>L17</f>
        <v>4.2514178264641433</v>
      </c>
      <c r="M18" t="s">
        <v>14</v>
      </c>
      <c r="N18" s="4">
        <f>N17</f>
        <v>19.796780566064811</v>
      </c>
    </row>
    <row r="20" spans="2:14">
      <c r="B20" t="s">
        <v>36</v>
      </c>
      <c r="C20" s="1">
        <v>0.01</v>
      </c>
      <c r="I20" t="s">
        <v>36</v>
      </c>
      <c r="J20" s="1">
        <v>0.01</v>
      </c>
    </row>
    <row r="22" spans="2:14">
      <c r="B22" t="s">
        <v>34</v>
      </c>
      <c r="C22">
        <v>1216.4738335315408</v>
      </c>
      <c r="E22" s="13" t="s">
        <v>38</v>
      </c>
      <c r="F22">
        <f>-E18*C20</f>
        <v>-4.0509513827949754E-2</v>
      </c>
      <c r="G22" s="15">
        <f>F22-C24</f>
        <v>-1.0682362711411583E-3</v>
      </c>
      <c r="I22" t="s">
        <v>34</v>
      </c>
      <c r="J22">
        <v>1210.2314185825167</v>
      </c>
      <c r="L22" s="13" t="s">
        <v>38</v>
      </c>
      <c r="M22">
        <f>-L17*J20</f>
        <v>-4.2514178264641433E-2</v>
      </c>
      <c r="N22" s="14">
        <f>M22-J24</f>
        <v>-9.7412998727464117E-4</v>
      </c>
    </row>
    <row r="23" spans="2:14">
      <c r="B23" t="s">
        <v>35</v>
      </c>
      <c r="C23">
        <v>1168.4945514226283</v>
      </c>
      <c r="E23" t="s">
        <v>37</v>
      </c>
      <c r="F23">
        <f>F22+0.5*G18*C20^2</f>
        <v>-3.9418181883109263E-2</v>
      </c>
      <c r="G23" s="15">
        <f>F23-C24</f>
        <v>2.3095673699333186E-5</v>
      </c>
      <c r="I23" t="s">
        <v>35</v>
      </c>
      <c r="J23">
        <v>1159.9583470278128</v>
      </c>
      <c r="L23" t="s">
        <v>37</v>
      </c>
      <c r="M23">
        <f>M22+0.5*N17*J20^2</f>
        <v>-4.1524339236338192E-2</v>
      </c>
      <c r="N23" s="14">
        <f>M23-J24</f>
        <v>1.5709041028599824E-5</v>
      </c>
    </row>
    <row r="24" spans="2:14">
      <c r="C24">
        <f>C23/C22-1</f>
        <v>-3.9441277556808596E-2</v>
      </c>
      <c r="J24">
        <f>J23/J22-1</f>
        <v>-4.1540048277366792E-2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정지웅[ 교수 / 경영학과 ]</dc:creator>
  <cp:lastModifiedBy>JWC</cp:lastModifiedBy>
  <dcterms:created xsi:type="dcterms:W3CDTF">2024-05-02T04:46:12Z</dcterms:created>
  <dcterms:modified xsi:type="dcterms:W3CDTF">2025-09-15T02:38:59Z</dcterms:modified>
</cp:coreProperties>
</file>