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Receive monthly of Nov18" sheetId="1" r:id="rId4"/>
    <sheet name="History Receive last 12 month" sheetId="2" r:id="rId5"/>
  </sheets>
  <definedNames>
    <definedName name="_xlnm._FilterDatabase" localSheetId="0" hidden="1">'Receive monthly of Nov18'!$B$12:$O$12</definedName>
    <definedName name="_xlnm._FilterDatabase" localSheetId="1" hidden="1">'History Receive last 12 month'!$B$19:$AG$19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<sst xmlns="http://schemas.openxmlformats.org/spreadsheetml/2006/main" uniqueCount="1542">
  <si>
    <t>MONTHLY RECEIVING REPORT</t>
  </si>
  <si>
    <t>SUMMARY TOTAL</t>
  </si>
  <si>
    <t>PLAN</t>
  </si>
  <si>
    <t>Pcs.</t>
  </si>
  <si>
    <t>November 2018</t>
  </si>
  <si>
    <t>ACTUAL</t>
  </si>
  <si>
    <t>DIFF</t>
  </si>
  <si>
    <t>PRICE AMOUNT</t>
  </si>
  <si>
    <t>Thb.</t>
  </si>
  <si>
    <t>PLAN NEXT MONTH</t>
  </si>
  <si>
    <t>PRICE NEXT MONTH</t>
  </si>
  <si>
    <t>NO</t>
  </si>
  <si>
    <t>PLANT</t>
  </si>
  <si>
    <t>PD</t>
  </si>
  <si>
    <t>SOURCE CD</t>
  </si>
  <si>
    <t>SOURCE NAME</t>
  </si>
  <si>
    <t>ITEM CD</t>
  </si>
  <si>
    <t>ITEM NAME</t>
  </si>
  <si>
    <t>MODEL</t>
  </si>
  <si>
    <t>NEXT PLAN</t>
  </si>
  <si>
    <t>PLAN AMOUNT</t>
  </si>
  <si>
    <t>K1PD04</t>
  </si>
  <si>
    <t>K1D001</t>
  </si>
  <si>
    <t>350 TON DIE CASTING</t>
  </si>
  <si>
    <t>ME201737-RM</t>
  </si>
  <si>
    <t>BODY</t>
  </si>
  <si>
    <t>BODY 4M4</t>
  </si>
  <si>
    <t>J105-21333-RM</t>
  </si>
  <si>
    <t>D46T BODY W/P</t>
  </si>
  <si>
    <t>J105-39202-RM</t>
  </si>
  <si>
    <t>4N15 CASE W/P</t>
  </si>
  <si>
    <t>898011-8901-RM</t>
  </si>
  <si>
    <t>BRKT C/RAIL : 07TF</t>
  </si>
  <si>
    <t>17412-69G10-RM</t>
  </si>
  <si>
    <t>YP5 IMPELLER</t>
  </si>
  <si>
    <t>J105-26601-RM</t>
  </si>
  <si>
    <t>4JJ Case W/P</t>
  </si>
  <si>
    <t>L107-09010-RM</t>
  </si>
  <si>
    <t>4JJ1 COVER O/P</t>
  </si>
  <si>
    <t>17411-58M00-RM</t>
  </si>
  <si>
    <t>YP5 BODY W/P</t>
  </si>
  <si>
    <t>J105-24301-RM</t>
  </si>
  <si>
    <t>4G6 CASE W/P</t>
  </si>
  <si>
    <t>16161-61A00-RM</t>
  </si>
  <si>
    <t>G15 PLATE O/P</t>
  </si>
  <si>
    <t>J105-24104-RM</t>
  </si>
  <si>
    <t>IAFM+ BODY W/P</t>
  </si>
  <si>
    <t>MD050555-RM</t>
  </si>
  <si>
    <t>COVER B/S GEAR</t>
  </si>
  <si>
    <t>16111-61A31-RM</t>
  </si>
  <si>
    <t>G15 CASE O/P</t>
  </si>
  <si>
    <t>J105-15711-RM</t>
  </si>
  <si>
    <t>4M41 CASE W/P</t>
  </si>
  <si>
    <t>J105-39300-RM</t>
  </si>
  <si>
    <t>BRKT COOLING FAN</t>
  </si>
  <si>
    <t>4N15</t>
  </si>
  <si>
    <t>J105-20900-RM</t>
  </si>
  <si>
    <t>HOUSING,THERMOSTAT</t>
  </si>
  <si>
    <t>K1D002</t>
  </si>
  <si>
    <t>J105-37700-RM</t>
  </si>
  <si>
    <t>KUBOTA : 700</t>
  </si>
  <si>
    <t>513611-0771-RM</t>
  </si>
  <si>
    <t>BODY;WATER PUMP</t>
  </si>
  <si>
    <t>EJ50</t>
  </si>
  <si>
    <t>898201-5520-RM</t>
  </si>
  <si>
    <t>COVER TIMING CHAIN</t>
  </si>
  <si>
    <t>J105-37900-RM</t>
  </si>
  <si>
    <t>KUBOTA : 900</t>
  </si>
  <si>
    <t>J105-13400-RM</t>
  </si>
  <si>
    <t>4JA1 BODY W/P</t>
  </si>
  <si>
    <t>L107-13920-RM</t>
  </si>
  <si>
    <t>ES14 COVER O/P</t>
  </si>
  <si>
    <t>J105-39201-RM</t>
  </si>
  <si>
    <t>C21A011-0006-RM</t>
  </si>
  <si>
    <t>4G9-E</t>
  </si>
  <si>
    <t>MN128492-RM</t>
  </si>
  <si>
    <t>3E00 COVER  O/P</t>
  </si>
  <si>
    <t>J105-37910-RM</t>
  </si>
  <si>
    <t>KUBOTA : 910</t>
  </si>
  <si>
    <t>898132-0560-RM</t>
  </si>
  <si>
    <t>BRKT C/RAIL : RT50</t>
  </si>
  <si>
    <t>821086-6D10-RM</t>
  </si>
  <si>
    <t>WHEEL</t>
  </si>
  <si>
    <t>TD27 W/P</t>
  </si>
  <si>
    <t>1211A166-RM</t>
  </si>
  <si>
    <t>COVER (SU)</t>
  </si>
  <si>
    <t>ME201739-RM</t>
  </si>
  <si>
    <t>COVER</t>
  </si>
  <si>
    <t>4D56 OP</t>
  </si>
  <si>
    <t>L307-04510-RM</t>
  </si>
  <si>
    <t>D73A COVER O/P</t>
  </si>
  <si>
    <t>J105-21200-RM</t>
  </si>
  <si>
    <t>CASE</t>
  </si>
  <si>
    <t>KELIZA</t>
  </si>
  <si>
    <t>J105-21711-RM</t>
  </si>
  <si>
    <t>3E00 BODY W/P</t>
  </si>
  <si>
    <t>898158-7152-RM</t>
  </si>
  <si>
    <t>BRKT C/RAIL : RT56</t>
  </si>
  <si>
    <t>K1D004</t>
  </si>
  <si>
    <t>J105-19200-RM</t>
  </si>
  <si>
    <t>4JG2T BODY W/P</t>
  </si>
  <si>
    <t>J105-13201-RM</t>
  </si>
  <si>
    <t>4G1E CASE W/P</t>
  </si>
  <si>
    <t>898243-2260-RM</t>
  </si>
  <si>
    <t>COVER;TIMING CHAIN UPPER</t>
  </si>
  <si>
    <t>K1D005</t>
  </si>
  <si>
    <t>800 TON DIE CASTING</t>
  </si>
  <si>
    <t>1064A036-RM</t>
  </si>
  <si>
    <t>3E00 CASE O/P</t>
  </si>
  <si>
    <t>J107-10101-RM</t>
  </si>
  <si>
    <t>4N15 COVER  W/P</t>
  </si>
  <si>
    <t>J107-10140-RM</t>
  </si>
  <si>
    <t>4N15 COVER W/P</t>
  </si>
  <si>
    <t>K1D006</t>
  </si>
  <si>
    <t>500 TON DIE CASTING</t>
  </si>
  <si>
    <t>898228-3190-RM</t>
  </si>
  <si>
    <t>BRKT : 3190</t>
  </si>
  <si>
    <t>J105-40720-RM</t>
  </si>
  <si>
    <t>ES01 CASE W/P</t>
  </si>
  <si>
    <t>J105-40730-RM</t>
  </si>
  <si>
    <t>ES11 CASE W/P</t>
  </si>
  <si>
    <t>K1D007</t>
  </si>
  <si>
    <t>898228-3150-RM</t>
  </si>
  <si>
    <t>BRACKET CAM : 3150</t>
  </si>
  <si>
    <t>BRKT : 3150</t>
  </si>
  <si>
    <t>898228-3160-RM</t>
  </si>
  <si>
    <t>BRACKET CAM : 3160</t>
  </si>
  <si>
    <t>BRKT : 3160</t>
  </si>
  <si>
    <t>898228-3200-RM</t>
  </si>
  <si>
    <t>BRACKET CAM : 3200</t>
  </si>
  <si>
    <t>BRKT : 3200</t>
  </si>
  <si>
    <t>J105-25100-RM</t>
  </si>
  <si>
    <t>KUBOTA TBR BODY W/P</t>
  </si>
  <si>
    <t>898228-3140-RM</t>
  </si>
  <si>
    <t>BRACKET CAM : 3140</t>
  </si>
  <si>
    <t>BRKT : 3140</t>
  </si>
  <si>
    <t>898228-3170-RM</t>
  </si>
  <si>
    <t>BRKT : 3170</t>
  </si>
  <si>
    <t>K1D008</t>
  </si>
  <si>
    <t>898244-0400-RM</t>
  </si>
  <si>
    <t>BRACKET CAM : 0400</t>
  </si>
  <si>
    <t>BRKT : 0400</t>
  </si>
  <si>
    <t>K1D009</t>
  </si>
  <si>
    <t>L105-16360-RM</t>
  </si>
  <si>
    <t>ES14 CASE O/P</t>
  </si>
  <si>
    <t>K1D010</t>
  </si>
  <si>
    <t>L105-17511-RM</t>
  </si>
  <si>
    <t>J107-10911-RM</t>
  </si>
  <si>
    <t>D20220</t>
  </si>
  <si>
    <t>MMTH</t>
  </si>
  <si>
    <t>1132A050-S</t>
  </si>
  <si>
    <t>BUSHING IDLER GEAR</t>
  </si>
  <si>
    <t>MD145018-S</t>
  </si>
  <si>
    <t>PLUG  TAPER</t>
  </si>
  <si>
    <t>ME229892-RM</t>
  </si>
  <si>
    <t>GEAR  CRANKSHAFT</t>
  </si>
  <si>
    <t>4M4X</t>
  </si>
  <si>
    <t>1132A118-S-RM</t>
  </si>
  <si>
    <t>GEAR  IDLER LH</t>
  </si>
  <si>
    <t>1132A118-RM</t>
  </si>
  <si>
    <t>1125A111-S</t>
  </si>
  <si>
    <t>BUSHING  IDLER LH GEAR SEMI</t>
  </si>
  <si>
    <t>ME229892-S-RM</t>
  </si>
  <si>
    <t>1132A050</t>
  </si>
  <si>
    <t>G-CAR(4N15)</t>
  </si>
  <si>
    <t>MD145018</t>
  </si>
  <si>
    <t>1125A111</t>
  </si>
  <si>
    <t>D20410</t>
  </si>
  <si>
    <t>MTA</t>
  </si>
  <si>
    <t>49177-29100</t>
  </si>
  <si>
    <t>CAP  SEALING</t>
  </si>
  <si>
    <t>RENAULT</t>
  </si>
  <si>
    <t>L40010</t>
  </si>
  <si>
    <t>AIFM</t>
  </si>
  <si>
    <t>6C526-1911-1-RM</t>
  </si>
  <si>
    <t>FORK  DIFF. LOCK SHIFT</t>
  </si>
  <si>
    <t>D31-C</t>
  </si>
  <si>
    <t>KL999-1822-2-RM</t>
  </si>
  <si>
    <t>FORK  2 SHIFT</t>
  </si>
  <si>
    <t>PEM</t>
  </si>
  <si>
    <t>KL999-1812-2-RM</t>
  </si>
  <si>
    <t>FORK  1 SHIFT</t>
  </si>
  <si>
    <t>KL999-1842-2-RM</t>
  </si>
  <si>
    <t>FORK  4 SHIFT</t>
  </si>
  <si>
    <t>6C526-1814-2-RM</t>
  </si>
  <si>
    <t>FORK  SHIFT(2-3)</t>
  </si>
  <si>
    <t>TC682-1472-1-RM</t>
  </si>
  <si>
    <t>FORK  (CLUTCH RELEASE)</t>
  </si>
  <si>
    <t>E50</t>
  </si>
  <si>
    <t>TC682-5450-1-RM</t>
  </si>
  <si>
    <t>FORK  SHIFT(RANGE)</t>
  </si>
  <si>
    <t>6C526-1812-2-RM</t>
  </si>
  <si>
    <t>FORK  SHIFT(1-R)</t>
  </si>
  <si>
    <t>KL999-1832-2-RM</t>
  </si>
  <si>
    <t>FORK  3 SHIFT</t>
  </si>
  <si>
    <t>L40020</t>
  </si>
  <si>
    <t>AKBT</t>
  </si>
  <si>
    <t>G112-27880-RM</t>
  </si>
  <si>
    <t>LINING</t>
  </si>
  <si>
    <t>254,3E00</t>
  </si>
  <si>
    <t>L40030</t>
  </si>
  <si>
    <t>ATA</t>
  </si>
  <si>
    <t>J127-04700-RM</t>
  </si>
  <si>
    <t>PIPE; BYPASS</t>
  </si>
  <si>
    <t>RT50</t>
  </si>
  <si>
    <t>L40050</t>
  </si>
  <si>
    <t>BEW</t>
  </si>
  <si>
    <t>G128-23850</t>
  </si>
  <si>
    <t>BACK PLATE ASSY RH</t>
  </si>
  <si>
    <t>3EOO</t>
  </si>
  <si>
    <t>G128-23840</t>
  </si>
  <si>
    <t>P-CAR</t>
  </si>
  <si>
    <t>G106-04440</t>
  </si>
  <si>
    <t>WEB</t>
  </si>
  <si>
    <t>G105-08740</t>
  </si>
  <si>
    <t>RIM</t>
  </si>
  <si>
    <t>G128-28230</t>
  </si>
  <si>
    <t>BACK PLATE ASSY LH</t>
  </si>
  <si>
    <t>G128-23940</t>
  </si>
  <si>
    <t>L40070</t>
  </si>
  <si>
    <t>BTA</t>
  </si>
  <si>
    <t>L144-00370</t>
  </si>
  <si>
    <t>STRAINER ASSY</t>
  </si>
  <si>
    <t>4JHJ</t>
  </si>
  <si>
    <t>L144-00360</t>
  </si>
  <si>
    <t>4JA1</t>
  </si>
  <si>
    <t>L144-00620</t>
  </si>
  <si>
    <t>STRAINER</t>
  </si>
  <si>
    <t>4JH1</t>
  </si>
  <si>
    <t>L40080</t>
  </si>
  <si>
    <t>CAPCO</t>
  </si>
  <si>
    <t>J127-04800</t>
  </si>
  <si>
    <t>PIPE</t>
  </si>
  <si>
    <t>MD181580FC</t>
  </si>
  <si>
    <t>INSERT VALVE</t>
  </si>
  <si>
    <t>G236-01210</t>
  </si>
  <si>
    <t>BLEEDER</t>
  </si>
  <si>
    <t>L200</t>
  </si>
  <si>
    <t>J145-00600</t>
  </si>
  <si>
    <t>B236-00100</t>
  </si>
  <si>
    <t>B-CAR</t>
  </si>
  <si>
    <t>J127-04900</t>
  </si>
  <si>
    <t>A56</t>
  </si>
  <si>
    <t>L40090</t>
  </si>
  <si>
    <t>CAR</t>
  </si>
  <si>
    <t>J199-26710</t>
  </si>
  <si>
    <t>O-RING</t>
  </si>
  <si>
    <t>L40100</t>
  </si>
  <si>
    <t>CPR</t>
  </si>
  <si>
    <t>B208-00110</t>
  </si>
  <si>
    <t>CUP;piston(11/16)</t>
  </si>
  <si>
    <t>J03(Deimo)</t>
  </si>
  <si>
    <t>L40120</t>
  </si>
  <si>
    <t>CSC</t>
  </si>
  <si>
    <t>49177-29102</t>
  </si>
  <si>
    <t>GM-LE2,LFV</t>
  </si>
  <si>
    <t>J199-19920</t>
  </si>
  <si>
    <t>GASKET; WATER PUMP</t>
  </si>
  <si>
    <t>IAFM+</t>
  </si>
  <si>
    <t>L40130</t>
  </si>
  <si>
    <t>DIK</t>
  </si>
  <si>
    <t>ADC12</t>
  </si>
  <si>
    <t>L40140</t>
  </si>
  <si>
    <t>DOWA</t>
  </si>
  <si>
    <t>1125A218-P20</t>
  </si>
  <si>
    <t>GEAR  BALANCER SHAFT LH</t>
  </si>
  <si>
    <t>4N15(SU)</t>
  </si>
  <si>
    <t>1132A118</t>
  </si>
  <si>
    <t>L127-00200-P20</t>
  </si>
  <si>
    <t>GEAR CRANKSHAFT (HEAT)</t>
  </si>
  <si>
    <t>ME229892-S-P20</t>
  </si>
  <si>
    <t>ME229892-P20</t>
  </si>
  <si>
    <t>1132A118-S</t>
  </si>
  <si>
    <t>L40150</t>
  </si>
  <si>
    <t>DYNA</t>
  </si>
  <si>
    <t>898260-4920</t>
  </si>
  <si>
    <t>BUSHING; IDLER GEAR  B</t>
  </si>
  <si>
    <t>ES01 GEAR</t>
  </si>
  <si>
    <t>897945-7180</t>
  </si>
  <si>
    <t>BUSH; IDLE D</t>
  </si>
  <si>
    <t>EJ40</t>
  </si>
  <si>
    <t>L40160</t>
  </si>
  <si>
    <t>E&amp;H</t>
  </si>
  <si>
    <t>L112-05120</t>
  </si>
  <si>
    <t>SHAFT driven</t>
  </si>
  <si>
    <t>ES01 O/P</t>
  </si>
  <si>
    <t>1211A031</t>
  </si>
  <si>
    <t>PIN  DOWEL</t>
  </si>
  <si>
    <t>L171-00700</t>
  </si>
  <si>
    <t>PLUG</t>
  </si>
  <si>
    <t>4JA1RV</t>
  </si>
  <si>
    <t>L110-06100</t>
  </si>
  <si>
    <t>SHAFT</t>
  </si>
  <si>
    <t>4JJ1</t>
  </si>
  <si>
    <t>L110-08700</t>
  </si>
  <si>
    <t>SHAFT drive</t>
  </si>
  <si>
    <t>L112-03500</t>
  </si>
  <si>
    <t>L40170</t>
  </si>
  <si>
    <t>EETL</t>
  </si>
  <si>
    <t>J117-03310</t>
  </si>
  <si>
    <t>SEAL UNIT</t>
  </si>
  <si>
    <t>4D56</t>
  </si>
  <si>
    <t>J117-03000</t>
  </si>
  <si>
    <t>4JH1 (W/P)</t>
  </si>
  <si>
    <t>921026-9U90</t>
  </si>
  <si>
    <t>SEAL</t>
  </si>
  <si>
    <t>HS(E) WP</t>
  </si>
  <si>
    <t>J117-00960</t>
  </si>
  <si>
    <t>4M4,4JJ1 (W/P)</t>
  </si>
  <si>
    <t>C21A026-0002</t>
  </si>
  <si>
    <t>4D56 (W/P)</t>
  </si>
  <si>
    <t>J117-02110</t>
  </si>
  <si>
    <t>4J1E(W/P)-JT</t>
  </si>
  <si>
    <t>897080-6910</t>
  </si>
  <si>
    <t>J117-00962</t>
  </si>
  <si>
    <t>J117-01720</t>
  </si>
  <si>
    <t>D73A</t>
  </si>
  <si>
    <t>J117-04300</t>
  </si>
  <si>
    <t>YP5</t>
  </si>
  <si>
    <t>L40180</t>
  </si>
  <si>
    <t>FCT</t>
  </si>
  <si>
    <t>04221-06129</t>
  </si>
  <si>
    <t>PIN DOWEL</t>
  </si>
  <si>
    <t>G15OP</t>
  </si>
  <si>
    <t>1050A740</t>
  </si>
  <si>
    <t>PIN DOWEL(2 X 4.5)</t>
  </si>
  <si>
    <t>L40190</t>
  </si>
  <si>
    <t>ICT</t>
  </si>
  <si>
    <t>L40200</t>
  </si>
  <si>
    <t>IRC</t>
  </si>
  <si>
    <t>897912-6000</t>
  </si>
  <si>
    <t>G290-02100</t>
  </si>
  <si>
    <t>CAP; BLEEDER</t>
  </si>
  <si>
    <t>G146-02900</t>
  </si>
  <si>
    <t>PLUG: adjuster-access hole</t>
  </si>
  <si>
    <t>MD199900</t>
  </si>
  <si>
    <t>GASKET</t>
  </si>
  <si>
    <t>G231-06530</t>
  </si>
  <si>
    <t>BOOT</t>
  </si>
  <si>
    <t>254, 270,3E00</t>
  </si>
  <si>
    <t>J199-17800</t>
  </si>
  <si>
    <t>D690</t>
  </si>
  <si>
    <t>B231-00111</t>
  </si>
  <si>
    <t>DEMIO</t>
  </si>
  <si>
    <t>L40210</t>
  </si>
  <si>
    <t>ITF</t>
  </si>
  <si>
    <t>898319-8890-RM</t>
  </si>
  <si>
    <t>GEAR; IDLE B</t>
  </si>
  <si>
    <t>GEAR ;IDLE B,-FO</t>
  </si>
  <si>
    <t>898319-9090-RM</t>
  </si>
  <si>
    <t>GEAR; SUPPLY PUMP FOR HP3</t>
  </si>
  <si>
    <t>ES01</t>
  </si>
  <si>
    <t>898247-6641-RM</t>
  </si>
  <si>
    <t>GEAR; CAMSHAFT  INLET MAIN</t>
  </si>
  <si>
    <t>898319-9091-RM</t>
  </si>
  <si>
    <t>GEAR SUPPLY FOR HP3</t>
  </si>
  <si>
    <t>1130A228-RM</t>
  </si>
  <si>
    <t>898319-8575-RM</t>
  </si>
  <si>
    <t>GEAR; CRANK</t>
  </si>
  <si>
    <t>L127-00200-RM</t>
  </si>
  <si>
    <t>GEAR CRANKSHAFT</t>
  </si>
  <si>
    <t>L124-06201-RM</t>
  </si>
  <si>
    <t>GEAR</t>
  </si>
  <si>
    <t>898231-9080-RM</t>
  </si>
  <si>
    <t>GEAR; IDLE D</t>
  </si>
  <si>
    <t>1130A230-RM</t>
  </si>
  <si>
    <t>GEAR  SUPPLY PUMP</t>
  </si>
  <si>
    <t>898351-8320-RM</t>
  </si>
  <si>
    <t>GEAR HEAD</t>
  </si>
  <si>
    <t>ES14</t>
  </si>
  <si>
    <t>898351-8020-RM</t>
  </si>
  <si>
    <t>GEAR CRANK</t>
  </si>
  <si>
    <t>ES02,ES14 GEAR</t>
  </si>
  <si>
    <t>1132A102-RM</t>
  </si>
  <si>
    <t>GEAR  IDLER</t>
  </si>
  <si>
    <t>L40220</t>
  </si>
  <si>
    <t>HCTD</t>
  </si>
  <si>
    <t>G112-79700-RM</t>
  </si>
  <si>
    <t>L40230</t>
  </si>
  <si>
    <t>JTEKT</t>
  </si>
  <si>
    <t>J113-05600</t>
  </si>
  <si>
    <t>BEARING UNIT</t>
  </si>
  <si>
    <t>KANCIL</t>
  </si>
  <si>
    <t>J113-01520</t>
  </si>
  <si>
    <t>BEARING</t>
  </si>
  <si>
    <t>4M4WP</t>
  </si>
  <si>
    <t>MF540016</t>
  </si>
  <si>
    <t>BALL STEEL</t>
  </si>
  <si>
    <t>4MD (O/P)</t>
  </si>
  <si>
    <t>J113-03000</t>
  </si>
  <si>
    <t>J113-05650</t>
  </si>
  <si>
    <t>4G1E (W/P)</t>
  </si>
  <si>
    <t>C21A035-0001</t>
  </si>
  <si>
    <t>4D9E (W/P)</t>
  </si>
  <si>
    <t>J113-05610</t>
  </si>
  <si>
    <t>ED-VE,EF-VE</t>
  </si>
  <si>
    <t>MF540006</t>
  </si>
  <si>
    <t>J113-01580</t>
  </si>
  <si>
    <t>P700 (W/P)</t>
  </si>
  <si>
    <t>J113-06600</t>
  </si>
  <si>
    <t>L40240</t>
  </si>
  <si>
    <t>KBY</t>
  </si>
  <si>
    <t>09246-08002</t>
  </si>
  <si>
    <t>L40250</t>
  </si>
  <si>
    <t>KDT</t>
  </si>
  <si>
    <t>6C526-1814-2-P20</t>
  </si>
  <si>
    <t>6C526-1911-1-P20</t>
  </si>
  <si>
    <t>KL999-1812-3-P20</t>
  </si>
  <si>
    <t>TC422-2411-2-P20</t>
  </si>
  <si>
    <t>TE022-2358-2-P20</t>
  </si>
  <si>
    <t>FORK SHIFT SHUTTLE (HEAT)</t>
  </si>
  <si>
    <t>E52B</t>
  </si>
  <si>
    <t>KL999-1822-3-P20</t>
  </si>
  <si>
    <t>6C526-1812-2-P20</t>
  </si>
  <si>
    <t>KL999-1832-4-P20</t>
  </si>
  <si>
    <t>TC620-2461-1-P20</t>
  </si>
  <si>
    <t>FORK  SHIFT(PTO)</t>
  </si>
  <si>
    <t>TC682-5450-1-P20</t>
  </si>
  <si>
    <t>KL999-1832-3-P20</t>
  </si>
  <si>
    <t>KL999-1842-3-P20</t>
  </si>
  <si>
    <t>L40260</t>
  </si>
  <si>
    <t>KKFT</t>
  </si>
  <si>
    <t>WL51-10-305</t>
  </si>
  <si>
    <t>PLUG-OIL CONTROL</t>
  </si>
  <si>
    <t>J97M/U</t>
  </si>
  <si>
    <t>J123-05600</t>
  </si>
  <si>
    <t>FLANGE</t>
  </si>
  <si>
    <t>ED-VE</t>
  </si>
  <si>
    <t>WL51-10-33Y</t>
  </si>
  <si>
    <t>PLUG ASSY OIL CONTROL</t>
  </si>
  <si>
    <t>L322-03220</t>
  </si>
  <si>
    <t>ROTOR; OUTER</t>
  </si>
  <si>
    <t>D138</t>
  </si>
  <si>
    <t>MD149743</t>
  </si>
  <si>
    <t>SLEEVE</t>
  </si>
  <si>
    <t>L120-01700-SK</t>
  </si>
  <si>
    <t>4JA1OP</t>
  </si>
  <si>
    <t>L320-04320</t>
  </si>
  <si>
    <t>ROTOR; INNER</t>
  </si>
  <si>
    <t>D13B</t>
  </si>
  <si>
    <t>L120-01700</t>
  </si>
  <si>
    <t>L40280</t>
  </si>
  <si>
    <t>KTH</t>
  </si>
  <si>
    <t>J115-10200</t>
  </si>
  <si>
    <t>ROTOR  WATER PUMP</t>
  </si>
  <si>
    <t>4G1</t>
  </si>
  <si>
    <t>894235-5671</t>
  </si>
  <si>
    <t>PLUNGER  RELIEF</t>
  </si>
  <si>
    <t>J123-08210</t>
  </si>
  <si>
    <t>IFAM+</t>
  </si>
  <si>
    <t>J115-12900</t>
  </si>
  <si>
    <t>IMPELLER</t>
  </si>
  <si>
    <t>P772</t>
  </si>
  <si>
    <t>G150-04800</t>
  </si>
  <si>
    <t>PIN;anchor</t>
  </si>
  <si>
    <t>VD00 HR</t>
  </si>
  <si>
    <t>J115-07720</t>
  </si>
  <si>
    <t>ROTOR WATER PUMP</t>
  </si>
  <si>
    <t>D73A(K3)</t>
  </si>
  <si>
    <t>J115-05830</t>
  </si>
  <si>
    <t>4G6-(3E00)</t>
  </si>
  <si>
    <t>J115-21800Z31</t>
  </si>
  <si>
    <t>G150-04700</t>
  </si>
  <si>
    <t>L135-01700-RM</t>
  </si>
  <si>
    <t>BODY: relief valve</t>
  </si>
  <si>
    <t>J115-21820</t>
  </si>
  <si>
    <t>J115-05800</t>
  </si>
  <si>
    <t>4G1E</t>
  </si>
  <si>
    <t>J123-00840</t>
  </si>
  <si>
    <t>4M4</t>
  </si>
  <si>
    <t>J115-12030</t>
  </si>
  <si>
    <t>4M41</t>
  </si>
  <si>
    <t>J115-12000</t>
  </si>
  <si>
    <t>MD001402</t>
  </si>
  <si>
    <t>J123-13800</t>
  </si>
  <si>
    <t>CENTER</t>
  </si>
  <si>
    <t>L120-07621-RM</t>
  </si>
  <si>
    <t>L136-01802</t>
  </si>
  <si>
    <t>VALVE; RELIEF</t>
  </si>
  <si>
    <t>IAFA+</t>
  </si>
  <si>
    <t>J121-07100-RM</t>
  </si>
  <si>
    <t>SEAT  WATER PUMP</t>
  </si>
  <si>
    <t>J123-09210</t>
  </si>
  <si>
    <t>J123-09100</t>
  </si>
  <si>
    <t>4G6</t>
  </si>
  <si>
    <t>J123-12400</t>
  </si>
  <si>
    <t>EIF;07TF</t>
  </si>
  <si>
    <t>J123-05000</t>
  </si>
  <si>
    <t>17414-58M00</t>
  </si>
  <si>
    <t>SEAT WATER PUMP</t>
  </si>
  <si>
    <t>J115-10900</t>
  </si>
  <si>
    <t>P700</t>
  </si>
  <si>
    <t>894411-9040</t>
  </si>
  <si>
    <t>J115-12021</t>
  </si>
  <si>
    <t>J123-09200</t>
  </si>
  <si>
    <t>J158-00600</t>
  </si>
  <si>
    <t>D369</t>
  </si>
  <si>
    <t>L40290</t>
  </si>
  <si>
    <t>KYOWA</t>
  </si>
  <si>
    <t>G123-01800</t>
  </si>
  <si>
    <t>PIN ROLLER</t>
  </si>
  <si>
    <t>897229-3280</t>
  </si>
  <si>
    <t>PIN; KNOCK</t>
  </si>
  <si>
    <t>L168-01000</t>
  </si>
  <si>
    <t>PIN</t>
  </si>
  <si>
    <t>L136-04100</t>
  </si>
  <si>
    <t>VALVE;RELIFE</t>
  </si>
  <si>
    <t>16151-61J00</t>
  </si>
  <si>
    <t>VALVE</t>
  </si>
  <si>
    <t>G123-01700</t>
  </si>
  <si>
    <t>ROLLER PIN</t>
  </si>
  <si>
    <t>MS471104</t>
  </si>
  <si>
    <t>BUSHING  KNOCK</t>
  </si>
  <si>
    <t>B207-00100</t>
  </si>
  <si>
    <t>PISTON(3/4)</t>
  </si>
  <si>
    <t>B207-00120</t>
  </si>
  <si>
    <t>PISTON(11/16)</t>
  </si>
  <si>
    <t>J03</t>
  </si>
  <si>
    <t>G207-16031</t>
  </si>
  <si>
    <t>PISTON</t>
  </si>
  <si>
    <t>L40300</t>
  </si>
  <si>
    <t>MAP</t>
  </si>
  <si>
    <t>L142-01500</t>
  </si>
  <si>
    <t>CONNECTER; FILTER</t>
  </si>
  <si>
    <t>J199-97942</t>
  </si>
  <si>
    <t>PLUG; RELIEF</t>
  </si>
  <si>
    <t>J199-17410</t>
  </si>
  <si>
    <t>PLUG TAPER</t>
  </si>
  <si>
    <t>EJ-VE(D16D)</t>
  </si>
  <si>
    <t>MD001404</t>
  </si>
  <si>
    <t>J199-17410-P10</t>
  </si>
  <si>
    <t>L40320</t>
  </si>
  <si>
    <t>MTC</t>
  </si>
  <si>
    <t>MR994804</t>
  </si>
  <si>
    <t>JT 4G1E</t>
  </si>
  <si>
    <t>MR197299</t>
  </si>
  <si>
    <t>ONE WAY CAPSULE</t>
  </si>
  <si>
    <t>L40330</t>
  </si>
  <si>
    <t>MSCPR2</t>
  </si>
  <si>
    <t>913639-0010</t>
  </si>
  <si>
    <t>THROWER</t>
  </si>
  <si>
    <t>L40340</t>
  </si>
  <si>
    <t>NAPT</t>
  </si>
  <si>
    <t>897948-3690</t>
  </si>
  <si>
    <t>CHAMBER ASSY</t>
  </si>
  <si>
    <t>700P</t>
  </si>
  <si>
    <t>897948-3710</t>
  </si>
  <si>
    <t>897948-3660</t>
  </si>
  <si>
    <t>SAW 700P</t>
  </si>
  <si>
    <t>897948-3700</t>
  </si>
  <si>
    <t>897948-3650</t>
  </si>
  <si>
    <t>897948-3720</t>
  </si>
  <si>
    <t>L40350</t>
  </si>
  <si>
    <t>NASCO</t>
  </si>
  <si>
    <t>G121-01900</t>
  </si>
  <si>
    <t>CAM ROLLER</t>
  </si>
  <si>
    <t>G121-02000</t>
  </si>
  <si>
    <t>898247-6651-RM</t>
  </si>
  <si>
    <t>GEAR; CAMSHAFT  INLET SUB</t>
  </si>
  <si>
    <t>1125A218-RM</t>
  </si>
  <si>
    <t>G207-16030-RM</t>
  </si>
  <si>
    <t>MD050561-RM</t>
  </si>
  <si>
    <t>GEAR  B/S DRIVEN</t>
  </si>
  <si>
    <t>L120-12740-RM</t>
  </si>
  <si>
    <t>GEAR drive</t>
  </si>
  <si>
    <t>L40360</t>
  </si>
  <si>
    <t>NHK</t>
  </si>
  <si>
    <t>ME200455</t>
  </si>
  <si>
    <t>SPRING RELIFE</t>
  </si>
  <si>
    <t>G213-02120</t>
  </si>
  <si>
    <t>SPRING: W/CYL</t>
  </si>
  <si>
    <t>L-200</t>
  </si>
  <si>
    <t>G167-12130</t>
  </si>
  <si>
    <t>SPRING: shoe hold</t>
  </si>
  <si>
    <t>G167-15400</t>
  </si>
  <si>
    <t>SPRING; anc</t>
  </si>
  <si>
    <t>L137-02100</t>
  </si>
  <si>
    <t>SPRING</t>
  </si>
  <si>
    <t>L137-01100</t>
  </si>
  <si>
    <t>G167-16100Z30</t>
  </si>
  <si>
    <t>SPRING: anchor</t>
  </si>
  <si>
    <t>L40370</t>
  </si>
  <si>
    <t>NPG</t>
  </si>
  <si>
    <t>L199-05900</t>
  </si>
  <si>
    <t>P-700</t>
  </si>
  <si>
    <t>MD000312</t>
  </si>
  <si>
    <t>4D50P</t>
  </si>
  <si>
    <t>L40380</t>
  </si>
  <si>
    <t>NOK</t>
  </si>
  <si>
    <t>MD377999</t>
  </si>
  <si>
    <t>OIL SEAL</t>
  </si>
  <si>
    <t>JT-4G1E,4G1E</t>
  </si>
  <si>
    <t>MD343563</t>
  </si>
  <si>
    <t>09283-32042</t>
  </si>
  <si>
    <t>G150/P</t>
  </si>
  <si>
    <t>1052B382</t>
  </si>
  <si>
    <t>OIL SEAL  FRONT</t>
  </si>
  <si>
    <t>J199-37900</t>
  </si>
  <si>
    <t>MD343566</t>
  </si>
  <si>
    <t>WL51-10-C58</t>
  </si>
  <si>
    <t>L199-05700</t>
  </si>
  <si>
    <t>PW810819</t>
  </si>
  <si>
    <t>L40390</t>
  </si>
  <si>
    <t>NSK</t>
  </si>
  <si>
    <t>06111-08004</t>
  </si>
  <si>
    <t>BALL</t>
  </si>
  <si>
    <t>J113-09120</t>
  </si>
  <si>
    <t>4D5 3EOO (W/P)</t>
  </si>
  <si>
    <t>J113-13600</t>
  </si>
  <si>
    <t>ES11</t>
  </si>
  <si>
    <t>J113-07710</t>
  </si>
  <si>
    <t>4G6WP(3E00)</t>
  </si>
  <si>
    <t>894421-9420</t>
  </si>
  <si>
    <t>J113-12500</t>
  </si>
  <si>
    <t>J113-13100</t>
  </si>
  <si>
    <t>J113-05510</t>
  </si>
  <si>
    <t>C21A035-0104</t>
  </si>
  <si>
    <t>L40400</t>
  </si>
  <si>
    <t>OGUSU</t>
  </si>
  <si>
    <t>G175-13600</t>
  </si>
  <si>
    <t>CAM SHAFT, Rr</t>
  </si>
  <si>
    <t>G175-01530</t>
  </si>
  <si>
    <t>CAM SHAFT  Ft</t>
  </si>
  <si>
    <t>VD00</t>
  </si>
  <si>
    <t>G175-13510</t>
  </si>
  <si>
    <t>G175-13500</t>
  </si>
  <si>
    <t>G175-13300</t>
  </si>
  <si>
    <t>CAM SHAFT, Ft</t>
  </si>
  <si>
    <t>G175-13210</t>
  </si>
  <si>
    <t>CAM SHAFT  Rr</t>
  </si>
  <si>
    <t>G175-13610</t>
  </si>
  <si>
    <t>NCAM SHAFT, Rr</t>
  </si>
  <si>
    <t>G175-13200</t>
  </si>
  <si>
    <t>G175-01740</t>
  </si>
  <si>
    <t>G175-13110</t>
  </si>
  <si>
    <t>G175-01630</t>
  </si>
  <si>
    <t>1132A049</t>
  </si>
  <si>
    <t>SPROCKET IDLER</t>
  </si>
  <si>
    <t>G175-13100</t>
  </si>
  <si>
    <t>G175-13310</t>
  </si>
  <si>
    <t>CAM SHAFT,Ft</t>
  </si>
  <si>
    <t>G175-13400</t>
  </si>
  <si>
    <t>G175-01840</t>
  </si>
  <si>
    <t>G175-13410</t>
  </si>
  <si>
    <t>L40410</t>
  </si>
  <si>
    <t>OTC</t>
  </si>
  <si>
    <t>MD199041-RM</t>
  </si>
  <si>
    <t>GEAR  B/S DRIVE</t>
  </si>
  <si>
    <t>L40420</t>
  </si>
  <si>
    <t>OTT</t>
  </si>
  <si>
    <t>G179-01800</t>
  </si>
  <si>
    <t>SPACER; cam shaft</t>
  </si>
  <si>
    <t>90816-05100</t>
  </si>
  <si>
    <t>EJ41</t>
  </si>
  <si>
    <t>G141-01630</t>
  </si>
  <si>
    <t>PIN: shoe hold</t>
  </si>
  <si>
    <t>897329-1291</t>
  </si>
  <si>
    <t>DOWEL</t>
  </si>
  <si>
    <t>G179-01820</t>
  </si>
  <si>
    <t>SPACER;cam shaft</t>
  </si>
  <si>
    <t>G179-01830</t>
  </si>
  <si>
    <t>L310-03510</t>
  </si>
  <si>
    <t>SHAFT OIL PUMP</t>
  </si>
  <si>
    <t>L40430</t>
  </si>
  <si>
    <t>PQM</t>
  </si>
  <si>
    <t>J123-05100</t>
  </si>
  <si>
    <t>L40440</t>
  </si>
  <si>
    <t>PRO</t>
  </si>
  <si>
    <t>TC832-2188-1-P30</t>
  </si>
  <si>
    <t>FORK  SHIFT (SHUTTLE)</t>
  </si>
  <si>
    <t>E60C</t>
  </si>
  <si>
    <t>TC432-2188-1-P30</t>
  </si>
  <si>
    <t>FORK  SHIFT SHUTTLE</t>
  </si>
  <si>
    <t>E40-C</t>
  </si>
  <si>
    <t>TC620-2188-1-P30</t>
  </si>
  <si>
    <t>TC432-2367-1-P30</t>
  </si>
  <si>
    <t>FORK  SHIFT PTO</t>
  </si>
  <si>
    <t>TC432-2352-1-P30</t>
  </si>
  <si>
    <t>FORK  SHIFT 3-4</t>
  </si>
  <si>
    <t>TC422-2188-2-P30</t>
  </si>
  <si>
    <t>E40-B</t>
  </si>
  <si>
    <t>TC630-2188-1-P30</t>
  </si>
  <si>
    <t>TC432-2351-1-P30</t>
  </si>
  <si>
    <t>FORK  SHIFT 1-2</t>
  </si>
  <si>
    <t>L40450</t>
  </si>
  <si>
    <t>PRW</t>
  </si>
  <si>
    <t>MC837533</t>
  </si>
  <si>
    <t>GROMMET; check hole</t>
  </si>
  <si>
    <t>HINO</t>
  </si>
  <si>
    <t>G290-01600T</t>
  </si>
  <si>
    <t>B-CAR/Demio</t>
  </si>
  <si>
    <t>L40460</t>
  </si>
  <si>
    <t>PTC</t>
  </si>
  <si>
    <t>G166-03000</t>
  </si>
  <si>
    <t>SPRING ASSY</t>
  </si>
  <si>
    <t>HINO/FUSO</t>
  </si>
  <si>
    <t>G166-08110</t>
  </si>
  <si>
    <t>MCC TC</t>
  </si>
  <si>
    <t>1235A049</t>
  </si>
  <si>
    <t>SPRING  RELIEF</t>
  </si>
  <si>
    <t>L137-07920</t>
  </si>
  <si>
    <t>L137-01410</t>
  </si>
  <si>
    <t>16152-60A00</t>
  </si>
  <si>
    <t>G15</t>
  </si>
  <si>
    <t>L137-05700</t>
  </si>
  <si>
    <t>B213-00100</t>
  </si>
  <si>
    <t>SPRING; w/cyl</t>
  </si>
  <si>
    <t>L337-00610</t>
  </si>
  <si>
    <t>MD015988</t>
  </si>
  <si>
    <t>L137-06600</t>
  </si>
  <si>
    <t>4JJ1X</t>
  </si>
  <si>
    <t>L40480</t>
  </si>
  <si>
    <t>SAMCO</t>
  </si>
  <si>
    <t>J123-12600</t>
  </si>
  <si>
    <t>I-783</t>
  </si>
  <si>
    <t>J123-12100</t>
  </si>
  <si>
    <t>YM51</t>
  </si>
  <si>
    <t>821054-3780</t>
  </si>
  <si>
    <t>HUB</t>
  </si>
  <si>
    <t>J123-13700</t>
  </si>
  <si>
    <t>L40490</t>
  </si>
  <si>
    <t>SBM</t>
  </si>
  <si>
    <t>J123-05000-RM</t>
  </si>
  <si>
    <t>TC412-2411-1-RM</t>
  </si>
  <si>
    <t>TC402-1472-1-RM</t>
  </si>
  <si>
    <t>FORK  CLUTCH RELEASE</t>
  </si>
  <si>
    <t>TC422-2461-2-RM</t>
  </si>
  <si>
    <t>TC822-2352-1-RM</t>
  </si>
  <si>
    <t>FORK  SHIFT (3-4)</t>
  </si>
  <si>
    <t>E60AB</t>
  </si>
  <si>
    <t>TC422-2371-2-RM</t>
  </si>
  <si>
    <t>COVER  CLUTCH HOUSING</t>
  </si>
  <si>
    <t>TE022-2358-2-RM</t>
  </si>
  <si>
    <t>FORK SHIFT SHUTTLE</t>
  </si>
  <si>
    <t>ES2B</t>
  </si>
  <si>
    <t>TC422-2115-2-RM</t>
  </si>
  <si>
    <t>CASE MID</t>
  </si>
  <si>
    <t>TC422-2351-1-RM</t>
  </si>
  <si>
    <t>FORK  SHAFT 1-2</t>
  </si>
  <si>
    <t>TC822-2461-1-RM</t>
  </si>
  <si>
    <t>TC432-2352-1-RM</t>
  </si>
  <si>
    <t>TC432-2120-1-RM</t>
  </si>
  <si>
    <t>TC822-1472-2-RM</t>
  </si>
  <si>
    <t>TC832-2188-1-RM</t>
  </si>
  <si>
    <t>TC432-2367-1-RM</t>
  </si>
  <si>
    <t>TC422-2411-1-RM</t>
  </si>
  <si>
    <t>TC402-2663-1-RM</t>
  </si>
  <si>
    <t>FORK  SHIFT DIFF LOCK</t>
  </si>
  <si>
    <t>TC432-2351-1-RM</t>
  </si>
  <si>
    <t>TC422-2188-2-RM</t>
  </si>
  <si>
    <t>TC422-2352-1-RM</t>
  </si>
  <si>
    <t>TC403-2440-1-RM</t>
  </si>
  <si>
    <t>FORK  SHIFT L-H</t>
  </si>
  <si>
    <t>L40500</t>
  </si>
  <si>
    <t>SES</t>
  </si>
  <si>
    <t>MD372348</t>
  </si>
  <si>
    <t>PACKING SEMI-CIRCULAR</t>
  </si>
  <si>
    <t>4D56-CD1</t>
  </si>
  <si>
    <t>1050B375</t>
  </si>
  <si>
    <t>4N15 (SU)</t>
  </si>
  <si>
    <t>L40510</t>
  </si>
  <si>
    <t>SEST</t>
  </si>
  <si>
    <t>J123-13100</t>
  </si>
  <si>
    <t>3 SERIES</t>
  </si>
  <si>
    <t>15163-D13B</t>
  </si>
  <si>
    <t>SPROCKET</t>
  </si>
  <si>
    <t>L40520</t>
  </si>
  <si>
    <t>SGT</t>
  </si>
  <si>
    <t>J113-10500</t>
  </si>
  <si>
    <t>17430-58M00</t>
  </si>
  <si>
    <t>BEARING  WATER PUMP</t>
  </si>
  <si>
    <t>YP5,YL8</t>
  </si>
  <si>
    <t>J113-00180</t>
  </si>
  <si>
    <t>J113-06120</t>
  </si>
  <si>
    <t>4JH1WP</t>
  </si>
  <si>
    <t>L40540</t>
  </si>
  <si>
    <t>SMC</t>
  </si>
  <si>
    <t>G199-18540</t>
  </si>
  <si>
    <t>LEVER: parking LH</t>
  </si>
  <si>
    <t>G145-34210</t>
  </si>
  <si>
    <t>COVER B; dust Ft</t>
  </si>
  <si>
    <t>G145-37240</t>
  </si>
  <si>
    <t>COVER (A);DUST</t>
  </si>
  <si>
    <t>700P/SAW</t>
  </si>
  <si>
    <t>G138-00630</t>
  </si>
  <si>
    <t>LEVER: a/adjuster RH</t>
  </si>
  <si>
    <t>821047-4080</t>
  </si>
  <si>
    <t>PLUG WELCH</t>
  </si>
  <si>
    <t>821013-4741</t>
  </si>
  <si>
    <t>J199-17910</t>
  </si>
  <si>
    <t>PLATE</t>
  </si>
  <si>
    <t>G145-34110</t>
  </si>
  <si>
    <t>COVER A; dust Ft</t>
  </si>
  <si>
    <t>L190-00301</t>
  </si>
  <si>
    <t>GEAR COVER</t>
  </si>
  <si>
    <t>J115-16410</t>
  </si>
  <si>
    <t>J199-20010</t>
  </si>
  <si>
    <t>CAP</t>
  </si>
  <si>
    <t>L307-04210</t>
  </si>
  <si>
    <t>BACK PLATE</t>
  </si>
  <si>
    <t>G199-19700</t>
  </si>
  <si>
    <t>PLATE;pivot</t>
  </si>
  <si>
    <t>700P-SAW</t>
  </si>
  <si>
    <t>96411-43000</t>
  </si>
  <si>
    <t>PLUG TIGHT</t>
  </si>
  <si>
    <t>821013-3780</t>
  </si>
  <si>
    <t>J115-12321</t>
  </si>
  <si>
    <t>G199-14440</t>
  </si>
  <si>
    <t>NUT: ADJ LH</t>
  </si>
  <si>
    <t>N0933-1351A</t>
  </si>
  <si>
    <t>J115-20400</t>
  </si>
  <si>
    <t>4D56 , 3 SERIES</t>
  </si>
  <si>
    <t>J199-20030</t>
  </si>
  <si>
    <t>I4-VALVO</t>
  </si>
  <si>
    <t>G153-00120</t>
  </si>
  <si>
    <t>LOCK WASHER; anc pin</t>
  </si>
  <si>
    <t>HINO/SAW</t>
  </si>
  <si>
    <t>MC808107</t>
  </si>
  <si>
    <t>LOCK PLATE</t>
  </si>
  <si>
    <t>L138-03400</t>
  </si>
  <si>
    <t>SPRING;SEAT</t>
  </si>
  <si>
    <t>G139-02120</t>
  </si>
  <si>
    <t>WASHER: shoe hold</t>
  </si>
  <si>
    <t>J199-26100</t>
  </si>
  <si>
    <t>EJ-VE</t>
  </si>
  <si>
    <t>C21A022-0036</t>
  </si>
  <si>
    <t>VANE</t>
  </si>
  <si>
    <t>G145-37310</t>
  </si>
  <si>
    <t>COVER (B);DUST</t>
  </si>
  <si>
    <t>G399-04000</t>
  </si>
  <si>
    <t>BKT;adj</t>
  </si>
  <si>
    <t>VDOO</t>
  </si>
  <si>
    <t>G199-18440</t>
  </si>
  <si>
    <t>LEVER: parking RH</t>
  </si>
  <si>
    <t>09169-05021</t>
  </si>
  <si>
    <t>Washer</t>
  </si>
  <si>
    <t>G152-00510</t>
  </si>
  <si>
    <t>LOCK PLATE;anchor</t>
  </si>
  <si>
    <t>700P/AOH</t>
  </si>
  <si>
    <t>G199-14540</t>
  </si>
  <si>
    <t>SLEEVE: ADJ BOLT</t>
  </si>
  <si>
    <t>G138-00730</t>
  </si>
  <si>
    <t>LEVER: a/adjuster LH</t>
  </si>
  <si>
    <t>N09331-351A</t>
  </si>
  <si>
    <t>L40550</t>
  </si>
  <si>
    <t>SNF</t>
  </si>
  <si>
    <t>B204-00100-RM</t>
  </si>
  <si>
    <t>BODY;w/cyl(3/4)</t>
  </si>
  <si>
    <t>B204-00110-RM</t>
  </si>
  <si>
    <t>BODY;w/cyl(11/16)</t>
  </si>
  <si>
    <t>G204-24430-RM</t>
  </si>
  <si>
    <t>BODY W/CYL</t>
  </si>
  <si>
    <t>L40560</t>
  </si>
  <si>
    <t>SSI</t>
  </si>
  <si>
    <t>821014-4741</t>
  </si>
  <si>
    <t>P-CARWP(4D5)</t>
  </si>
  <si>
    <t>J109-09810</t>
  </si>
  <si>
    <t>4D5WP(3E00)</t>
  </si>
  <si>
    <t>C105-443-2Z20</t>
  </si>
  <si>
    <t>J109-06010</t>
  </si>
  <si>
    <t>821014-3783</t>
  </si>
  <si>
    <t>4D5WP</t>
  </si>
  <si>
    <t>L40570</t>
  </si>
  <si>
    <t>SWM</t>
  </si>
  <si>
    <t>L138-00220</t>
  </si>
  <si>
    <t>SPRING SEAT</t>
  </si>
  <si>
    <t>L40580</t>
  </si>
  <si>
    <t>TAC</t>
  </si>
  <si>
    <t>L199-14000</t>
  </si>
  <si>
    <t>BOLT; FLANGE</t>
  </si>
  <si>
    <t>02805-08400</t>
  </si>
  <si>
    <t>MF140231</t>
  </si>
  <si>
    <t>BOLT</t>
  </si>
  <si>
    <t>G199-14240</t>
  </si>
  <si>
    <t>BOLT: ADJ LH</t>
  </si>
  <si>
    <t>L199-14100</t>
  </si>
  <si>
    <t>L40590</t>
  </si>
  <si>
    <t>TAIYO</t>
  </si>
  <si>
    <t>L167-00200</t>
  </si>
  <si>
    <t>L199-15200</t>
  </si>
  <si>
    <t>SPRING PIN</t>
  </si>
  <si>
    <t>L40610</t>
  </si>
  <si>
    <t>TEP</t>
  </si>
  <si>
    <t>821011-4752-RM</t>
  </si>
  <si>
    <t>4D5</t>
  </si>
  <si>
    <t>1060A218-RM</t>
  </si>
  <si>
    <t>CASE  TIMING CHAIN</t>
  </si>
  <si>
    <t>1060A197-RM</t>
  </si>
  <si>
    <t>L170-00902-RM</t>
  </si>
  <si>
    <t>FRONT CASE</t>
  </si>
  <si>
    <t>L40620</t>
  </si>
  <si>
    <t>TFC</t>
  </si>
  <si>
    <t>L199-05100</t>
  </si>
  <si>
    <t>4JJ1 O/P</t>
  </si>
  <si>
    <t>L40630</t>
  </si>
  <si>
    <t>TGAS</t>
  </si>
  <si>
    <t>B208-00100</t>
  </si>
  <si>
    <t>CUP;piston(3/4)</t>
  </si>
  <si>
    <t>G208-05360</t>
  </si>
  <si>
    <t>CUP PISTON</t>
  </si>
  <si>
    <t>L40640</t>
  </si>
  <si>
    <t>TMIT</t>
  </si>
  <si>
    <t>L136-00810</t>
  </si>
  <si>
    <t>L40650</t>
  </si>
  <si>
    <t>TID</t>
  </si>
  <si>
    <t>L135-01700-P20</t>
  </si>
  <si>
    <t>L135-01000-P20</t>
  </si>
  <si>
    <t>L40660</t>
  </si>
  <si>
    <t>TKI</t>
  </si>
  <si>
    <t>16115-BZ020-RM</t>
  </si>
  <si>
    <t>L40670</t>
  </si>
  <si>
    <t>TMC</t>
  </si>
  <si>
    <t>G116-01340</t>
  </si>
  <si>
    <t>PIN PIVOT</t>
  </si>
  <si>
    <t>L40680</t>
  </si>
  <si>
    <t>TMTH</t>
  </si>
  <si>
    <t>49180-20500-RM</t>
  </si>
  <si>
    <t>HOUSING BEARING</t>
  </si>
  <si>
    <t>GMW EB04</t>
  </si>
  <si>
    <t>49177-20471-RM</t>
  </si>
  <si>
    <t>HOUSING  BEARING</t>
  </si>
  <si>
    <t>IVECO F1A</t>
  </si>
  <si>
    <t>49373-20200-RM</t>
  </si>
  <si>
    <t>VW-EA211 MLB</t>
  </si>
  <si>
    <t>49894-68425-RM</t>
  </si>
  <si>
    <t>JLR AJ21D MID VB</t>
  </si>
  <si>
    <t>10285112-RM</t>
  </si>
  <si>
    <t>CASE A</t>
  </si>
  <si>
    <t>NISSAN 72</t>
  </si>
  <si>
    <t>49373-20500-RM</t>
  </si>
  <si>
    <t>HONDA</t>
  </si>
  <si>
    <t>49895-61320-RM</t>
  </si>
  <si>
    <t>GMW EB04(TD025R)</t>
  </si>
  <si>
    <t>49373-20120-RM</t>
  </si>
  <si>
    <t>VW-EA211 MQB</t>
  </si>
  <si>
    <t>10285113-RM</t>
  </si>
  <si>
    <t>CASE B</t>
  </si>
  <si>
    <t>49377-20322-RM</t>
  </si>
  <si>
    <t>EG01</t>
  </si>
  <si>
    <t>49130-20510-RM</t>
  </si>
  <si>
    <t>MAZDA</t>
  </si>
  <si>
    <t>49896-70525-RM</t>
  </si>
  <si>
    <t>JLR AJ21 MID</t>
  </si>
  <si>
    <t>49173-20650-RM</t>
  </si>
  <si>
    <t>49173-20602-RM</t>
  </si>
  <si>
    <t>Renault</t>
  </si>
  <si>
    <t>49335-20100-RM</t>
  </si>
  <si>
    <t>JLR</t>
  </si>
  <si>
    <t>49894-93120-RM</t>
  </si>
  <si>
    <t>VW EA211 1.5L 118kW</t>
  </si>
  <si>
    <t>49477-20350-RM</t>
  </si>
  <si>
    <t>BMW B48</t>
  </si>
  <si>
    <t>49177-20112-RM</t>
  </si>
  <si>
    <t>CTT TATA</t>
  </si>
  <si>
    <t>L40690</t>
  </si>
  <si>
    <t>TOPY</t>
  </si>
  <si>
    <t>MF522408</t>
  </si>
  <si>
    <t>SNAP RING</t>
  </si>
  <si>
    <t>700 P</t>
  </si>
  <si>
    <t>G182-01500</t>
  </si>
  <si>
    <t>08331-41159</t>
  </si>
  <si>
    <t>CIRCLIP</t>
  </si>
  <si>
    <t>L40700</t>
  </si>
  <si>
    <t>TPK</t>
  </si>
  <si>
    <t>898247-6652</t>
  </si>
  <si>
    <t>4D5,P-CAR</t>
  </si>
  <si>
    <t>ME202200-P20</t>
  </si>
  <si>
    <t>MD050561-P20</t>
  </si>
  <si>
    <t>898247-6652-P20</t>
  </si>
  <si>
    <t>1130A228-P20</t>
  </si>
  <si>
    <t>898351-8040-P20</t>
  </si>
  <si>
    <t>GEAR;SUPPLY PUMP</t>
  </si>
  <si>
    <t>898247-6641-P20</t>
  </si>
  <si>
    <t>898231-9080-P30</t>
  </si>
  <si>
    <t>898319-8575-P20</t>
  </si>
  <si>
    <t>898351-8320-P20</t>
  </si>
  <si>
    <t>ES14 O/P</t>
  </si>
  <si>
    <t>ME201035</t>
  </si>
  <si>
    <t>GEAR  OIL PUMP</t>
  </si>
  <si>
    <t>898231-9080</t>
  </si>
  <si>
    <t>898247-6641</t>
  </si>
  <si>
    <t>898319-9091-P20</t>
  </si>
  <si>
    <t>ES01/ES14</t>
  </si>
  <si>
    <t>898351-8050-P20</t>
  </si>
  <si>
    <t>GEAR;IDLE B</t>
  </si>
  <si>
    <t>ES14 GEAR</t>
  </si>
  <si>
    <t>MD199041-P20</t>
  </si>
  <si>
    <t>1130A230-P20</t>
  </si>
  <si>
    <t>1132A102</t>
  </si>
  <si>
    <t>898351-8020-P20</t>
  </si>
  <si>
    <t>GEAR;CRANK</t>
  </si>
  <si>
    <t>L40710</t>
  </si>
  <si>
    <t>TSM</t>
  </si>
  <si>
    <t>MD141302</t>
  </si>
  <si>
    <t>SCREW</t>
  </si>
  <si>
    <t>4G9E,4G1E</t>
  </si>
  <si>
    <t>09126-06007</t>
  </si>
  <si>
    <t>J199-20100</t>
  </si>
  <si>
    <t>T901-06020</t>
  </si>
  <si>
    <t>4JA1,4JH1,TBKSOP</t>
  </si>
  <si>
    <t>N8320-61210</t>
  </si>
  <si>
    <t>P-CAR ,4D56 TBKS,4D5 W</t>
  </si>
  <si>
    <t>T901-06000</t>
  </si>
  <si>
    <t>909814-0141</t>
  </si>
  <si>
    <t>SET SCREW</t>
  </si>
  <si>
    <t>4JA1WP,4JB1TBKS</t>
  </si>
  <si>
    <t>J199-21400</t>
  </si>
  <si>
    <t>BOLT STUD</t>
  </si>
  <si>
    <t>4G6WP</t>
  </si>
  <si>
    <t>J199-18110</t>
  </si>
  <si>
    <t>BOLT  W/WASHER</t>
  </si>
  <si>
    <t>J199-18210</t>
  </si>
  <si>
    <t>J199-37700</t>
  </si>
  <si>
    <t>STUD BOLT</t>
  </si>
  <si>
    <t>MF140209</t>
  </si>
  <si>
    <t>MF201572</t>
  </si>
  <si>
    <t>SCREW  MACHINE</t>
  </si>
  <si>
    <t>4D5,P-CAR,TBKS 15B</t>
  </si>
  <si>
    <t>MD122695</t>
  </si>
  <si>
    <t>90915-05080</t>
  </si>
  <si>
    <t>SPRING WASHER</t>
  </si>
  <si>
    <t>01411-06123</t>
  </si>
  <si>
    <t>L40720</t>
  </si>
  <si>
    <t>TTT</t>
  </si>
  <si>
    <t>L124-06201-P20</t>
  </si>
  <si>
    <t>L40730</t>
  </si>
  <si>
    <t>UAI</t>
  </si>
  <si>
    <t>L40740</t>
  </si>
  <si>
    <t>VIV</t>
  </si>
  <si>
    <t>J199-20130</t>
  </si>
  <si>
    <t>L40750</t>
  </si>
  <si>
    <t>WHT</t>
  </si>
  <si>
    <t>TC402-2663-1-P20</t>
  </si>
  <si>
    <t>TC822-2461-1-P20</t>
  </si>
  <si>
    <t>TC630-2188-1-P20</t>
  </si>
  <si>
    <t>TC822-2352-1-P20</t>
  </si>
  <si>
    <t>TC422-2351-3-P20</t>
  </si>
  <si>
    <t>TC422-2188-2-P20</t>
  </si>
  <si>
    <t>TC422-2352-1-P20</t>
  </si>
  <si>
    <t>TC832-2188-1-P20</t>
  </si>
  <si>
    <t>TC422-2461-2-P20</t>
  </si>
  <si>
    <t>TC432-2352-1-P20</t>
  </si>
  <si>
    <t>TC432-2188-1-P20</t>
  </si>
  <si>
    <t>TC620-2188-1-P20</t>
  </si>
  <si>
    <t>TC412-2411-1-P20</t>
  </si>
  <si>
    <t>TC432-2351-1-P20</t>
  </si>
  <si>
    <t>TC432-2367-1-P20</t>
  </si>
  <si>
    <t>TC403-2440-2-P20</t>
  </si>
  <si>
    <t>L40800</t>
  </si>
  <si>
    <t>YTC</t>
  </si>
  <si>
    <t>G145-42200</t>
  </si>
  <si>
    <t>COVER ; dust A</t>
  </si>
  <si>
    <t>VD00(HR)</t>
  </si>
  <si>
    <t>G145-42000</t>
  </si>
  <si>
    <t>G145-42100</t>
  </si>
  <si>
    <t>COVER; dust A</t>
  </si>
  <si>
    <t>G145-42210</t>
  </si>
  <si>
    <t>COVER ; dust B</t>
  </si>
  <si>
    <t>VD00 (HR)</t>
  </si>
  <si>
    <t>G104-31100</t>
  </si>
  <si>
    <t>SHOE</t>
  </si>
  <si>
    <t>G145-42010</t>
  </si>
  <si>
    <t>G104-31200</t>
  </si>
  <si>
    <t>G145-42110</t>
  </si>
  <si>
    <t>G104-31000</t>
  </si>
  <si>
    <t>SHOE (W = 160)</t>
  </si>
  <si>
    <t>HR Project</t>
  </si>
  <si>
    <t>L40810</t>
  </si>
  <si>
    <t>AIKAI</t>
  </si>
  <si>
    <t>G191-09700-RM</t>
  </si>
  <si>
    <t>CHAMBER BKT ;AIR</t>
  </si>
  <si>
    <t>G129-31100-RM</t>
  </si>
  <si>
    <t>BKT;ANCHOR Rr</t>
  </si>
  <si>
    <t>G129-35800-RM</t>
  </si>
  <si>
    <t>BKT; anchor</t>
  </si>
  <si>
    <t>G191-10000-RM</t>
  </si>
  <si>
    <t>G191-10100-RM</t>
  </si>
  <si>
    <t>G191-09600-RM</t>
  </si>
  <si>
    <t>G129-31000-RM</t>
  </si>
  <si>
    <t>BKT;ANCHOR Ft</t>
  </si>
  <si>
    <t>L40830</t>
  </si>
  <si>
    <t>ICP</t>
  </si>
  <si>
    <t>L40850</t>
  </si>
  <si>
    <t>TCT</t>
  </si>
  <si>
    <t>L40860</t>
  </si>
  <si>
    <t>HTAS</t>
  </si>
  <si>
    <t>L40870</t>
  </si>
  <si>
    <t>ITO</t>
  </si>
  <si>
    <t>L40880</t>
  </si>
  <si>
    <t>RYOBI</t>
  </si>
  <si>
    <t>L40890</t>
  </si>
  <si>
    <t>AIB</t>
  </si>
  <si>
    <t>L40910</t>
  </si>
  <si>
    <t>METALCOM LTD.</t>
  </si>
  <si>
    <t>L48010</t>
  </si>
  <si>
    <t>CAS</t>
  </si>
  <si>
    <t>P6310</t>
  </si>
  <si>
    <t>VCI PAPER</t>
  </si>
  <si>
    <t>L48020</t>
  </si>
  <si>
    <t>CSD</t>
  </si>
  <si>
    <t>P8001</t>
  </si>
  <si>
    <t>Bubble sheet</t>
  </si>
  <si>
    <t>P6101</t>
  </si>
  <si>
    <t>Bubble bag 28*19</t>
  </si>
  <si>
    <t>L48030</t>
  </si>
  <si>
    <t>CWC</t>
  </si>
  <si>
    <t>P6405</t>
  </si>
  <si>
    <t>Plastic bag 10*15</t>
  </si>
  <si>
    <t>P6409</t>
  </si>
  <si>
    <t>Plastic bag  HD 102*115</t>
  </si>
  <si>
    <t>P6403</t>
  </si>
  <si>
    <t>Plastic bag 6.5*10</t>
  </si>
  <si>
    <t>P6410</t>
  </si>
  <si>
    <t>Plastic  bag PE 18*26</t>
  </si>
  <si>
    <t>P6408</t>
  </si>
  <si>
    <t>Plastic bag 19*28</t>
  </si>
  <si>
    <t>P6407</t>
  </si>
  <si>
    <t>Plastic bag 12*18 cm</t>
  </si>
  <si>
    <t>P6401</t>
  </si>
  <si>
    <t>Plastic bag 16*28</t>
  </si>
  <si>
    <t>P6406</t>
  </si>
  <si>
    <t>Plastic bag 16*18 cm</t>
  </si>
  <si>
    <t>P6404</t>
  </si>
  <si>
    <t>Plastic bag 10*12</t>
  </si>
  <si>
    <t>L48040</t>
  </si>
  <si>
    <t>GLS</t>
  </si>
  <si>
    <t>P5302</t>
  </si>
  <si>
    <t>Tray for Head Gear Pump (T01)</t>
  </si>
  <si>
    <t>P5301</t>
  </si>
  <si>
    <t>TRAY FOR OIL PUMP (TO2)</t>
  </si>
  <si>
    <t>L48050</t>
  </si>
  <si>
    <t>KTP</t>
  </si>
  <si>
    <t>P2001</t>
  </si>
  <si>
    <t>Wooden case 110*110*110</t>
  </si>
  <si>
    <t>Psacking</t>
  </si>
  <si>
    <t>P2002</t>
  </si>
  <si>
    <t>Wooden case 110*110*65cm</t>
  </si>
  <si>
    <t>L48070</t>
  </si>
  <si>
    <t>QLC</t>
  </si>
  <si>
    <t>P5105</t>
  </si>
  <si>
    <t>Carton Partition 6 Slits 135*1085</t>
  </si>
  <si>
    <t>P8002</t>
  </si>
  <si>
    <t>PARTITION 30 SLOTS</t>
  </si>
  <si>
    <t>P5115</t>
  </si>
  <si>
    <t>CARTON PATITION (P28) 12.5*20.5</t>
  </si>
  <si>
    <t>P3217</t>
  </si>
  <si>
    <t>Carton box 90*90*45</t>
  </si>
  <si>
    <t>P5118</t>
  </si>
  <si>
    <t>CARTON PATITION (P11) 6.2*35.5cm</t>
  </si>
  <si>
    <t>P7101</t>
  </si>
  <si>
    <t>Carton sheet 12*20</t>
  </si>
  <si>
    <t>P3205</t>
  </si>
  <si>
    <t>Carton box 33*12*23</t>
  </si>
  <si>
    <t>P3203</t>
  </si>
  <si>
    <t>Carton box 17.8*12.7*12.7</t>
  </si>
  <si>
    <t>P3222</t>
  </si>
  <si>
    <t>Carton box 21*11.5*14</t>
  </si>
  <si>
    <t>P7111</t>
  </si>
  <si>
    <t>Carton sheet 930*765</t>
  </si>
  <si>
    <t>P7110</t>
  </si>
  <si>
    <t>CARTON SHEET SIZE:20x26.5CM (S01)</t>
  </si>
  <si>
    <t>P3240</t>
  </si>
  <si>
    <t>CARTON BOX SIZE : 362x704</t>
  </si>
  <si>
    <t>P3206</t>
  </si>
  <si>
    <t>Carton box 21.8*16.4*17.1</t>
  </si>
  <si>
    <t>P5106</t>
  </si>
  <si>
    <t>Carton Partition (Long) 7 Slits</t>
  </si>
  <si>
    <t>P3216</t>
  </si>
  <si>
    <t>Carton box 56*43.5</t>
  </si>
  <si>
    <t>P5101</t>
  </si>
  <si>
    <t>Carton Partition 27.5*32.8cm</t>
  </si>
  <si>
    <t>P5113</t>
  </si>
  <si>
    <t>PARTITION SET (P31)  18.5*105</t>
  </si>
  <si>
    <t>P7103</t>
  </si>
  <si>
    <t>Carton sheet 270*450</t>
  </si>
  <si>
    <t>P5114</t>
  </si>
  <si>
    <t>CARTON PATITION (P32) 17*105</t>
  </si>
  <si>
    <t>P3210</t>
  </si>
  <si>
    <t>Carton box 22.7*15*5.4</t>
  </si>
  <si>
    <t>P7107</t>
  </si>
  <si>
    <t>Carton sheet 1100*1100</t>
  </si>
  <si>
    <t>P5107</t>
  </si>
  <si>
    <t>Carton Partition (Long) 8Slits</t>
  </si>
  <si>
    <t>P3204</t>
  </si>
  <si>
    <t>Carton box 34*31*17</t>
  </si>
  <si>
    <t>P7105</t>
  </si>
  <si>
    <t>Carton sheet 31*47</t>
  </si>
  <si>
    <t>P3211</t>
  </si>
  <si>
    <t>Carton box 66*36.5*27.6</t>
  </si>
  <si>
    <t>P3209</t>
  </si>
  <si>
    <t>Carton box 27.6*21*14.6</t>
  </si>
  <si>
    <t>P7104</t>
  </si>
  <si>
    <t>Carton sheet 32.6*10.27</t>
  </si>
  <si>
    <t>P3207</t>
  </si>
  <si>
    <t>Carton box 103.5*33.4*30</t>
  </si>
  <si>
    <t>P3208</t>
  </si>
  <si>
    <t>Carton box 19.8*14.4*10.7</t>
  </si>
  <si>
    <t>P3212</t>
  </si>
  <si>
    <t>Carton box 48.4*31.4*16.5</t>
  </si>
  <si>
    <t>P3215</t>
  </si>
  <si>
    <t>Carton box 46.3*58.7</t>
  </si>
  <si>
    <t>P3202</t>
  </si>
  <si>
    <t>Carton box 46*27.2*12.5</t>
  </si>
  <si>
    <t>P3218</t>
  </si>
  <si>
    <t>Carton box 25.4*21*10</t>
  </si>
  <si>
    <t>P3201</t>
  </si>
  <si>
    <t>Carton box 51.7*31.4*16.5</t>
  </si>
  <si>
    <t>Packing</t>
  </si>
  <si>
    <t>P7106</t>
  </si>
  <si>
    <t>Carton sheet 100*100</t>
  </si>
  <si>
    <t>P3225</t>
  </si>
  <si>
    <t>Carton box 37*21*25</t>
  </si>
  <si>
    <t>P5120</t>
  </si>
  <si>
    <t>CARTON PATITION Size:15*104.4 (P30)</t>
  </si>
  <si>
    <t>P3221</t>
  </si>
  <si>
    <t>Carton box 37*21*20</t>
  </si>
  <si>
    <t>P3214</t>
  </si>
  <si>
    <t>Carton box 24.6*43.4</t>
  </si>
  <si>
    <t>P5121</t>
  </si>
  <si>
    <t>PATITION SIZE : 14.8x48 (P04)</t>
  </si>
  <si>
    <t>L48120</t>
  </si>
  <si>
    <t>SPC</t>
  </si>
  <si>
    <t>P6313</t>
  </si>
  <si>
    <t>ZERUST BAG SIZE : 30x40x0.08</t>
  </si>
  <si>
    <t>P6308</t>
  </si>
  <si>
    <t>Zerust bag 28*40</t>
  </si>
  <si>
    <t>P6415</t>
  </si>
  <si>
    <t>PLASTIC BAG Size.80x100x120cm (H02)</t>
  </si>
  <si>
    <t>P6411</t>
  </si>
  <si>
    <t>COVER BAG SIZE 11.5*11.5*17</t>
  </si>
  <si>
    <t>P6306</t>
  </si>
  <si>
    <t>Zerust bag 21*28</t>
  </si>
  <si>
    <t>L48140</t>
  </si>
  <si>
    <t>KTC</t>
  </si>
  <si>
    <t>P3301</t>
  </si>
  <si>
    <t>Plastic box (Green)</t>
  </si>
  <si>
    <t>L48150</t>
  </si>
  <si>
    <t>KGH</t>
  </si>
  <si>
    <t>P6201</t>
  </si>
  <si>
    <t>Zip bag 7*10</t>
  </si>
  <si>
    <t>P6202</t>
  </si>
  <si>
    <t>Zip bag 5*7</t>
  </si>
  <si>
    <t>L48170</t>
  </si>
  <si>
    <t>KKE</t>
  </si>
  <si>
    <t>P6412</t>
  </si>
  <si>
    <t>PLASTIC BAG S3x20cm (OTH04)</t>
  </si>
  <si>
    <t>L48180</t>
  </si>
  <si>
    <t>TBL</t>
  </si>
  <si>
    <t>P5303</t>
  </si>
  <si>
    <t>TRAY PET 6 SLOTS</t>
  </si>
  <si>
    <t>L48190</t>
  </si>
  <si>
    <t>MTP</t>
  </si>
  <si>
    <t>P5304</t>
  </si>
  <si>
    <t>Tray gear pump FG</t>
  </si>
  <si>
    <t>M50010</t>
  </si>
  <si>
    <t>DM</t>
  </si>
  <si>
    <t>1213A062</t>
  </si>
  <si>
    <t>ROTOR  OIL PUMP OUTER</t>
  </si>
  <si>
    <t>SU(4N15)</t>
  </si>
  <si>
    <t>1213A063</t>
  </si>
  <si>
    <t>ROTOR  OIL PUMP INNER</t>
  </si>
  <si>
    <t>1213A066</t>
  </si>
  <si>
    <t>L322-03020</t>
  </si>
  <si>
    <t>ROTOR OUTER</t>
  </si>
  <si>
    <t>L320-04120</t>
  </si>
  <si>
    <t>ROTOR INNER</t>
  </si>
  <si>
    <t>16131-60A00</t>
  </si>
  <si>
    <t>1213A065</t>
  </si>
  <si>
    <t>MN187997</t>
  </si>
  <si>
    <t>4D5OP(3E00)</t>
  </si>
  <si>
    <t>16132-60A00</t>
  </si>
  <si>
    <t>J123-07630</t>
  </si>
  <si>
    <t>SEAT WATER PUMP PULLEY</t>
  </si>
  <si>
    <t>MN187996</t>
  </si>
  <si>
    <t>M50020</t>
  </si>
  <si>
    <t>KACO</t>
  </si>
  <si>
    <t>J117-04430</t>
  </si>
  <si>
    <t>IAFM+,CPS+</t>
  </si>
  <si>
    <t>M50040</t>
  </si>
  <si>
    <t>SAE</t>
  </si>
  <si>
    <t>G300-17110</t>
  </si>
  <si>
    <t>AUTO SLACK ADJ ASSY</t>
  </si>
  <si>
    <t>G191-10100-D</t>
  </si>
  <si>
    <t>G300-17500</t>
  </si>
  <si>
    <t>G300-17510</t>
  </si>
  <si>
    <t>G191-09600-D</t>
  </si>
  <si>
    <t>G129-31100-D</t>
  </si>
  <si>
    <t>G191-10000-D</t>
  </si>
  <si>
    <t>G300-17200</t>
  </si>
  <si>
    <t>G300-17010</t>
  </si>
  <si>
    <t>G129-35800-D</t>
  </si>
  <si>
    <t>G191-09700-D</t>
  </si>
  <si>
    <t>G300-17300</t>
  </si>
  <si>
    <t>G129-31000-D</t>
  </si>
  <si>
    <t>M50050</t>
  </si>
  <si>
    <t>MHIET</t>
  </si>
  <si>
    <t>49180-20200-RM</t>
  </si>
  <si>
    <t>RENAULT-R9N</t>
  </si>
  <si>
    <t>T00100</t>
  </si>
  <si>
    <t>TBK</t>
  </si>
  <si>
    <t>G145-27610</t>
  </si>
  <si>
    <t>SAW</t>
  </si>
  <si>
    <t>MC811321</t>
  </si>
  <si>
    <t>WASHER;cam shaft</t>
  </si>
  <si>
    <t>02085-10250</t>
  </si>
  <si>
    <t>BOLT;delrin bkt lock</t>
  </si>
  <si>
    <t>G166-01532</t>
  </si>
  <si>
    <t>G148-02400</t>
  </si>
  <si>
    <t>BOLT chamber set</t>
  </si>
  <si>
    <t>G175-01840-RM</t>
  </si>
  <si>
    <t>G400-00330</t>
  </si>
  <si>
    <t>EXPANDER ASSY</t>
  </si>
  <si>
    <t>L105-08600</t>
  </si>
  <si>
    <t>IZ BODY 4JH1</t>
  </si>
  <si>
    <t>G135-01051</t>
  </si>
  <si>
    <t>ADJ.CAM ASSY "B"</t>
  </si>
  <si>
    <t>G200-34530</t>
  </si>
  <si>
    <t>W/CYL ASSY</t>
  </si>
  <si>
    <t>G117-05210</t>
  </si>
  <si>
    <t>PIN; r/spring</t>
  </si>
  <si>
    <t>G182-00600</t>
  </si>
  <si>
    <t>G184-00100</t>
  </si>
  <si>
    <t>B.K.T;delrim bush</t>
  </si>
  <si>
    <t>G103-10000-T</t>
  </si>
  <si>
    <t>SHOE ASSY Fc220</t>
  </si>
  <si>
    <t>G199-13220</t>
  </si>
  <si>
    <t>G129-34300-RM</t>
  </si>
  <si>
    <t>BKT;anchor</t>
  </si>
  <si>
    <t>MC811320</t>
  </si>
  <si>
    <t>WASHER</t>
  </si>
  <si>
    <t>947145-0130</t>
  </si>
  <si>
    <t>G129-34700-RM</t>
  </si>
  <si>
    <t>BKT;anchor Ft</t>
  </si>
  <si>
    <t>G177-00500</t>
  </si>
  <si>
    <t>RING;cam shaft seal</t>
  </si>
  <si>
    <t>L125-00430</t>
  </si>
  <si>
    <t>PINION GEAR</t>
  </si>
  <si>
    <t>4JA1,4JH1OP</t>
  </si>
  <si>
    <t>G182-00210</t>
  </si>
  <si>
    <t>CLIP;cam shaft</t>
  </si>
  <si>
    <t>G199-27600</t>
  </si>
  <si>
    <t>CE RING</t>
  </si>
  <si>
    <t>G175-13310-RM</t>
  </si>
  <si>
    <t>G103-09900-T</t>
  </si>
  <si>
    <t>147151-4630</t>
  </si>
  <si>
    <t>COVER;dust A</t>
  </si>
  <si>
    <t>G175-13200-RM</t>
  </si>
  <si>
    <t>G175-13210-RM</t>
  </si>
  <si>
    <t>G179-00700</t>
  </si>
  <si>
    <t>SPACER cam shaft</t>
  </si>
  <si>
    <t>02085-14400</t>
  </si>
  <si>
    <t>BOLT;chamber BKT set</t>
  </si>
  <si>
    <t>G104-24230S</t>
  </si>
  <si>
    <t>SHOE  Assy with Bush Fe220</t>
  </si>
  <si>
    <t>G148-02800</t>
  </si>
  <si>
    <t>CAP SCREW</t>
  </si>
  <si>
    <t>G129-35700-RM</t>
  </si>
  <si>
    <t>G175-13510-RM</t>
  </si>
  <si>
    <t>G199-08110</t>
  </si>
  <si>
    <t>O-RING chamber</t>
  </si>
  <si>
    <t>G166-13210</t>
  </si>
  <si>
    <t>G175-13300-RM</t>
  </si>
  <si>
    <t>G150-01411</t>
  </si>
  <si>
    <t>AOH</t>
  </si>
  <si>
    <t>G179-00410</t>
  </si>
  <si>
    <t>G145-19130</t>
  </si>
  <si>
    <t>DUST COVER B</t>
  </si>
  <si>
    <t>MF524022</t>
  </si>
  <si>
    <t>GREASE NIPPLE</t>
  </si>
  <si>
    <t>G145-27500</t>
  </si>
  <si>
    <t>09151-05100</t>
  </si>
  <si>
    <t>L152-04900</t>
  </si>
  <si>
    <t>COVER ASSY</t>
  </si>
  <si>
    <t>B336-161T</t>
  </si>
  <si>
    <t>TUBE SEAT</t>
  </si>
  <si>
    <t>G199-00800</t>
  </si>
  <si>
    <t>G150-01311</t>
  </si>
  <si>
    <t>147151-4350</t>
  </si>
  <si>
    <t>COVER (B) ; dust</t>
  </si>
  <si>
    <t>G185-00200</t>
  </si>
  <si>
    <t>OIL SEAL;cam shaft</t>
  </si>
  <si>
    <t>G200-34630</t>
  </si>
  <si>
    <t>T901-00500</t>
  </si>
  <si>
    <t>G166-13200</t>
  </si>
  <si>
    <t>G175-13410-RM</t>
  </si>
  <si>
    <t>G102-97320-T</t>
  </si>
  <si>
    <t>SHOE ASSY Fe220</t>
  </si>
  <si>
    <t>G147-01700</t>
  </si>
  <si>
    <t>COVER; W/CYL REAR</t>
  </si>
  <si>
    <t>G117-06800</t>
  </si>
  <si>
    <t>PIN;r/spring</t>
  </si>
  <si>
    <t>G145-41700</t>
  </si>
  <si>
    <t>DUST COVER A</t>
  </si>
  <si>
    <t>G175-01530-RM</t>
  </si>
  <si>
    <t>G166-11310</t>
  </si>
  <si>
    <t>G166-13310</t>
  </si>
  <si>
    <t>G175-13400-RM</t>
  </si>
  <si>
    <t>G117-03840</t>
  </si>
  <si>
    <t>G114-02900</t>
  </si>
  <si>
    <t>RIVET</t>
  </si>
  <si>
    <t>VICTOR</t>
  </si>
  <si>
    <t>G148-03600</t>
  </si>
  <si>
    <t>G104-11001S</t>
  </si>
  <si>
    <t>SHOE SUB ASSY</t>
  </si>
  <si>
    <t>G121-00320</t>
  </si>
  <si>
    <t>G179-01000</t>
  </si>
  <si>
    <t>G135-00951</t>
  </si>
  <si>
    <t>ADJ.CAM ASSY "A"</t>
  </si>
  <si>
    <t>G175-01630-RM</t>
  </si>
  <si>
    <t>G135-01041</t>
  </si>
  <si>
    <t>47420-EV010</t>
  </si>
  <si>
    <t>SHOE ASSY</t>
  </si>
  <si>
    <t>G148-02310</t>
  </si>
  <si>
    <t>G104-09520S</t>
  </si>
  <si>
    <t>G175-01740-RM</t>
  </si>
  <si>
    <t>947119-0220</t>
  </si>
  <si>
    <t>CLIP;roller pin</t>
  </si>
  <si>
    <t>G175-13500-RM</t>
  </si>
  <si>
    <t>G148-02410</t>
  </si>
  <si>
    <t>J127-01601</t>
  </si>
  <si>
    <t>S6S</t>
  </si>
  <si>
    <t>G145-27600</t>
  </si>
  <si>
    <t>147151-4640</t>
  </si>
  <si>
    <t>COVER;dust B</t>
  </si>
  <si>
    <t>G123-00430</t>
  </si>
  <si>
    <t>ROLER PIN</t>
  </si>
  <si>
    <t>90911-04100</t>
  </si>
  <si>
    <t>NUT;delrin bkt lock</t>
  </si>
  <si>
    <t>G114-02160</t>
  </si>
  <si>
    <t>G175-13100-RM</t>
  </si>
  <si>
    <t>90810-40300</t>
  </si>
  <si>
    <t>SPLIT PIN</t>
  </si>
  <si>
    <t>G175-13600-RM</t>
  </si>
  <si>
    <t>G117-05931</t>
  </si>
  <si>
    <t>G177-00330</t>
  </si>
  <si>
    <t>COLLAR;cam shaft</t>
  </si>
  <si>
    <t>G178-00310</t>
  </si>
  <si>
    <t>FELT RING</t>
  </si>
  <si>
    <t>G123-00440</t>
  </si>
  <si>
    <t>G117-02700</t>
  </si>
  <si>
    <t>PIN;return spring</t>
  </si>
  <si>
    <t>G175-13110-RM</t>
  </si>
  <si>
    <t>G150-02400</t>
  </si>
  <si>
    <t>T910-01600</t>
  </si>
  <si>
    <t>90918-00380</t>
  </si>
  <si>
    <t>MF524002</t>
  </si>
  <si>
    <t>G176-01220</t>
  </si>
  <si>
    <t>BUSH ; cam shaft</t>
  </si>
  <si>
    <t>G175-13610-RM</t>
  </si>
  <si>
    <t>147151-4180</t>
  </si>
  <si>
    <t>G104-30900S</t>
  </si>
  <si>
    <t>G104-27200S</t>
  </si>
  <si>
    <t>SHOE  Assy with BushFe160</t>
  </si>
  <si>
    <t>G166-13000</t>
  </si>
  <si>
    <t>90956-13400</t>
  </si>
  <si>
    <t>G114-03100</t>
  </si>
  <si>
    <t>G166-12500</t>
  </si>
  <si>
    <t>G182-01400</t>
  </si>
  <si>
    <t>G121-00310</t>
  </si>
  <si>
    <t>G199-00600</t>
  </si>
  <si>
    <t>091510-5140</t>
  </si>
  <si>
    <t>WASHER; chamber BKT set</t>
  </si>
  <si>
    <t>G150-02500</t>
  </si>
  <si>
    <t>L365-00300</t>
  </si>
  <si>
    <t>4G9E,4G1E,JT,TBKSOP</t>
  </si>
  <si>
    <t>L105-07300</t>
  </si>
  <si>
    <t>IZ BODY 4JA1</t>
  </si>
  <si>
    <t>G179-01700</t>
  </si>
  <si>
    <t>G117-04621</t>
  </si>
  <si>
    <t>09151-05140</t>
  </si>
  <si>
    <t>G146-01900</t>
  </si>
  <si>
    <t>G104-27300S</t>
  </si>
  <si>
    <t>SHOE M/C with BushFc160</t>
  </si>
  <si>
    <t>L110-01911</t>
  </si>
  <si>
    <t>T901-07400</t>
  </si>
  <si>
    <t>BOLT;cyl set</t>
  </si>
  <si>
    <t>G104-24040S</t>
  </si>
  <si>
    <t>SHOE M/C with BushFc220</t>
  </si>
  <si>
    <t>T901-00700</t>
  </si>
  <si>
    <t>BOLT; cover set</t>
  </si>
  <si>
    <t>G176-01200</t>
  </si>
  <si>
    <t>BUSH;cam shaft</t>
  </si>
  <si>
    <t>G177-01100</t>
  </si>
  <si>
    <t>G176-00720</t>
  </si>
  <si>
    <t>G145-27510</t>
  </si>
  <si>
    <t>G117-05800</t>
  </si>
  <si>
    <t>L112-01812</t>
  </si>
  <si>
    <t>821022-5851</t>
  </si>
  <si>
    <t>4G9E</t>
  </si>
  <si>
    <t>G102-97220-T</t>
  </si>
  <si>
    <t>G104-28010S</t>
  </si>
  <si>
    <t>SHOE M/C with Bush Fe220</t>
  </si>
  <si>
    <t>G117-02740</t>
  </si>
  <si>
    <t>G176-01302</t>
  </si>
  <si>
    <t>BUSH;cam shaft  outer</t>
  </si>
  <si>
    <t>T10400</t>
  </si>
  <si>
    <t>FWD</t>
  </si>
  <si>
    <t>147126-7400</t>
  </si>
  <si>
    <t>G112-90900</t>
  </si>
  <si>
    <t>G112-90700</t>
  </si>
  <si>
    <t>G112-90600</t>
  </si>
  <si>
    <t>898336-0680</t>
  </si>
  <si>
    <t>G112-91200</t>
  </si>
  <si>
    <t>147126-6590</t>
  </si>
  <si>
    <t>G112-91300</t>
  </si>
  <si>
    <t>147125-4360</t>
  </si>
  <si>
    <t>898336-0700</t>
  </si>
  <si>
    <t>147125-4400</t>
  </si>
  <si>
    <t>147126-5700</t>
  </si>
  <si>
    <t>G112-90500</t>
  </si>
  <si>
    <t>G112-90800</t>
  </si>
  <si>
    <t>G112-91000</t>
  </si>
  <si>
    <t>G112-79210</t>
  </si>
  <si>
    <t>T11300</t>
  </si>
  <si>
    <t>TBKT</t>
  </si>
  <si>
    <t>G112-24570</t>
  </si>
  <si>
    <t>G112-79200</t>
  </si>
  <si>
    <t>Exchange rate</t>
  </si>
  <si>
    <t>USD</t>
  </si>
  <si>
    <t>EUR</t>
  </si>
  <si>
    <t>JPY</t>
  </si>
  <si>
    <t>p</t>
  </si>
  <si>
    <t>Summary Actual (Pcs.)</t>
  </si>
  <si>
    <t>Summary Price (Thb.)</t>
  </si>
  <si>
    <t>December-2017</t>
  </si>
  <si>
    <t>MONTHLY RECEIVING HISTORY REPORT</t>
  </si>
  <si>
    <t>January-2018</t>
  </si>
  <si>
    <t>February-2018</t>
  </si>
  <si>
    <t>Click button to unhide</t>
  </si>
  <si>
    <t>PERIOD TIME :  December-2017 To November-2018</t>
  </si>
  <si>
    <t>March-2018</t>
  </si>
  <si>
    <t>April-2018</t>
  </si>
  <si>
    <t>May-2018</t>
  </si>
  <si>
    <t>June-2018</t>
  </si>
  <si>
    <t>July-2018</t>
  </si>
  <si>
    <t>August-2018</t>
  </si>
  <si>
    <t>September-2018</t>
  </si>
  <si>
    <t>October-2018</t>
  </si>
  <si>
    <t>November-2018</t>
  </si>
  <si>
    <t>Actual (Pcs.)</t>
  </si>
  <si>
    <t>Price (Thb.)</t>
  </si>
  <si>
    <t>DATA HISTORY MONTHLY RECEIVE</t>
  </si>
</sst>
</file>

<file path=xl/styles.xml><?xml version="1.0" encoding="utf-8"?>
<styleSheet xmlns="http://schemas.openxmlformats.org/spreadsheetml/2006/main" xml:space="preserve">
  <numFmts count="3">
    <numFmt numFmtId="164" formatCode="_-* #,##0_-;[Red](#,##0)_-;_-* &quot;-&quot;??_-;_-@_-"/>
    <numFmt numFmtId="165" formatCode="_-* #,##0.00_-;[Red](#,##0.00)_-;_-* &quot;-&quot;??_-;_-@_-"/>
    <numFmt numFmtId="166" formatCode="###&quot;E00&quot;"/>
  </numFmts>
  <fonts count="18">
    <font>
      <b val="0"/>
      <i val="0"/>
      <strike val="0"/>
      <u val="none"/>
      <sz val="11"/>
      <color rgb="FF000000"/>
      <name val="Calibri"/>
    </font>
    <font>
      <b val="0"/>
      <i val="1"/>
      <strike val="0"/>
      <u val="none"/>
      <sz val="10"/>
      <color rgb="FF000000"/>
      <name val="Calibri"/>
    </font>
    <font>
      <b val="1"/>
      <i val="1"/>
      <strike val="0"/>
      <u val="none"/>
      <sz val="9"/>
      <color rgb="FF000000"/>
      <name val="Calibri"/>
    </font>
    <font>
      <b val="1"/>
      <i val="1"/>
      <strike val="0"/>
      <u val="none"/>
      <sz val="12"/>
      <color rgb="FF974706"/>
      <name val="Calibri"/>
    </font>
    <font>
      <b val="0"/>
      <i val="0"/>
      <strike val="0"/>
      <u val="none"/>
      <sz val="10"/>
      <color rgb="FF000005"/>
      <name val="Calibri"/>
    </font>
    <font>
      <b val="1"/>
      <i val="1"/>
      <strike val="0"/>
      <u val="none"/>
      <sz val="36"/>
      <color rgb="FF000000"/>
      <name val="Calibri"/>
    </font>
    <font>
      <b val="1"/>
      <i val="1"/>
      <strike val="0"/>
      <u val="none"/>
      <sz val="21"/>
      <color rgb="FF000000"/>
      <name val="Calibri"/>
    </font>
    <font>
      <b val="1"/>
      <i val="1"/>
      <strike val="0"/>
      <u val="none"/>
      <sz val="14"/>
      <color rgb="FFebf1de"/>
      <name val="Calibri"/>
    </font>
    <font>
      <b val="1"/>
      <i val="1"/>
      <strike val="0"/>
      <u val="none"/>
      <sz val="10"/>
      <color rgb="FFebf1de"/>
      <name val="Calibri"/>
    </font>
    <font>
      <b val="0"/>
      <i val="1"/>
      <strike val="0"/>
      <u val="none"/>
      <sz val="10"/>
      <color rgb="FF000005"/>
      <name val="Calibri"/>
    </font>
    <font>
      <b val="0"/>
      <i val="1"/>
      <strike val="0"/>
      <u val="none"/>
      <sz val="10"/>
      <color rgb="FFeb2613"/>
      <name val="Calibri"/>
    </font>
    <font>
      <b val="1"/>
      <i val="1"/>
      <strike val="0"/>
      <u val="none"/>
      <sz val="11"/>
      <color rgb="FFebf1de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1"/>
      <color rgb="FF000000"/>
      <name val="Calibri"/>
    </font>
    <font>
      <b val="1"/>
      <i val="1"/>
      <strike val="0"/>
      <u val="none"/>
      <sz val="18"/>
      <color rgb="FF000000"/>
      <name val="Calibri"/>
    </font>
    <font>
      <b val="1"/>
      <i val="0"/>
      <strike val="0"/>
      <u val="none"/>
      <sz val="36"/>
      <color rgb="FF00b0f0"/>
      <name val="Wingdings 3"/>
    </font>
    <font>
      <b val="1"/>
      <i val="1"/>
      <strike val="0"/>
      <u val="none"/>
      <sz val="14"/>
      <color rgb="FF00b0f0"/>
      <name val="Arial Unicode MS"/>
    </font>
    <font>
      <b val="1"/>
      <i val="1"/>
      <strike val="0"/>
      <u val="none"/>
      <sz val="26"/>
      <color rgb="FF00b0f0"/>
      <name val="Calibri"/>
    </font>
  </fonts>
  <fills count="10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004700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002900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76933c"/>
        <bgColor rgb="FF000000"/>
      </patternFill>
    </fill>
    <fill>
      <patternFill patternType="solid">
        <fgColor rgb="FF333300"/>
        <bgColor rgb="FF000000"/>
      </patternFill>
    </fill>
    <fill>
      <patternFill patternType="solid">
        <fgColor rgb="FF4f6228"/>
        <bgColor rgb="FF000000"/>
      </patternFill>
    </fill>
  </fills>
  <borders count="41">
    <border/>
    <border>
      <left style="thick">
        <color rgb="FF000023"/>
      </left>
      <top style="thick">
        <color rgb="FF000023"/>
      </top>
    </border>
    <border>
      <left style="thick">
        <color rgb="FF000023"/>
      </left>
    </border>
    <border>
      <left style="thick">
        <color rgb="FF000023"/>
      </left>
      <bottom style="thick">
        <color rgb="FF000023"/>
      </bottom>
    </border>
    <border>
      <top style="thick">
        <color rgb="FF000023"/>
      </top>
    </border>
    <border>
      <bottom style="thick">
        <color rgb="FF000023"/>
      </bottom>
    </border>
    <border>
      <right style="thick">
        <color rgb="FF000023"/>
      </right>
      <top style="thick">
        <color rgb="FF000023"/>
      </top>
    </border>
    <border>
      <right style="thick">
        <color rgb="FF000023"/>
      </right>
    </border>
    <border>
      <right style="thick">
        <color rgb="FF000023"/>
      </right>
      <bottom style="thick">
        <color rgb="FF000023"/>
      </bottom>
    </border>
    <border>
      <bottom style="thick">
        <color rgb="FF00000E"/>
      </bottom>
    </border>
    <border>
      <bottom style="thin">
        <color rgb="FF00000E"/>
      </bottom>
    </border>
    <border>
      <right style="thin">
        <color rgb="FFa6a6a6"/>
      </right>
      <bottom style="thin">
        <color rgb="FFa6a6a6"/>
      </bottom>
    </border>
    <border>
      <right style="thin">
        <color rgb="FFa6a6a6"/>
      </right>
      <top style="thin">
        <color rgb="FFa6a6a6"/>
      </top>
      <bottom style="thin">
        <color rgb="FFa6a6a6"/>
      </bottom>
    </border>
    <border>
      <right style="thin">
        <color rgb="FFa6a6a6"/>
      </right>
      <top style="thin">
        <color rgb="FFa6a6a6"/>
      </top>
    </border>
    <border>
      <left style="thin">
        <color rgb="FFa6a6a6"/>
      </left>
      <right style="thin">
        <color rgb="FFa6a6a6"/>
      </right>
      <bottom style="thin">
        <color rgb="FFa6a6a6"/>
      </bottom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</border>
    <border>
      <left style="thin">
        <color rgb="FFa6a6a6"/>
      </left>
      <right style="thin">
        <color rgb="FFa6a6a6"/>
      </right>
      <top style="thin">
        <color rgb="FFa6a6a6"/>
      </top>
    </border>
    <border>
      <left style="thin">
        <color rgb="FFa6a6a6"/>
      </left>
      <right style="thick">
        <color rgb="FF000023"/>
      </right>
      <bottom style="thin">
        <color rgb="FFa6a6a6"/>
      </bottom>
    </border>
    <border>
      <left style="thin">
        <color rgb="FFa6a6a6"/>
      </left>
      <right style="thick">
        <color rgb="FF000023"/>
      </right>
      <top style="thin">
        <color rgb="FFa6a6a6"/>
      </top>
      <bottom style="thin">
        <color rgb="FFa6a6a6"/>
      </bottom>
    </border>
    <border>
      <left style="thin">
        <color rgb="FFa6a6a6"/>
      </left>
      <right style="thick">
        <color rgb="FF000023"/>
      </right>
      <top style="thin">
        <color rgb="FFa6a6a6"/>
      </top>
    </border>
    <border>
      <top style="thin">
        <color rgb="FFa6a6a6"/>
      </top>
    </border>
    <border>
      <right style="thick">
        <color rgb="FF000023"/>
      </right>
      <top style="thin">
        <color rgb="FFa6a6a6"/>
      </top>
    </border>
    <border>
      <left style="thin">
        <color rgb="FFbebebe"/>
      </left>
      <right style="thin">
        <color rgb="FFbebebe"/>
      </right>
      <bottom style="thin">
        <color rgb="FFbebebe"/>
      </bottom>
    </border>
    <border>
      <left style="thin">
        <color rgb="FFbebebe"/>
      </left>
      <right style="thin">
        <color rgb="FFbebebe"/>
      </right>
      <top style="thin">
        <color rgb="FFbebebe"/>
      </top>
      <bottom style="thin">
        <color rgb="FFbebebe"/>
      </bottom>
    </border>
    <border>
      <left style="thin">
        <color rgb="FFbebebe"/>
      </left>
      <right style="thin">
        <color rgb="FFbebebe"/>
      </right>
      <top style="thin">
        <color rgb="FF00000E"/>
      </top>
      <bottom style="thin">
        <color rgb="FFbebebe"/>
      </bottom>
    </border>
    <border>
      <left style="thin">
        <color rgb="FFbebebe"/>
      </left>
      <right style="thick">
        <color rgb="FF000023"/>
      </right>
      <bottom style="thin">
        <color rgb="FFbebebe"/>
      </bottom>
    </border>
    <border>
      <left style="thin">
        <color rgb="FFbebebe"/>
      </left>
      <right style="thick">
        <color rgb="FF000023"/>
      </right>
      <top style="thin">
        <color rgb="FFbebebe"/>
      </top>
      <bottom style="thin">
        <color rgb="FFbebebe"/>
      </bottom>
    </border>
    <border>
      <left style="thin">
        <color rgb="FFbebebe"/>
      </left>
      <right style="thick">
        <color rgb="FF000023"/>
      </right>
      <top style="thin">
        <color rgb="FF00000E"/>
      </top>
      <bottom style="thin">
        <color rgb="FFbebebe"/>
      </bottom>
    </border>
    <border>
      <left style="thick">
        <color rgb="FF000023"/>
      </left>
      <right style="thin">
        <color rgb="FFbebebe"/>
      </right>
    </border>
    <border>
      <left style="thin">
        <color rgb="FFbebebe"/>
      </left>
      <right style="thin">
        <color rgb="FFbebebe"/>
      </right>
    </border>
    <border>
      <left style="thin">
        <color rgb="FFbebebe"/>
      </left>
      <right style="thick">
        <color rgb="FF000023"/>
      </right>
    </border>
    <border>
      <left style="thick">
        <color rgb="FF000023"/>
      </left>
      <right style="thin">
        <color rgb="FFbebebe"/>
      </right>
      <bottom style="thin">
        <color rgb="FFbebebe"/>
      </bottom>
    </border>
    <border>
      <left style="thick">
        <color rgb="FF000023"/>
      </left>
      <right style="thin">
        <color rgb="FFbebebe"/>
      </right>
      <top style="thin">
        <color rgb="FFbebebe"/>
      </top>
      <bottom style="thin">
        <color rgb="FFbebebe"/>
      </bottom>
    </border>
    <border>
      <left style="thick">
        <color rgb="FF000023"/>
      </left>
      <right style="thin">
        <color rgb="FFbebebe"/>
      </right>
      <top style="thin">
        <color rgb="FF00000E"/>
      </top>
      <bottom style="thin">
        <color rgb="FFbebebe"/>
      </bottom>
    </border>
    <border>
      <bottom style="thin">
        <color rgb="FFa6a6a6"/>
      </bottom>
    </border>
    <border>
      <top style="thin">
        <color rgb="FFa6a6a6"/>
      </top>
      <bottom style="thin">
        <color rgb="FFa6a6a6"/>
      </bottom>
    </border>
    <border>
      <left style="thick">
        <color rgb="FF000023"/>
      </left>
      <bottom style="thick">
        <color rgb="FF00000E"/>
      </bottom>
    </border>
    <border>
      <left style="thick">
        <color rgb="FF000023"/>
      </left>
      <bottom style="thin">
        <color rgb="FF00000E"/>
      </bottom>
    </border>
    <border>
      <left style="thick">
        <color rgb="FF000023"/>
      </left>
      <right style="thin">
        <color rgb="FFbebebe"/>
      </right>
      <top style="thin">
        <color rgb="FFbebebe"/>
      </top>
    </border>
    <border>
      <left style="thin">
        <color rgb="FFbebebe"/>
      </left>
      <right style="thin">
        <color rgb="FFbebebe"/>
      </right>
      <top style="thin">
        <color rgb="FFbebebe"/>
      </top>
    </border>
    <border>
      <left style="thin">
        <color rgb="FFbebebe"/>
      </left>
      <right style="thick">
        <color rgb="FF000023"/>
      </right>
      <top style="thin">
        <color rgb="FFbebebe"/>
      </top>
    </border>
  </borders>
  <cellStyleXfs count="1">
    <xf numFmtId="0" fontId="0" fillId="0" borderId="0"/>
  </cellStyleXfs>
  <cellXfs count="12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0" fillId="2" borderId="2" applyFont="0" applyNumberFormat="0" applyFill="1" applyBorder="1" applyAlignment="0">
      <alignment horizontal="general" vertical="bottom" textRotation="0" wrapText="false" shrinkToFit="false"/>
    </xf>
    <xf xfId="0" fontId="0" numFmtId="0" fillId="2" borderId="4" applyFont="0" applyNumberFormat="0" applyFill="1" applyBorder="1" applyAlignment="0">
      <alignment horizontal="general" vertical="bottom" textRotation="0" wrapText="false" shrinkToFit="false"/>
    </xf>
    <xf xfId="0" fontId="0" numFmtId="0" fillId="2" borderId="6" applyFont="0" applyNumberFormat="0" applyFill="1" applyBorder="1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3" borderId="7" applyFont="0" applyNumberFormat="0" applyFill="1" applyBorder="1" applyAlignment="0">
      <alignment horizontal="general" vertical="bottom" textRotation="0" wrapText="false" shrinkToFit="false"/>
    </xf>
    <xf xfId="0" fontId="0" numFmtId="0" fillId="2" borderId="9" applyFont="0" applyNumberFormat="0" applyFill="1" applyBorder="1" applyAlignment="0">
      <alignment horizontal="general" vertical="bottom" textRotation="0" wrapText="false" shrinkToFit="false"/>
    </xf>
    <xf xfId="0" fontId="0" numFmtId="0" fillId="2" borderId="10" applyFont="0" applyNumberFormat="0" applyFill="1" applyBorder="1" applyAlignment="0">
      <alignment horizontal="general" vertical="bottom" textRotation="0" wrapText="false" shrinkToFit="false"/>
    </xf>
    <xf xfId="0" fontId="3" numFmtId="0" fillId="4" borderId="11" applyFont="1" applyNumberFormat="0" applyFill="1" applyBorder="1" applyAlignment="0">
      <alignment horizontal="general" vertical="bottom" textRotation="0" wrapText="false" shrinkToFit="false"/>
    </xf>
    <xf xfId="0" fontId="3" numFmtId="0" fillId="4" borderId="12" applyFont="1" applyNumberFormat="0" applyFill="1" applyBorder="1" applyAlignment="0">
      <alignment horizontal="general" vertical="bottom" textRotation="0" wrapText="false" shrinkToFit="false"/>
    </xf>
    <xf xfId="0" fontId="3" numFmtId="0" fillId="4" borderId="13" applyFont="1" applyNumberFormat="0" applyFill="1" applyBorder="1" applyAlignment="0">
      <alignment horizontal="general" vertical="bottom" textRotation="0" wrapText="false" shrinkToFit="false"/>
    </xf>
    <xf xfId="0" fontId="3" numFmtId="0" fillId="4" borderId="14" applyFont="1" applyNumberFormat="0" applyFill="1" applyBorder="1" applyAlignment="0">
      <alignment horizontal="general" vertical="bottom" textRotation="0" wrapText="false" shrinkToFit="false"/>
    </xf>
    <xf xfId="0" fontId="3" numFmtId="0" fillId="4" borderId="15" applyFont="1" applyNumberFormat="0" applyFill="1" applyBorder="1" applyAlignment="0">
      <alignment horizontal="general" vertical="bottom" textRotation="0" wrapText="false" shrinkToFit="false"/>
    </xf>
    <xf xfId="0" fontId="3" numFmtId="0" fillId="4" borderId="16" applyFont="1" applyNumberFormat="0" applyFill="1" applyBorder="1" applyAlignment="0">
      <alignment horizontal="general" vertical="bottom" textRotation="0" wrapText="false" shrinkToFit="false"/>
    </xf>
    <xf xfId="0" fontId="3" numFmtId="0" fillId="4" borderId="17" applyFont="1" applyNumberFormat="0" applyFill="1" applyBorder="1" applyAlignment="0">
      <alignment horizontal="general" vertical="bottom" textRotation="0" wrapText="false" shrinkToFit="false"/>
    </xf>
    <xf xfId="0" fontId="3" numFmtId="0" fillId="4" borderId="18" applyFont="1" applyNumberFormat="0" applyFill="1" applyBorder="1" applyAlignment="0">
      <alignment horizontal="general" vertical="bottom" textRotation="0" wrapText="false" shrinkToFit="false"/>
    </xf>
    <xf xfId="0" fontId="3" numFmtId="0" fillId="4" borderId="19" applyFont="1" applyNumberFormat="0" applyFill="1" applyBorder="1" applyAlignment="0">
      <alignment horizontal="general" vertical="bottom" textRotation="0" wrapText="false" shrinkToFit="false"/>
    </xf>
    <xf xfId="0" fontId="0" numFmtId="0" fillId="2" borderId="20" applyFont="0" applyNumberFormat="0" applyFill="1" applyBorder="1" applyAlignment="0">
      <alignment horizontal="general" vertical="bottom" textRotation="0" wrapText="false" shrinkToFit="false"/>
    </xf>
    <xf xfId="0" fontId="0" numFmtId="0" fillId="2" borderId="21" applyFont="0" applyNumberFormat="0" applyFill="1" applyBorder="1" applyAlignment="0">
      <alignment horizontal="general" vertical="bottom" textRotation="0" wrapText="false" shrinkToFit="false"/>
    </xf>
    <xf xfId="0" fontId="1" numFmtId="0" fillId="0" borderId="10" applyFont="1" applyNumberFormat="0" applyFill="0" applyBorder="1" applyAlignment="0">
      <alignment horizontal="general" vertical="bottom" textRotation="0" wrapText="false" shrinkToFit="false"/>
    </xf>
    <xf xfId="0" fontId="0" numFmtId="0" fillId="0" borderId="10" applyFont="0" applyNumberFormat="0" applyFill="0" applyBorder="1" applyAlignment="0">
      <alignment horizontal="general" vertical="bottom" textRotation="0" wrapText="false" shrinkToFit="false"/>
    </xf>
    <xf xfId="0" fontId="4" numFmtId="164" fillId="0" borderId="22" applyFont="1" applyNumberFormat="1" applyFill="0" applyBorder="1" applyAlignment="0">
      <alignment horizontal="general" vertical="bottom" textRotation="0" wrapText="false" shrinkToFit="false"/>
    </xf>
    <xf xfId="0" fontId="4" numFmtId="164" fillId="0" borderId="23" applyFont="1" applyNumberFormat="1" applyFill="0" applyBorder="1" applyAlignment="0">
      <alignment horizontal="general" vertical="bottom" textRotation="0" wrapText="false" shrinkToFit="false"/>
    </xf>
    <xf xfId="0" fontId="4" numFmtId="164" fillId="0" borderId="24" applyFont="1" applyNumberFormat="1" applyFill="0" applyBorder="1" applyAlignment="0">
      <alignment horizontal="general" vertical="bottom" textRotation="0" wrapText="false" shrinkToFit="false"/>
    </xf>
    <xf xfId="0" fontId="4" numFmtId="165" fillId="0" borderId="22" applyFont="1" applyNumberFormat="1" applyFill="0" applyBorder="1" applyAlignment="0">
      <alignment horizontal="general" vertical="bottom" textRotation="0" wrapText="false" shrinkToFit="false"/>
    </xf>
    <xf xfId="0" fontId="4" numFmtId="165" fillId="0" borderId="23" applyFont="1" applyNumberFormat="1" applyFill="0" applyBorder="1" applyAlignment="0">
      <alignment horizontal="general" vertical="bottom" textRotation="0" wrapText="false" shrinkToFit="false"/>
    </xf>
    <xf xfId="0" fontId="4" numFmtId="165" fillId="0" borderId="24" applyFont="1" applyNumberFormat="1" applyFill="0" applyBorder="1" applyAlignment="0">
      <alignment horizontal="general" vertical="bottom" textRotation="0" wrapText="false" shrinkToFit="false"/>
    </xf>
    <xf xfId="0" fontId="4" numFmtId="165" fillId="0" borderId="25" applyFont="1" applyNumberFormat="1" applyFill="0" applyBorder="1" applyAlignment="0">
      <alignment horizontal="general" vertical="bottom" textRotation="0" wrapText="false" shrinkToFit="false"/>
    </xf>
    <xf xfId="0" fontId="4" numFmtId="165" fillId="0" borderId="26" applyFont="1" applyNumberFormat="1" applyFill="0" applyBorder="1" applyAlignment="0">
      <alignment horizontal="general" vertical="bottom" textRotation="0" wrapText="false" shrinkToFit="false"/>
    </xf>
    <xf xfId="0" fontId="4" numFmtId="165" fillId="0" borderId="27" applyFont="1" applyNumberFormat="1" applyFill="0" applyBorder="1" applyAlignment="0">
      <alignment horizontal="general" vertical="bottom" textRotation="0" wrapText="false" shrinkToFit="false"/>
    </xf>
    <xf xfId="0" fontId="3" numFmtId="164" fillId="4" borderId="14" applyFont="1" applyNumberFormat="1" applyFill="1" applyBorder="1" applyAlignment="0">
      <alignment horizontal="general" vertical="bottom" textRotation="0" wrapText="false" shrinkToFit="false"/>
    </xf>
    <xf xfId="0" fontId="3" numFmtId="164" fillId="4" borderId="15" applyFont="1" applyNumberFormat="1" applyFill="1" applyBorder="1" applyAlignment="0">
      <alignment horizontal="general" vertical="bottom" textRotation="0" wrapText="false" shrinkToFit="false"/>
    </xf>
    <xf xfId="0" fontId="3" numFmtId="165" fillId="4" borderId="15" applyFont="1" applyNumberFormat="1" applyFill="1" applyBorder="1" applyAlignment="0">
      <alignment horizontal="general" vertical="bottom" textRotation="0" wrapText="false" shrinkToFit="false"/>
    </xf>
    <xf xfId="0" fontId="3" numFmtId="165" fillId="4" borderId="16" applyFont="1" applyNumberFormat="1" applyFill="1" applyBorder="1" applyAlignment="0">
      <alignment horizontal="general" vertical="bottom" textRotation="0" wrapText="false" shrinkToFit="false"/>
    </xf>
    <xf xfId="0" fontId="0" numFmtId="0" fillId="2" borderId="4" applyFont="0" applyNumberFormat="0" applyFill="1" applyBorder="1" applyAlignment="1">
      <alignment horizontal="center" vertical="center" textRotation="0" wrapText="false" shrinkToFit="false"/>
    </xf>
    <xf xfId="0" fontId="5" numFmtId="0" fillId="2" borderId="0" applyFont="1" applyNumberFormat="0" applyFill="1" applyBorder="0" applyAlignment="1">
      <alignment horizontal="center" vertical="center" textRotation="0" wrapText="false" shrinkToFit="false"/>
    </xf>
    <xf xfId="0" fontId="0" numFmtId="0" fillId="2" borderId="9" applyFont="0" applyNumberFormat="0" applyFill="1" applyBorder="1" applyAlignment="1">
      <alignment horizontal="center" vertical="center" textRotation="0" wrapText="false" shrinkToFit="false"/>
    </xf>
    <xf xfId="0" fontId="6" numFmtId="0" fillId="2" borderId="0" applyFont="1" applyNumberFormat="0" applyFill="1" applyBorder="0" applyAlignment="1">
      <alignment horizontal="center" vertical="center" textRotation="0" wrapText="false" shrinkToFit="false"/>
    </xf>
    <xf xfId="0" fontId="7" numFmtId="0" fillId="3" borderId="0" applyFont="1" applyNumberFormat="0" applyFill="1" applyBorder="0" applyAlignment="1">
      <alignment horizontal="center" vertical="center" textRotation="0" wrapText="false" shrinkToFit="false"/>
    </xf>
    <xf xfId="0" fontId="8" numFmtId="0" fillId="3" borderId="28" applyFont="1" applyNumberFormat="0" applyFill="1" applyBorder="1" applyAlignment="1">
      <alignment horizontal="center" vertical="center" textRotation="0" wrapText="false" shrinkToFit="false"/>
    </xf>
    <xf xfId="0" fontId="8" numFmtId="0" fillId="3" borderId="29" applyFont="1" applyNumberFormat="0" applyFill="1" applyBorder="1" applyAlignment="1">
      <alignment horizontal="center" vertical="center" textRotation="0" wrapText="false" shrinkToFit="false"/>
    </xf>
    <xf xfId="0" fontId="8" numFmtId="0" fillId="3" borderId="30" applyFont="1" applyNumberFormat="0" applyFill="1" applyBorder="1" applyAlignment="1">
      <alignment horizontal="center" vertical="center" textRotation="0" wrapText="false" shrinkToFit="false"/>
    </xf>
    <xf xfId="0" fontId="4" numFmtId="0" fillId="0" borderId="31" applyFont="1" applyNumberFormat="0" applyFill="0" applyBorder="1" applyAlignment="1">
      <alignment horizontal="left" vertical="center" textRotation="0" wrapText="false" shrinkToFit="false"/>
    </xf>
    <xf xfId="0" fontId="4" numFmtId="0" fillId="0" borderId="32" applyFont="1" applyNumberFormat="0" applyFill="0" applyBorder="1" applyAlignment="1">
      <alignment horizontal="left" vertical="center" textRotation="0" wrapText="false" shrinkToFit="false"/>
    </xf>
    <xf xfId="0" fontId="4" numFmtId="0" fillId="0" borderId="33" applyFont="1" applyNumberFormat="0" applyFill="0" applyBorder="1" applyAlignment="1">
      <alignment horizontal="left" vertical="center" textRotation="0" wrapText="false" shrinkToFit="false"/>
    </xf>
    <xf xfId="0" fontId="4" numFmtId="0" fillId="0" borderId="22" applyFont="1" applyNumberFormat="0" applyFill="0" applyBorder="1" applyAlignment="1">
      <alignment horizontal="left" vertical="center" textRotation="0" wrapText="false" shrinkToFit="false"/>
    </xf>
    <xf xfId="0" fontId="4" numFmtId="0" fillId="0" borderId="23" applyFont="1" applyNumberFormat="0" applyFill="0" applyBorder="1" applyAlignment="1">
      <alignment horizontal="left" vertical="center" textRotation="0" wrapText="false" shrinkToFit="false"/>
    </xf>
    <xf xfId="0" fontId="4" numFmtId="0" fillId="0" borderId="24" applyFont="1" applyNumberFormat="0" applyFill="0" applyBorder="1" applyAlignment="1">
      <alignment horizontal="left" vertical="center" textRotation="0" wrapText="false" shrinkToFit="false"/>
    </xf>
    <xf xfId="0" fontId="4" numFmtId="166" fillId="0" borderId="23" applyFont="1" applyNumberFormat="1" applyFill="0" applyBorder="1" applyAlignment="1">
      <alignment horizontal="left" vertical="center" textRotation="0" wrapText="false" shrinkToFit="false"/>
    </xf>
    <xf xfId="0" fontId="9" numFmtId="164" fillId="0" borderId="0" applyFont="1" applyNumberFormat="1" applyFill="0" applyBorder="0" applyAlignment="0">
      <alignment horizontal="general" vertical="bottom" textRotation="0" wrapText="false" shrinkToFit="false"/>
    </xf>
    <xf xfId="0" fontId="10" numFmtId="165" fillId="0" borderId="0" applyFont="1" applyNumberFormat="1" applyFill="0" applyBorder="0" applyAlignment="0">
      <alignment horizontal="general" vertical="bottom" textRotation="0" wrapText="false" shrinkToFit="false"/>
    </xf>
    <xf xfId="0" fontId="11" numFmtId="0" fillId="2" borderId="0" applyFont="1" applyNumberFormat="0" applyFill="1" applyBorder="0" applyAlignment="0">
      <alignment horizontal="general" vertical="bottom" textRotation="0" wrapText="false" shrinkToFit="false"/>
    </xf>
    <xf xfId="0" fontId="3" numFmtId="164" fillId="4" borderId="12" applyFont="1" applyNumberFormat="1" applyFill="1" applyBorder="1" applyAlignment="0">
      <alignment horizontal="general" vertical="bottom" textRotation="0" wrapText="false" shrinkToFit="false"/>
    </xf>
    <xf xfId="0" fontId="3" numFmtId="164" fillId="4" borderId="13" applyFont="1" applyNumberFormat="1" applyFill="1" applyBorder="1" applyAlignment="0">
      <alignment horizontal="general" vertical="bottom" textRotation="0" wrapText="false" shrinkToFit="false"/>
    </xf>
    <xf xfId="0" fontId="11" numFmtId="0" fillId="5" borderId="34" applyFont="1" applyNumberFormat="0" applyFill="1" applyBorder="1" applyAlignment="0">
      <alignment horizontal="general" vertical="bottom" textRotation="0" wrapText="false" shrinkToFit="false"/>
    </xf>
    <xf xfId="0" fontId="11" numFmtId="0" fillId="5" borderId="35" applyFont="1" applyNumberFormat="0" applyFill="1" applyBorder="1" applyAlignment="0">
      <alignment horizontal="general" vertical="bottom" textRotation="0" wrapText="false" shrinkToFit="false"/>
    </xf>
    <xf xfId="0" fontId="11" numFmtId="0" fillId="5" borderId="20" applyFont="1" applyNumberFormat="0" applyFill="1" applyBorder="1" applyAlignment="0">
      <alignment horizontal="general" vertical="bottom" textRotation="0" wrapText="false" shrinkToFit="false"/>
    </xf>
    <xf xfId="0" fontId="0" numFmtId="0" fillId="0" borderId="20" applyFont="0" applyNumberFormat="0" applyFill="0" applyBorder="1" applyAlignment="0">
      <alignment horizontal="general" vertical="bottom" textRotation="0" wrapText="false" shrinkToFit="false"/>
    </xf>
    <xf xfId="0" fontId="9" numFmtId="164" fillId="0" borderId="22" applyFont="1" applyNumberFormat="1" applyFill="0" applyBorder="1" applyAlignment="0">
      <alignment horizontal="general" vertical="bottom" textRotation="0" wrapText="false" shrinkToFit="false"/>
    </xf>
    <xf xfId="0" fontId="10" numFmtId="165" fillId="6" borderId="22" applyFont="1" applyNumberFormat="1" applyFill="1" applyBorder="1" applyAlignment="0">
      <alignment horizontal="general" vertical="bottom" textRotation="0" wrapText="false" shrinkToFit="false"/>
    </xf>
    <xf xfId="0" fontId="9" numFmtId="164" fillId="0" borderId="23" applyFont="1" applyNumberFormat="1" applyFill="0" applyBorder="1" applyAlignment="0">
      <alignment horizontal="general" vertical="bottom" textRotation="0" wrapText="false" shrinkToFit="false"/>
    </xf>
    <xf xfId="0" fontId="10" numFmtId="165" fillId="6" borderId="23" applyFont="1" applyNumberFormat="1" applyFill="1" applyBorder="1" applyAlignment="0">
      <alignment horizontal="general" vertical="bottom" textRotation="0" wrapText="false" shrinkToFit="false"/>
    </xf>
    <xf xfId="0" fontId="9" numFmtId="164" fillId="0" borderId="24" applyFont="1" applyNumberFormat="1" applyFill="0" applyBorder="1" applyAlignment="0">
      <alignment horizontal="general" vertical="bottom" textRotation="0" wrapText="false" shrinkToFit="false"/>
    </xf>
    <xf xfId="0" fontId="10" numFmtId="165" fillId="6" borderId="24" applyFont="1" applyNumberFormat="1" applyFill="1" applyBorder="1" applyAlignment="0">
      <alignment horizontal="general" vertical="bottom" textRotation="0" wrapText="false" shrinkToFit="false"/>
    </xf>
    <xf xfId="0" fontId="0" numFmtId="0" fillId="2" borderId="36" applyFont="0" applyNumberFormat="0" applyFill="1" applyBorder="1" applyAlignment="0">
      <alignment horizontal="general" vertical="bottom" textRotation="0" wrapText="false" shrinkToFit="false"/>
    </xf>
    <xf xfId="0" fontId="12" numFmtId="0" fillId="2" borderId="2" applyFont="1" applyNumberFormat="0" applyFill="1" applyBorder="1" applyAlignment="0">
      <alignment horizontal="general" vertical="bottom" textRotation="0" wrapText="false" shrinkToFit="false"/>
    </xf>
    <xf xfId="0" fontId="0" numFmtId="0" fillId="2" borderId="37" applyFont="0" applyNumberFormat="0" applyFill="1" applyBorder="1" applyAlignment="0">
      <alignment horizontal="general" vertical="bottom" textRotation="0" wrapText="false" shrinkToFit="false"/>
    </xf>
    <xf xfId="0" fontId="3" numFmtId="165" fillId="4" borderId="18" applyFont="1" applyNumberFormat="1" applyFill="1" applyBorder="1" applyAlignment="0">
      <alignment horizontal="general" vertical="bottom" textRotation="0" wrapText="false" shrinkToFit="false"/>
    </xf>
    <xf xfId="0" fontId="3" numFmtId="165" fillId="4" borderId="19" applyFont="1" applyNumberFormat="1" applyFill="1" applyBorder="1" applyAlignment="0">
      <alignment horizontal="general" vertical="bottom" textRotation="0" wrapText="false" shrinkToFit="false"/>
    </xf>
    <xf xfId="0" fontId="0" numFmtId="0" fillId="0" borderId="21" applyFont="0" applyNumberFormat="0" applyFill="0" applyBorder="1" applyAlignment="0">
      <alignment horizontal="general" vertical="bottom" textRotation="0" wrapText="false" shrinkToFit="false"/>
    </xf>
    <xf xfId="0" fontId="9" numFmtId="164" fillId="0" borderId="2" applyFont="1" applyNumberFormat="1" applyFill="0" applyBorder="1" applyAlignment="0">
      <alignment horizontal="general" vertical="bottom" textRotation="0" wrapText="false" shrinkToFit="false"/>
    </xf>
    <xf xfId="0" fontId="9" numFmtId="164" fillId="0" borderId="31" applyFont="1" applyNumberFormat="1" applyFill="0" applyBorder="1" applyAlignment="0">
      <alignment horizontal="general" vertical="bottom" textRotation="0" wrapText="false" shrinkToFit="false"/>
    </xf>
    <xf xfId="0" fontId="9" numFmtId="164" fillId="0" borderId="32" applyFont="1" applyNumberFormat="1" applyFill="0" applyBorder="1" applyAlignment="0">
      <alignment horizontal="general" vertical="bottom" textRotation="0" wrapText="false" shrinkToFit="false"/>
    </xf>
    <xf xfId="0" fontId="9" numFmtId="164" fillId="0" borderId="33" applyFont="1" applyNumberFormat="1" applyFill="0" applyBorder="1" applyAlignment="0">
      <alignment horizontal="general" vertical="bottom" textRotation="0" wrapText="false" shrinkToFit="false"/>
    </xf>
    <xf xfId="0" fontId="10" numFmtId="165" fillId="0" borderId="7" applyFont="1" applyNumberFormat="1" applyFill="0" applyBorder="1" applyAlignment="0">
      <alignment horizontal="general" vertical="bottom" textRotation="0" wrapText="false" shrinkToFit="false"/>
    </xf>
    <xf xfId="0" fontId="10" numFmtId="165" fillId="6" borderId="25" applyFont="1" applyNumberFormat="1" applyFill="1" applyBorder="1" applyAlignment="0">
      <alignment horizontal="general" vertical="bottom" textRotation="0" wrapText="false" shrinkToFit="false"/>
    </xf>
    <xf xfId="0" fontId="10" numFmtId="165" fillId="6" borderId="26" applyFont="1" applyNumberFormat="1" applyFill="1" applyBorder="1" applyAlignment="0">
      <alignment horizontal="general" vertical="bottom" textRotation="0" wrapText="false" shrinkToFit="false"/>
    </xf>
    <xf xfId="0" fontId="10" numFmtId="165" fillId="6" borderId="27" applyFont="1" applyNumberFormat="1" applyFill="1" applyBorder="1" applyAlignment="0">
      <alignment horizontal="general" vertical="bottom" textRotation="0" wrapText="false" shrinkToFit="false"/>
    </xf>
    <xf xfId="0" fontId="13" numFmtId="0" fillId="0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1">
      <alignment horizontal="left" vertical="bottom" textRotation="0" wrapText="false" shrinkToFit="false"/>
    </xf>
    <xf xfId="0" fontId="0" numFmtId="0" fillId="2" borderId="2" applyFont="0" applyNumberFormat="0" applyFill="1" applyBorder="1" applyAlignment="1">
      <alignment horizontal="left" vertical="bottom" textRotation="0" wrapText="false" shrinkToFit="false"/>
    </xf>
    <xf xfId="0" fontId="14" numFmtId="0" fillId="2" borderId="2" applyFont="1" applyNumberFormat="0" applyFill="1" applyBorder="1" applyAlignment="1">
      <alignment horizontal="left" vertical="bottom" textRotation="0" wrapText="false" shrinkToFit="false"/>
    </xf>
    <xf xfId="0" fontId="11" numFmtId="0" fillId="5" borderId="11" applyFont="1" applyNumberFormat="0" applyFill="1" applyBorder="1" applyAlignment="1">
      <alignment horizontal="center" vertical="center" textRotation="0" wrapText="false" shrinkToFit="false"/>
    </xf>
    <xf xfId="0" fontId="11" numFmtId="0" fillId="5" borderId="17" applyFont="1" applyNumberFormat="0" applyFill="1" applyBorder="1" applyAlignment="1">
      <alignment horizontal="center" vertical="center" textRotation="0" wrapText="false" shrinkToFit="false"/>
    </xf>
    <xf xfId="0" fontId="15" numFmtId="0" fillId="0" borderId="0" applyFont="1" applyNumberFormat="0" applyFill="0" applyBorder="0" applyAlignment="1">
      <alignment horizontal="center" vertical="center" textRotation="0" wrapText="false" shrinkToFit="false"/>
    </xf>
    <xf xfId="0" fontId="16" numFmtId="0" fillId="0" borderId="0" applyFont="1" applyNumberFormat="0" applyFill="0" applyBorder="0" applyAlignment="1">
      <alignment horizontal="center" vertical="top" textRotation="180" wrapText="false" shrinkToFit="false"/>
    </xf>
    <xf xfId="0" fontId="17" numFmtId="0" fillId="0" borderId="0" applyFont="1" applyNumberFormat="0" applyFill="0" applyBorder="0" applyAlignment="1">
      <alignment horizontal="center" vertical="top" textRotation="180" wrapText="false" shrinkToFit="false"/>
    </xf>
    <xf xfId="0" fontId="8" numFmtId="0" fillId="5" borderId="31" applyFont="1" applyNumberFormat="0" applyFill="1" applyBorder="1" applyAlignment="1">
      <alignment horizontal="center" vertical="center" textRotation="0" wrapText="false" shrinkToFit="false"/>
    </xf>
    <xf xfId="0" fontId="0" numFmtId="0" fillId="0" borderId="38" applyFont="0" applyNumberFormat="0" applyFill="0" applyBorder="1" applyAlignment="1">
      <alignment horizontal="center" vertical="center" textRotation="0" wrapText="false" shrinkToFit="false"/>
    </xf>
    <xf xfId="0" fontId="8" numFmtId="0" fillId="5" borderId="22" applyFont="1" applyNumberFormat="0" applyFill="1" applyBorder="1" applyAlignment="1">
      <alignment horizontal="center" vertical="center" textRotation="0" wrapText="false" shrinkToFit="false"/>
    </xf>
    <xf xfId="0" fontId="0" numFmtId="0" fillId="0" borderId="39" applyFont="0" applyNumberFormat="0" applyFill="0" applyBorder="1" applyAlignment="1">
      <alignment horizontal="center" vertical="center" textRotation="0" wrapText="false" shrinkToFit="false"/>
    </xf>
    <xf xfId="0" fontId="8" numFmtId="0" fillId="5" borderId="25" applyFont="1" applyNumberFormat="0" applyFill="1" applyBorder="1" applyAlignment="1">
      <alignment horizontal="center" vertical="center" textRotation="0" wrapText="false" shrinkToFit="false"/>
    </xf>
    <xf xfId="0" fontId="0" numFmtId="0" fillId="0" borderId="40" applyFont="0" applyNumberFormat="0" applyFill="0" applyBorder="1" applyAlignment="1">
      <alignment horizontal="center" vertical="center" textRotation="0" wrapText="false" shrinkToFit="false"/>
    </xf>
    <xf xfId="0" fontId="11" numFmtId="0" fillId="5" borderId="31" applyFont="1" applyNumberFormat="0" applyFill="1" applyBorder="1" applyAlignment="1">
      <alignment horizontal="center" vertical="center" textRotation="0" wrapText="false" shrinkToFit="false"/>
    </xf>
    <xf xfId="0" fontId="8" numFmtId="164" fillId="7" borderId="38" applyFont="1" applyNumberFormat="1" applyFill="1" applyBorder="1" applyAlignment="1">
      <alignment horizontal="center" vertical="center" textRotation="0" wrapText="false" shrinkToFit="false"/>
    </xf>
    <xf xfId="0" fontId="11" numFmtId="0" fillId="8" borderId="22" applyFont="1" applyNumberFormat="0" applyFill="1" applyBorder="1" applyAlignment="1">
      <alignment horizontal="center" vertical="center" textRotation="0" wrapText="false" shrinkToFit="false"/>
    </xf>
    <xf xfId="0" fontId="8" numFmtId="165" fillId="9" borderId="39" applyFont="1" applyNumberFormat="1" applyFill="1" applyBorder="1" applyAlignment="1">
      <alignment horizontal="center" vertical="center" textRotation="0" wrapText="false" shrinkToFit="false"/>
    </xf>
    <xf xfId="0" fontId="8" numFmtId="164" fillId="7" borderId="39" applyFont="1" applyNumberFormat="1" applyFill="1" applyBorder="1" applyAlignment="1">
      <alignment horizontal="center" vertical="center" textRotation="0" wrapText="false" shrinkToFit="false"/>
    </xf>
    <xf xfId="0" fontId="11" numFmtId="0" fillId="5" borderId="22" applyFont="1" applyNumberFormat="0" applyFill="1" applyBorder="1" applyAlignment="1">
      <alignment horizontal="center" vertical="center" textRotation="0" wrapText="false" shrinkToFit="false"/>
    </xf>
    <xf xfId="0" fontId="11" numFmtId="0" fillId="8" borderId="25" applyFont="1" applyNumberFormat="0" applyFill="1" applyBorder="1" applyAlignment="1">
      <alignment horizontal="center" vertical="center" textRotation="0" wrapText="false" shrinkToFit="false"/>
    </xf>
    <xf xfId="0" fontId="8" numFmtId="165" fillId="9" borderId="40" applyFont="1" applyNumberFormat="1" applyFill="1" applyBorder="1" applyAlignment="1">
      <alignment horizontal="center" vertical="center" textRotation="0" wrapText="false" shrinkToFit="false"/>
    </xf>
    <xf xfId="0" fontId="9" numFmtId="0" fillId="0" borderId="31" applyFont="1" applyNumberFormat="0" applyFill="0" applyBorder="1" applyAlignment="1">
      <alignment horizontal="left" vertical="center" textRotation="0" wrapText="false" shrinkToFit="false"/>
    </xf>
    <xf xfId="0" fontId="9" numFmtId="0" fillId="0" borderId="32" applyFont="1" applyNumberFormat="0" applyFill="0" applyBorder="1" applyAlignment="1">
      <alignment horizontal="left" vertical="center" textRotation="0" wrapText="false" shrinkToFit="false"/>
    </xf>
    <xf xfId="0" fontId="9" numFmtId="0" fillId="0" borderId="33" applyFont="1" applyNumberFormat="0" applyFill="0" applyBorder="1" applyAlignment="1">
      <alignment horizontal="left" vertical="center" textRotation="0" wrapText="false" shrinkToFit="false"/>
    </xf>
    <xf xfId="0" fontId="9" numFmtId="0" fillId="0" borderId="22" applyFont="1" applyNumberFormat="0" applyFill="0" applyBorder="1" applyAlignment="1">
      <alignment horizontal="left" vertical="center" textRotation="0" wrapText="false" shrinkToFit="false"/>
    </xf>
    <xf xfId="0" fontId="9" numFmtId="0" fillId="0" borderId="23" applyFont="1" applyNumberFormat="0" applyFill="0" applyBorder="1" applyAlignment="1">
      <alignment horizontal="left" vertical="center" textRotation="0" wrapText="false" shrinkToFit="false"/>
    </xf>
    <xf xfId="0" fontId="9" numFmtId="0" fillId="0" borderId="24" applyFont="1" applyNumberFormat="0" applyFill="0" applyBorder="1" applyAlignment="1">
      <alignment horizontal="left" vertical="center" textRotation="0" wrapText="false" shrinkToFit="false"/>
    </xf>
    <xf xfId="0" fontId="9" numFmtId="0" fillId="0" borderId="25" applyFont="1" applyNumberFormat="0" applyFill="0" applyBorder="1" applyAlignment="1">
      <alignment horizontal="left" vertical="center" textRotation="0" wrapText="false" shrinkToFit="false"/>
    </xf>
    <xf xfId="0" fontId="9" numFmtId="0" fillId="0" borderId="26" applyFont="1" applyNumberFormat="0" applyFill="0" applyBorder="1" applyAlignment="1">
      <alignment horizontal="left" vertical="center" textRotation="0" wrapText="false" shrinkToFit="false"/>
    </xf>
    <xf xfId="0" fontId="9" numFmtId="166" fillId="0" borderId="26" applyFont="1" applyNumberFormat="1" applyFill="0" applyBorder="1" applyAlignment="1">
      <alignment horizontal="left" vertical="center" textRotation="0" wrapText="false" shrinkToFit="false"/>
    </xf>
    <xf xfId="0" fontId="9" numFmtId="0" fillId="0" borderId="27" applyFont="1" applyNumberFormat="0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O833"/>
  <sheetViews>
    <sheetView tabSelected="1" workbookViewId="0" zoomScale="91" showGridLines="false" showRowColHeaders="1">
      <pane ySplit="12" topLeftCell="A13" activePane="bottomLeft" state="frozen"/>
      <selection pane="bottomLeft" activeCell="A13" sqref="A13"/>
    </sheetView>
  </sheetViews>
  <sheetFormatPr defaultRowHeight="14.4" outlineLevelRow="1" outlineLevelCol="0"/>
  <cols>
    <col min="1" max="1" width="2" customWidth="true" style="0"/>
    <col min="2" max="2" width="5" customWidth="true" style="0"/>
    <col min="3" max="3" width="8" customWidth="true" style="0"/>
    <col min="5" max="5" width="11" customWidth="true" style="0"/>
    <col min="6" max="6" width="19" customWidth="true" style="0"/>
    <col min="7" max="7" width="17" customWidth="true" style="0"/>
    <col min="8" max="8" width="30" customWidth="true" style="0"/>
    <col min="9" max="9" width="21" customWidth="true" style="0"/>
    <col min="10" max="10" width="12" customWidth="true" style="0"/>
    <col min="11" max="11" width="12" customWidth="true" style="0"/>
    <col min="12" max="12" width="12" customWidth="true" style="0"/>
    <col min="13" max="13" width="14.29" customWidth="true" style="0"/>
    <col min="14" max="14" width="12" customWidth="true" style="0"/>
    <col min="15" max="15" width="14.29" customWidth="true" style="0"/>
  </cols>
  <sheetData>
    <row r="1" spans="1:15" customHeight="1" ht="10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</row>
    <row r="2" spans="1:15" customHeight="1" ht="10">
      <c r="A2" s="11"/>
      <c r="B2" s="12"/>
      <c r="C2" s="46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5"/>
    </row>
    <row r="3" spans="1:15">
      <c r="A3" s="11"/>
      <c r="B3" s="13"/>
      <c r="C3" s="47" t="s">
        <v>0</v>
      </c>
      <c r="D3" s="11"/>
      <c r="E3" s="11"/>
      <c r="F3" s="11"/>
      <c r="G3" s="11"/>
      <c r="H3" s="11"/>
      <c r="I3" s="11"/>
      <c r="J3" s="50" t="s">
        <v>1</v>
      </c>
      <c r="K3" s="16"/>
      <c r="L3" s="16"/>
      <c r="M3" s="16"/>
      <c r="N3" s="16"/>
      <c r="O3" s="17"/>
    </row>
    <row r="4" spans="1:15">
      <c r="A4" s="11"/>
      <c r="B4" s="13"/>
      <c r="C4" s="48"/>
      <c r="D4" s="18"/>
      <c r="E4" s="18"/>
      <c r="F4" s="18"/>
      <c r="G4" s="18"/>
      <c r="H4" s="18"/>
      <c r="I4" s="11"/>
      <c r="J4" s="20" t="s">
        <v>2</v>
      </c>
      <c r="K4" s="23"/>
      <c r="L4" s="42" t="str">
        <f>SUBTOTAL(9,J13:J827)</f>
        <v>0</v>
      </c>
      <c r="M4" s="23"/>
      <c r="N4" s="23"/>
      <c r="O4" s="26" t="s">
        <v>3</v>
      </c>
    </row>
    <row r="5" spans="1:15">
      <c r="A5" s="11"/>
      <c r="B5" s="13"/>
      <c r="C5" s="49" t="s">
        <v>4</v>
      </c>
      <c r="D5" s="11"/>
      <c r="E5" s="11"/>
      <c r="F5" s="11"/>
      <c r="G5" s="11"/>
      <c r="H5" s="11"/>
      <c r="I5" s="11"/>
      <c r="J5" s="21" t="s">
        <v>5</v>
      </c>
      <c r="K5" s="24"/>
      <c r="L5" s="43" t="str">
        <f>SUBTOTAL(9,K13:K827)</f>
        <v>0</v>
      </c>
      <c r="M5" s="24"/>
      <c r="N5" s="24"/>
      <c r="O5" s="27" t="s">
        <v>3</v>
      </c>
    </row>
    <row r="6" spans="1:15">
      <c r="A6" s="11"/>
      <c r="B6" s="13"/>
      <c r="C6" s="19"/>
      <c r="D6" s="19"/>
      <c r="E6" s="19"/>
      <c r="F6" s="19"/>
      <c r="G6" s="19"/>
      <c r="H6" s="19"/>
      <c r="I6" s="11"/>
      <c r="J6" s="21" t="s">
        <v>6</v>
      </c>
      <c r="K6" s="24"/>
      <c r="L6" s="43" t="str">
        <f>SUBTOTAL(9,L13:L827)</f>
        <v>0</v>
      </c>
      <c r="M6" s="24"/>
      <c r="N6" s="24"/>
      <c r="O6" s="27" t="s">
        <v>3</v>
      </c>
    </row>
    <row r="7" spans="1:15">
      <c r="A7" s="11"/>
      <c r="B7" s="13"/>
      <c r="C7" s="11"/>
      <c r="D7" s="11"/>
      <c r="E7" s="11"/>
      <c r="F7" s="11"/>
      <c r="G7" s="11"/>
      <c r="H7" s="11"/>
      <c r="I7" s="11"/>
      <c r="J7" s="21" t="s">
        <v>7</v>
      </c>
      <c r="K7" s="24"/>
      <c r="L7" s="44" t="str">
        <f>SUBTOTAL(9,M13:M827)</f>
        <v>0</v>
      </c>
      <c r="M7" s="24"/>
      <c r="N7" s="24"/>
      <c r="O7" s="27" t="s">
        <v>8</v>
      </c>
    </row>
    <row r="8" spans="1:15">
      <c r="A8" s="11"/>
      <c r="B8" s="13"/>
      <c r="C8" s="11"/>
      <c r="D8" s="11"/>
      <c r="E8" s="11"/>
      <c r="F8" s="11"/>
      <c r="G8" s="11"/>
      <c r="H8" s="11"/>
      <c r="I8" s="11"/>
      <c r="J8" s="21" t="s">
        <v>9</v>
      </c>
      <c r="K8" s="24"/>
      <c r="L8" s="43" t="str">
        <f>SUBTOTAL(9,N13:N827)</f>
        <v>0</v>
      </c>
      <c r="M8" s="24"/>
      <c r="N8" s="24"/>
      <c r="O8" s="27" t="s">
        <v>3</v>
      </c>
    </row>
    <row r="9" spans="1:15">
      <c r="A9" s="11"/>
      <c r="B9" s="13"/>
      <c r="C9" s="11"/>
      <c r="D9" s="11"/>
      <c r="E9" s="11"/>
      <c r="F9" s="11"/>
      <c r="G9" s="11"/>
      <c r="H9" s="11"/>
      <c r="I9" s="11"/>
      <c r="J9" s="22" t="s">
        <v>10</v>
      </c>
      <c r="K9" s="25"/>
      <c r="L9" s="45" t="str">
        <f>SUBTOTAL(9,O13:O827)</f>
        <v>0</v>
      </c>
      <c r="M9" s="25"/>
      <c r="N9" s="25"/>
      <c r="O9" s="28" t="s">
        <v>8</v>
      </c>
    </row>
    <row r="10" spans="1:15" customHeight="1" ht="10">
      <c r="A10" s="11"/>
      <c r="B10" s="13"/>
      <c r="C10" s="11"/>
      <c r="D10" s="11"/>
      <c r="E10" s="11"/>
      <c r="F10" s="11"/>
      <c r="G10" s="11"/>
      <c r="H10" s="11"/>
      <c r="I10" s="11"/>
      <c r="J10" s="29"/>
      <c r="K10" s="29"/>
      <c r="L10" s="29"/>
      <c r="M10" s="29"/>
      <c r="N10" s="29"/>
      <c r="O10" s="30"/>
    </row>
    <row r="11" spans="1:15">
      <c r="B11" s="51" t="s">
        <v>11</v>
      </c>
      <c r="C11" s="52" t="s">
        <v>12</v>
      </c>
      <c r="D11" s="52" t="s">
        <v>13</v>
      </c>
      <c r="E11" s="52" t="s">
        <v>14</v>
      </c>
      <c r="F11" s="52" t="s">
        <v>15</v>
      </c>
      <c r="G11" s="52" t="s">
        <v>16</v>
      </c>
      <c r="H11" s="52" t="s">
        <v>17</v>
      </c>
      <c r="I11" s="52" t="s">
        <v>18</v>
      </c>
      <c r="J11" s="52" t="s">
        <v>2</v>
      </c>
      <c r="K11" s="52" t="s">
        <v>5</v>
      </c>
      <c r="L11" s="52" t="s">
        <v>6</v>
      </c>
      <c r="M11" s="52" t="s">
        <v>7</v>
      </c>
      <c r="N11" s="52" t="s">
        <v>19</v>
      </c>
      <c r="O11" s="53" t="s">
        <v>20</v>
      </c>
    </row>
    <row r="12" spans="1:15" customHeight="1" ht="10">
      <c r="B12" s="2"/>
      <c r="C12"/>
      <c r="D12"/>
      <c r="E12"/>
      <c r="F12"/>
      <c r="G12"/>
      <c r="H12"/>
      <c r="I12"/>
      <c r="J12"/>
      <c r="K12"/>
      <c r="L12"/>
      <c r="M12"/>
      <c r="N12"/>
      <c r="O12" s="7"/>
    </row>
    <row r="13" spans="1:15">
      <c r="B13" s="54">
        <v>1</v>
      </c>
      <c r="C13" s="57">
        <v>51</v>
      </c>
      <c r="D13" s="57" t="s">
        <v>21</v>
      </c>
      <c r="E13" s="57" t="s">
        <v>22</v>
      </c>
      <c r="F13" s="57" t="s">
        <v>23</v>
      </c>
      <c r="G13" s="57" t="s">
        <v>24</v>
      </c>
      <c r="H13" s="57" t="s">
        <v>25</v>
      </c>
      <c r="I13" s="57" t="s">
        <v>26</v>
      </c>
      <c r="J13" s="33">
        <v>0</v>
      </c>
      <c r="K13" s="33">
        <v>0</v>
      </c>
      <c r="L13" s="33">
        <v>0</v>
      </c>
      <c r="M13" s="36">
        <v>0</v>
      </c>
      <c r="N13" s="33">
        <v>0</v>
      </c>
      <c r="O13" s="39">
        <v>0</v>
      </c>
    </row>
    <row r="14" spans="1:15">
      <c r="B14" s="55">
        <v>2</v>
      </c>
      <c r="C14" s="58">
        <v>51</v>
      </c>
      <c r="D14" s="58" t="s">
        <v>21</v>
      </c>
      <c r="E14" s="58" t="s">
        <v>22</v>
      </c>
      <c r="F14" s="58" t="s">
        <v>23</v>
      </c>
      <c r="G14" s="58" t="s">
        <v>27</v>
      </c>
      <c r="H14" s="58" t="s">
        <v>28</v>
      </c>
      <c r="I14" s="58" t="s">
        <v>28</v>
      </c>
      <c r="J14" s="34">
        <v>0</v>
      </c>
      <c r="K14" s="34">
        <v>0</v>
      </c>
      <c r="L14" s="34">
        <v>0</v>
      </c>
      <c r="M14" s="37">
        <v>0</v>
      </c>
      <c r="N14" s="34">
        <v>0</v>
      </c>
      <c r="O14" s="40">
        <v>0</v>
      </c>
    </row>
    <row r="15" spans="1:15">
      <c r="B15" s="55">
        <v>3</v>
      </c>
      <c r="C15" s="58">
        <v>51</v>
      </c>
      <c r="D15" s="58" t="s">
        <v>21</v>
      </c>
      <c r="E15" s="58" t="s">
        <v>22</v>
      </c>
      <c r="F15" s="58" t="s">
        <v>23</v>
      </c>
      <c r="G15" s="58" t="s">
        <v>29</v>
      </c>
      <c r="H15" s="58" t="s">
        <v>30</v>
      </c>
      <c r="I15" s="58" t="s">
        <v>30</v>
      </c>
      <c r="J15" s="34">
        <v>9389</v>
      </c>
      <c r="K15" s="34">
        <v>8607</v>
      </c>
      <c r="L15" s="34">
        <v>-782</v>
      </c>
      <c r="M15" s="37">
        <v>0</v>
      </c>
      <c r="N15" s="34">
        <v>20294</v>
      </c>
      <c r="O15" s="40">
        <v>0</v>
      </c>
    </row>
    <row r="16" spans="1:15">
      <c r="B16" s="55">
        <v>4</v>
      </c>
      <c r="C16" s="58">
        <v>51</v>
      </c>
      <c r="D16" s="58" t="s">
        <v>21</v>
      </c>
      <c r="E16" s="58" t="s">
        <v>22</v>
      </c>
      <c r="F16" s="58" t="s">
        <v>23</v>
      </c>
      <c r="G16" s="58" t="s">
        <v>31</v>
      </c>
      <c r="H16" s="58" t="s">
        <v>32</v>
      </c>
      <c r="I16" s="58" t="s">
        <v>32</v>
      </c>
      <c r="J16" s="34">
        <v>0</v>
      </c>
      <c r="K16" s="34">
        <v>0</v>
      </c>
      <c r="L16" s="34">
        <v>0</v>
      </c>
      <c r="M16" s="37">
        <v>0</v>
      </c>
      <c r="N16" s="34">
        <v>3016</v>
      </c>
      <c r="O16" s="40">
        <v>0</v>
      </c>
    </row>
    <row r="17" spans="1:15">
      <c r="B17" s="55">
        <v>5</v>
      </c>
      <c r="C17" s="58">
        <v>51</v>
      </c>
      <c r="D17" s="58" t="s">
        <v>21</v>
      </c>
      <c r="E17" s="58" t="s">
        <v>22</v>
      </c>
      <c r="F17" s="58" t="s">
        <v>23</v>
      </c>
      <c r="G17" s="58" t="s">
        <v>33</v>
      </c>
      <c r="H17" s="58" t="s">
        <v>34</v>
      </c>
      <c r="I17" s="58" t="s">
        <v>34</v>
      </c>
      <c r="J17" s="34">
        <v>0</v>
      </c>
      <c r="K17" s="34">
        <v>0</v>
      </c>
      <c r="L17" s="34">
        <v>0</v>
      </c>
      <c r="M17" s="37">
        <v>0</v>
      </c>
      <c r="N17" s="34">
        <v>4652</v>
      </c>
      <c r="O17" s="40">
        <v>0</v>
      </c>
    </row>
    <row r="18" spans="1:15">
      <c r="B18" s="55">
        <v>6</v>
      </c>
      <c r="C18" s="58">
        <v>51</v>
      </c>
      <c r="D18" s="58" t="s">
        <v>21</v>
      </c>
      <c r="E18" s="58" t="s">
        <v>22</v>
      </c>
      <c r="F18" s="58" t="s">
        <v>23</v>
      </c>
      <c r="G18" s="58" t="s">
        <v>35</v>
      </c>
      <c r="H18" s="58" t="s">
        <v>36</v>
      </c>
      <c r="I18" s="58" t="s">
        <v>36</v>
      </c>
      <c r="J18" s="34">
        <v>8889</v>
      </c>
      <c r="K18" s="34">
        <v>8889</v>
      </c>
      <c r="L18" s="34">
        <v>0</v>
      </c>
      <c r="M18" s="37">
        <v>0</v>
      </c>
      <c r="N18" s="34">
        <v>10060</v>
      </c>
      <c r="O18" s="40">
        <v>0</v>
      </c>
    </row>
    <row r="19" spans="1:15">
      <c r="B19" s="55">
        <v>7</v>
      </c>
      <c r="C19" s="58">
        <v>51</v>
      </c>
      <c r="D19" s="58" t="s">
        <v>21</v>
      </c>
      <c r="E19" s="58" t="s">
        <v>22</v>
      </c>
      <c r="F19" s="58" t="s">
        <v>23</v>
      </c>
      <c r="G19" s="58" t="s">
        <v>37</v>
      </c>
      <c r="H19" s="58" t="s">
        <v>38</v>
      </c>
      <c r="I19" s="58" t="s">
        <v>38</v>
      </c>
      <c r="J19" s="34">
        <v>5946</v>
      </c>
      <c r="K19" s="34">
        <v>5946</v>
      </c>
      <c r="L19" s="34">
        <v>0</v>
      </c>
      <c r="M19" s="37">
        <v>0</v>
      </c>
      <c r="N19" s="34">
        <v>15600</v>
      </c>
      <c r="O19" s="40">
        <v>0</v>
      </c>
    </row>
    <row r="20" spans="1:15">
      <c r="B20" s="55">
        <v>8</v>
      </c>
      <c r="C20" s="58">
        <v>51</v>
      </c>
      <c r="D20" s="58" t="s">
        <v>21</v>
      </c>
      <c r="E20" s="58" t="s">
        <v>22</v>
      </c>
      <c r="F20" s="58" t="s">
        <v>23</v>
      </c>
      <c r="G20" s="58" t="s">
        <v>39</v>
      </c>
      <c r="H20" s="58" t="s">
        <v>40</v>
      </c>
      <c r="I20" s="58" t="s">
        <v>40</v>
      </c>
      <c r="J20" s="34">
        <v>2122</v>
      </c>
      <c r="K20" s="34">
        <v>2122</v>
      </c>
      <c r="L20" s="34">
        <v>0</v>
      </c>
      <c r="M20" s="37">
        <v>0</v>
      </c>
      <c r="N20" s="34">
        <v>4244</v>
      </c>
      <c r="O20" s="40">
        <v>0</v>
      </c>
    </row>
    <row r="21" spans="1:15">
      <c r="B21" s="55">
        <v>9</v>
      </c>
      <c r="C21" s="58">
        <v>51</v>
      </c>
      <c r="D21" s="58" t="s">
        <v>21</v>
      </c>
      <c r="E21" s="58" t="s">
        <v>22</v>
      </c>
      <c r="F21" s="58" t="s">
        <v>23</v>
      </c>
      <c r="G21" s="58" t="s">
        <v>41</v>
      </c>
      <c r="H21" s="58" t="s">
        <v>42</v>
      </c>
      <c r="I21" s="58" t="s">
        <v>42</v>
      </c>
      <c r="J21" s="34">
        <v>2322</v>
      </c>
      <c r="K21" s="34">
        <v>2322</v>
      </c>
      <c r="L21" s="34">
        <v>0</v>
      </c>
      <c r="M21" s="37">
        <v>0</v>
      </c>
      <c r="N21" s="34">
        <v>1880</v>
      </c>
      <c r="O21" s="40">
        <v>0</v>
      </c>
    </row>
    <row r="22" spans="1:15">
      <c r="B22" s="55">
        <v>10</v>
      </c>
      <c r="C22" s="58">
        <v>51</v>
      </c>
      <c r="D22" s="58" t="s">
        <v>21</v>
      </c>
      <c r="E22" s="58" t="s">
        <v>22</v>
      </c>
      <c r="F22" s="58" t="s">
        <v>23</v>
      </c>
      <c r="G22" s="58" t="s">
        <v>43</v>
      </c>
      <c r="H22" s="58" t="s">
        <v>44</v>
      </c>
      <c r="I22" s="58" t="s">
        <v>44</v>
      </c>
      <c r="J22" s="34">
        <v>0</v>
      </c>
      <c r="K22" s="34">
        <v>0</v>
      </c>
      <c r="L22" s="34">
        <v>0</v>
      </c>
      <c r="M22" s="37">
        <v>0</v>
      </c>
      <c r="N22" s="34">
        <v>0</v>
      </c>
      <c r="O22" s="40">
        <v>0</v>
      </c>
    </row>
    <row r="23" spans="1:15">
      <c r="B23" s="55">
        <v>11</v>
      </c>
      <c r="C23" s="58">
        <v>51</v>
      </c>
      <c r="D23" s="58" t="s">
        <v>21</v>
      </c>
      <c r="E23" s="58" t="s">
        <v>22</v>
      </c>
      <c r="F23" s="58" t="s">
        <v>23</v>
      </c>
      <c r="G23" s="58" t="s">
        <v>45</v>
      </c>
      <c r="H23" s="58" t="s">
        <v>46</v>
      </c>
      <c r="I23" s="58" t="s">
        <v>46</v>
      </c>
      <c r="J23" s="34">
        <v>0</v>
      </c>
      <c r="K23" s="34">
        <v>0</v>
      </c>
      <c r="L23" s="34">
        <v>0</v>
      </c>
      <c r="M23" s="37">
        <v>0</v>
      </c>
      <c r="N23" s="34">
        <v>0</v>
      </c>
      <c r="O23" s="40">
        <v>0</v>
      </c>
    </row>
    <row r="24" spans="1:15">
      <c r="B24" s="55">
        <v>12</v>
      </c>
      <c r="C24" s="58">
        <v>51</v>
      </c>
      <c r="D24" s="58" t="s">
        <v>21</v>
      </c>
      <c r="E24" s="58" t="s">
        <v>22</v>
      </c>
      <c r="F24" s="58" t="s">
        <v>23</v>
      </c>
      <c r="G24" s="58" t="s">
        <v>47</v>
      </c>
      <c r="H24" s="58" t="s">
        <v>48</v>
      </c>
      <c r="I24" s="58" t="s">
        <v>48</v>
      </c>
      <c r="J24" s="34">
        <v>0</v>
      </c>
      <c r="K24" s="34">
        <v>0</v>
      </c>
      <c r="L24" s="34">
        <v>0</v>
      </c>
      <c r="M24" s="37">
        <v>0</v>
      </c>
      <c r="N24" s="34">
        <v>4320</v>
      </c>
      <c r="O24" s="40">
        <v>0</v>
      </c>
    </row>
    <row r="25" spans="1:15">
      <c r="B25" s="55">
        <v>13</v>
      </c>
      <c r="C25" s="58">
        <v>51</v>
      </c>
      <c r="D25" s="58" t="s">
        <v>21</v>
      </c>
      <c r="E25" s="58" t="s">
        <v>22</v>
      </c>
      <c r="F25" s="58" t="s">
        <v>23</v>
      </c>
      <c r="G25" s="58" t="s">
        <v>49</v>
      </c>
      <c r="H25" s="58" t="s">
        <v>50</v>
      </c>
      <c r="I25" s="58" t="s">
        <v>50</v>
      </c>
      <c r="J25" s="34">
        <v>900</v>
      </c>
      <c r="K25" s="34">
        <v>900</v>
      </c>
      <c r="L25" s="34">
        <v>0</v>
      </c>
      <c r="M25" s="37">
        <v>0</v>
      </c>
      <c r="N25" s="34">
        <v>0</v>
      </c>
      <c r="O25" s="40">
        <v>0</v>
      </c>
    </row>
    <row r="26" spans="1:15">
      <c r="B26" s="55">
        <v>14</v>
      </c>
      <c r="C26" s="58">
        <v>51</v>
      </c>
      <c r="D26" s="58" t="s">
        <v>21</v>
      </c>
      <c r="E26" s="58" t="s">
        <v>22</v>
      </c>
      <c r="F26" s="58" t="s">
        <v>23</v>
      </c>
      <c r="G26" s="58" t="s">
        <v>51</v>
      </c>
      <c r="H26" s="58" t="s">
        <v>52</v>
      </c>
      <c r="I26" s="58" t="s">
        <v>52</v>
      </c>
      <c r="J26" s="34">
        <v>0</v>
      </c>
      <c r="K26" s="34">
        <v>0</v>
      </c>
      <c r="L26" s="34">
        <v>0</v>
      </c>
      <c r="M26" s="37">
        <v>0</v>
      </c>
      <c r="N26" s="34">
        <v>0</v>
      </c>
      <c r="O26" s="40">
        <v>0</v>
      </c>
    </row>
    <row r="27" spans="1:15">
      <c r="B27" s="55">
        <v>15</v>
      </c>
      <c r="C27" s="58">
        <v>51</v>
      </c>
      <c r="D27" s="58" t="s">
        <v>21</v>
      </c>
      <c r="E27" s="58" t="s">
        <v>22</v>
      </c>
      <c r="F27" s="58" t="s">
        <v>23</v>
      </c>
      <c r="G27" s="58" t="s">
        <v>53</v>
      </c>
      <c r="H27" s="58" t="s">
        <v>54</v>
      </c>
      <c r="I27" s="58" t="s">
        <v>55</v>
      </c>
      <c r="J27" s="34">
        <v>15660</v>
      </c>
      <c r="K27" s="34">
        <v>15660</v>
      </c>
      <c r="L27" s="34">
        <v>0</v>
      </c>
      <c r="M27" s="37">
        <v>0</v>
      </c>
      <c r="N27" s="34">
        <v>23758</v>
      </c>
      <c r="O27" s="40">
        <v>0</v>
      </c>
    </row>
    <row r="28" spans="1:15">
      <c r="B28" s="55">
        <v>16</v>
      </c>
      <c r="C28" s="58">
        <v>51</v>
      </c>
      <c r="D28" s="58" t="s">
        <v>21</v>
      </c>
      <c r="E28" s="58" t="s">
        <v>22</v>
      </c>
      <c r="F28" s="58" t="s">
        <v>23</v>
      </c>
      <c r="G28" s="58" t="s">
        <v>56</v>
      </c>
      <c r="H28" s="58" t="s">
        <v>57</v>
      </c>
      <c r="I28" s="58"/>
      <c r="J28" s="34">
        <v>0</v>
      </c>
      <c r="K28" s="34">
        <v>0</v>
      </c>
      <c r="L28" s="34">
        <v>0</v>
      </c>
      <c r="M28" s="37">
        <v>0</v>
      </c>
      <c r="N28" s="34">
        <v>36</v>
      </c>
      <c r="O28" s="40">
        <v>0</v>
      </c>
    </row>
    <row r="29" spans="1:15">
      <c r="B29" s="55">
        <v>17</v>
      </c>
      <c r="C29" s="58">
        <v>51</v>
      </c>
      <c r="D29" s="58" t="s">
        <v>21</v>
      </c>
      <c r="E29" s="58" t="s">
        <v>58</v>
      </c>
      <c r="F29" s="58" t="s">
        <v>23</v>
      </c>
      <c r="G29" s="58" t="s">
        <v>59</v>
      </c>
      <c r="H29" s="58" t="s">
        <v>60</v>
      </c>
      <c r="I29" s="58" t="s">
        <v>60</v>
      </c>
      <c r="J29" s="34">
        <v>2900</v>
      </c>
      <c r="K29" s="34">
        <v>2900</v>
      </c>
      <c r="L29" s="34">
        <v>0</v>
      </c>
      <c r="M29" s="37">
        <v>0</v>
      </c>
      <c r="N29" s="34">
        <v>2250</v>
      </c>
      <c r="O29" s="40">
        <v>0</v>
      </c>
    </row>
    <row r="30" spans="1:15">
      <c r="B30" s="55">
        <v>18</v>
      </c>
      <c r="C30" s="58">
        <v>51</v>
      </c>
      <c r="D30" s="58" t="s">
        <v>21</v>
      </c>
      <c r="E30" s="58" t="s">
        <v>58</v>
      </c>
      <c r="F30" s="58" t="s">
        <v>23</v>
      </c>
      <c r="G30" s="58" t="s">
        <v>61</v>
      </c>
      <c r="H30" s="58" t="s">
        <v>62</v>
      </c>
      <c r="I30" s="58" t="s">
        <v>63</v>
      </c>
      <c r="J30" s="34">
        <v>0</v>
      </c>
      <c r="K30" s="34">
        <v>0</v>
      </c>
      <c r="L30" s="34">
        <v>0</v>
      </c>
      <c r="M30" s="37">
        <v>0</v>
      </c>
      <c r="N30" s="34">
        <v>0</v>
      </c>
      <c r="O30" s="40">
        <v>0</v>
      </c>
    </row>
    <row r="31" spans="1:15">
      <c r="B31" s="55">
        <v>19</v>
      </c>
      <c r="C31" s="58">
        <v>51</v>
      </c>
      <c r="D31" s="58" t="s">
        <v>21</v>
      </c>
      <c r="E31" s="58" t="s">
        <v>58</v>
      </c>
      <c r="F31" s="58" t="s">
        <v>23</v>
      </c>
      <c r="G31" s="58" t="s">
        <v>64</v>
      </c>
      <c r="H31" s="58" t="s">
        <v>65</v>
      </c>
      <c r="I31" s="58" t="s">
        <v>65</v>
      </c>
      <c r="J31" s="34">
        <v>3654</v>
      </c>
      <c r="K31" s="34">
        <v>3654</v>
      </c>
      <c r="L31" s="34">
        <v>0</v>
      </c>
      <c r="M31" s="37">
        <v>0</v>
      </c>
      <c r="N31" s="34">
        <v>8526</v>
      </c>
      <c r="O31" s="40">
        <v>0</v>
      </c>
    </row>
    <row r="32" spans="1:15">
      <c r="B32" s="55">
        <v>20</v>
      </c>
      <c r="C32" s="58">
        <v>51</v>
      </c>
      <c r="D32" s="58" t="s">
        <v>21</v>
      </c>
      <c r="E32" s="58" t="s">
        <v>58</v>
      </c>
      <c r="F32" s="58" t="s">
        <v>23</v>
      </c>
      <c r="G32" s="58" t="s">
        <v>66</v>
      </c>
      <c r="H32" s="58" t="s">
        <v>67</v>
      </c>
      <c r="I32" s="58" t="s">
        <v>67</v>
      </c>
      <c r="J32" s="34">
        <v>0</v>
      </c>
      <c r="K32" s="34">
        <v>0</v>
      </c>
      <c r="L32" s="34">
        <v>0</v>
      </c>
      <c r="M32" s="37">
        <v>0</v>
      </c>
      <c r="N32" s="34">
        <v>0</v>
      </c>
      <c r="O32" s="40">
        <v>0</v>
      </c>
    </row>
    <row r="33" spans="1:15">
      <c r="B33" s="55">
        <v>21</v>
      </c>
      <c r="C33" s="58">
        <v>51</v>
      </c>
      <c r="D33" s="58" t="s">
        <v>21</v>
      </c>
      <c r="E33" s="58" t="s">
        <v>58</v>
      </c>
      <c r="F33" s="58" t="s">
        <v>23</v>
      </c>
      <c r="G33" s="58" t="s">
        <v>68</v>
      </c>
      <c r="H33" s="58" t="s">
        <v>69</v>
      </c>
      <c r="I33" s="58" t="s">
        <v>69</v>
      </c>
      <c r="J33" s="34">
        <v>0</v>
      </c>
      <c r="K33" s="34">
        <v>0</v>
      </c>
      <c r="L33" s="34">
        <v>0</v>
      </c>
      <c r="M33" s="37">
        <v>0</v>
      </c>
      <c r="N33" s="34">
        <v>250</v>
      </c>
      <c r="O33" s="40">
        <v>0</v>
      </c>
    </row>
    <row r="34" spans="1:15">
      <c r="B34" s="55">
        <v>22</v>
      </c>
      <c r="C34" s="58">
        <v>51</v>
      </c>
      <c r="D34" s="58" t="s">
        <v>21</v>
      </c>
      <c r="E34" s="58" t="s">
        <v>58</v>
      </c>
      <c r="F34" s="58" t="s">
        <v>23</v>
      </c>
      <c r="G34" s="58" t="s">
        <v>29</v>
      </c>
      <c r="H34" s="58" t="s">
        <v>30</v>
      </c>
      <c r="I34" s="58" t="s">
        <v>30</v>
      </c>
      <c r="J34" s="34">
        <v>0</v>
      </c>
      <c r="K34" s="34">
        <v>646</v>
      </c>
      <c r="L34" s="34">
        <v>646</v>
      </c>
      <c r="M34" s="37">
        <v>0</v>
      </c>
      <c r="N34" s="34">
        <v>20294</v>
      </c>
      <c r="O34" s="40">
        <v>0</v>
      </c>
    </row>
    <row r="35" spans="1:15">
      <c r="B35" s="55">
        <v>23</v>
      </c>
      <c r="C35" s="58">
        <v>51</v>
      </c>
      <c r="D35" s="58" t="s">
        <v>21</v>
      </c>
      <c r="E35" s="58" t="s">
        <v>58</v>
      </c>
      <c r="F35" s="58" t="s">
        <v>23</v>
      </c>
      <c r="G35" s="58" t="s">
        <v>70</v>
      </c>
      <c r="H35" s="58" t="s">
        <v>71</v>
      </c>
      <c r="I35" s="58" t="s">
        <v>71</v>
      </c>
      <c r="J35" s="34">
        <v>0</v>
      </c>
      <c r="K35" s="34">
        <v>0</v>
      </c>
      <c r="L35" s="34">
        <v>0</v>
      </c>
      <c r="M35" s="37">
        <v>0</v>
      </c>
      <c r="N35" s="34">
        <v>12672</v>
      </c>
      <c r="O35" s="40">
        <v>0</v>
      </c>
    </row>
    <row r="36" spans="1:15">
      <c r="B36" s="55">
        <v>24</v>
      </c>
      <c r="C36" s="58">
        <v>51</v>
      </c>
      <c r="D36" s="58" t="s">
        <v>21</v>
      </c>
      <c r="E36" s="58" t="s">
        <v>58</v>
      </c>
      <c r="F36" s="58" t="s">
        <v>23</v>
      </c>
      <c r="G36" s="58" t="s">
        <v>72</v>
      </c>
      <c r="H36" s="58" t="s">
        <v>30</v>
      </c>
      <c r="I36" s="58" t="s">
        <v>30</v>
      </c>
      <c r="J36" s="34">
        <v>0</v>
      </c>
      <c r="K36" s="34">
        <v>0</v>
      </c>
      <c r="L36" s="34">
        <v>0</v>
      </c>
      <c r="M36" s="37">
        <v>0</v>
      </c>
      <c r="N36" s="34">
        <v>0</v>
      </c>
      <c r="O36" s="40">
        <v>0</v>
      </c>
    </row>
    <row r="37" spans="1:15">
      <c r="B37" s="55">
        <v>25</v>
      </c>
      <c r="C37" s="58">
        <v>51</v>
      </c>
      <c r="D37" s="58" t="s">
        <v>21</v>
      </c>
      <c r="E37" s="58" t="s">
        <v>58</v>
      </c>
      <c r="F37" s="58" t="s">
        <v>23</v>
      </c>
      <c r="G37" s="58" t="s">
        <v>73</v>
      </c>
      <c r="H37" s="58" t="s">
        <v>25</v>
      </c>
      <c r="I37" s="58" t="s">
        <v>74</v>
      </c>
      <c r="J37" s="34">
        <v>0</v>
      </c>
      <c r="K37" s="34">
        <v>0</v>
      </c>
      <c r="L37" s="34">
        <v>0</v>
      </c>
      <c r="M37" s="37">
        <v>0</v>
      </c>
      <c r="N37" s="34">
        <v>0</v>
      </c>
      <c r="O37" s="40">
        <v>0</v>
      </c>
    </row>
    <row r="38" spans="1:15">
      <c r="B38" s="55">
        <v>26</v>
      </c>
      <c r="C38" s="58">
        <v>51</v>
      </c>
      <c r="D38" s="58" t="s">
        <v>21</v>
      </c>
      <c r="E38" s="58" t="s">
        <v>58</v>
      </c>
      <c r="F38" s="58" t="s">
        <v>23</v>
      </c>
      <c r="G38" s="58" t="s">
        <v>47</v>
      </c>
      <c r="H38" s="58" t="s">
        <v>48</v>
      </c>
      <c r="I38" s="58" t="s">
        <v>48</v>
      </c>
      <c r="J38" s="34">
        <v>0</v>
      </c>
      <c r="K38" s="34">
        <v>0</v>
      </c>
      <c r="L38" s="34">
        <v>0</v>
      </c>
      <c r="M38" s="37">
        <v>0</v>
      </c>
      <c r="N38" s="34">
        <v>4320</v>
      </c>
      <c r="O38" s="40">
        <v>0</v>
      </c>
    </row>
    <row r="39" spans="1:15">
      <c r="B39" s="55">
        <v>27</v>
      </c>
      <c r="C39" s="58">
        <v>51</v>
      </c>
      <c r="D39" s="58" t="s">
        <v>21</v>
      </c>
      <c r="E39" s="58" t="s">
        <v>58</v>
      </c>
      <c r="F39" s="58" t="s">
        <v>23</v>
      </c>
      <c r="G39" s="58" t="s">
        <v>33</v>
      </c>
      <c r="H39" s="58" t="s">
        <v>34</v>
      </c>
      <c r="I39" s="58" t="s">
        <v>34</v>
      </c>
      <c r="J39" s="34">
        <v>0</v>
      </c>
      <c r="K39" s="34">
        <v>0</v>
      </c>
      <c r="L39" s="34">
        <v>0</v>
      </c>
      <c r="M39" s="37">
        <v>0</v>
      </c>
      <c r="N39" s="34">
        <v>4652</v>
      </c>
      <c r="O39" s="40">
        <v>0</v>
      </c>
    </row>
    <row r="40" spans="1:15">
      <c r="B40" s="55">
        <v>28</v>
      </c>
      <c r="C40" s="58">
        <v>51</v>
      </c>
      <c r="D40" s="58" t="s">
        <v>21</v>
      </c>
      <c r="E40" s="58" t="s">
        <v>58</v>
      </c>
      <c r="F40" s="58" t="s">
        <v>23</v>
      </c>
      <c r="G40" s="58" t="s">
        <v>45</v>
      </c>
      <c r="H40" s="58" t="s">
        <v>46</v>
      </c>
      <c r="I40" s="58" t="s">
        <v>46</v>
      </c>
      <c r="J40" s="34">
        <v>0</v>
      </c>
      <c r="K40" s="34">
        <v>0</v>
      </c>
      <c r="L40" s="34">
        <v>0</v>
      </c>
      <c r="M40" s="37">
        <v>0</v>
      </c>
      <c r="N40" s="34">
        <v>0</v>
      </c>
      <c r="O40" s="40">
        <v>0</v>
      </c>
    </row>
    <row r="41" spans="1:15">
      <c r="B41" s="55">
        <v>29</v>
      </c>
      <c r="C41" s="58">
        <v>51</v>
      </c>
      <c r="D41" s="58" t="s">
        <v>21</v>
      </c>
      <c r="E41" s="58" t="s">
        <v>58</v>
      </c>
      <c r="F41" s="58" t="s">
        <v>23</v>
      </c>
      <c r="G41" s="58" t="s">
        <v>35</v>
      </c>
      <c r="H41" s="58" t="s">
        <v>36</v>
      </c>
      <c r="I41" s="58" t="s">
        <v>36</v>
      </c>
      <c r="J41" s="34">
        <v>0</v>
      </c>
      <c r="K41" s="34">
        <v>0</v>
      </c>
      <c r="L41" s="34">
        <v>0</v>
      </c>
      <c r="M41" s="37">
        <v>0</v>
      </c>
      <c r="N41" s="34">
        <v>10060</v>
      </c>
      <c r="O41" s="40">
        <v>0</v>
      </c>
    </row>
    <row r="42" spans="1:15">
      <c r="B42" s="55">
        <v>30</v>
      </c>
      <c r="C42" s="58">
        <v>51</v>
      </c>
      <c r="D42" s="58" t="s">
        <v>21</v>
      </c>
      <c r="E42" s="58" t="s">
        <v>58</v>
      </c>
      <c r="F42" s="58" t="s">
        <v>23</v>
      </c>
      <c r="G42" s="58" t="s">
        <v>75</v>
      </c>
      <c r="H42" s="58" t="s">
        <v>76</v>
      </c>
      <c r="I42" s="60" t="s">
        <v>76</v>
      </c>
      <c r="J42" s="34">
        <v>0</v>
      </c>
      <c r="K42" s="34">
        <v>0</v>
      </c>
      <c r="L42" s="34">
        <v>0</v>
      </c>
      <c r="M42" s="37">
        <v>0</v>
      </c>
      <c r="N42" s="34">
        <v>2900</v>
      </c>
      <c r="O42" s="40">
        <v>0</v>
      </c>
    </row>
    <row r="43" spans="1:15">
      <c r="B43" s="55">
        <v>31</v>
      </c>
      <c r="C43" s="58">
        <v>51</v>
      </c>
      <c r="D43" s="58" t="s">
        <v>21</v>
      </c>
      <c r="E43" s="58" t="s">
        <v>58</v>
      </c>
      <c r="F43" s="58" t="s">
        <v>23</v>
      </c>
      <c r="G43" s="58" t="s">
        <v>77</v>
      </c>
      <c r="H43" s="58" t="s">
        <v>78</v>
      </c>
      <c r="I43" s="58" t="s">
        <v>78</v>
      </c>
      <c r="J43" s="34">
        <v>0</v>
      </c>
      <c r="K43" s="34">
        <v>0</v>
      </c>
      <c r="L43" s="34">
        <v>0</v>
      </c>
      <c r="M43" s="37">
        <v>0</v>
      </c>
      <c r="N43" s="34">
        <v>0</v>
      </c>
      <c r="O43" s="40">
        <v>0</v>
      </c>
    </row>
    <row r="44" spans="1:15">
      <c r="B44" s="55">
        <v>32</v>
      </c>
      <c r="C44" s="58">
        <v>51</v>
      </c>
      <c r="D44" s="58" t="s">
        <v>21</v>
      </c>
      <c r="E44" s="58" t="s">
        <v>58</v>
      </c>
      <c r="F44" s="58" t="s">
        <v>23</v>
      </c>
      <c r="G44" s="58" t="s">
        <v>37</v>
      </c>
      <c r="H44" s="58" t="s">
        <v>38</v>
      </c>
      <c r="I44" s="58" t="s">
        <v>38</v>
      </c>
      <c r="J44" s="34">
        <v>0</v>
      </c>
      <c r="K44" s="34">
        <v>0</v>
      </c>
      <c r="L44" s="34">
        <v>0</v>
      </c>
      <c r="M44" s="37">
        <v>0</v>
      </c>
      <c r="N44" s="34">
        <v>15600</v>
      </c>
      <c r="O44" s="40">
        <v>0</v>
      </c>
    </row>
    <row r="45" spans="1:15">
      <c r="B45" s="55">
        <v>33</v>
      </c>
      <c r="C45" s="58">
        <v>51</v>
      </c>
      <c r="D45" s="58" t="s">
        <v>21</v>
      </c>
      <c r="E45" s="58" t="s">
        <v>58</v>
      </c>
      <c r="F45" s="58" t="s">
        <v>23</v>
      </c>
      <c r="G45" s="58" t="s">
        <v>79</v>
      </c>
      <c r="H45" s="58" t="s">
        <v>80</v>
      </c>
      <c r="I45" s="58" t="s">
        <v>80</v>
      </c>
      <c r="J45" s="34">
        <v>1169</v>
      </c>
      <c r="K45" s="34">
        <v>1169</v>
      </c>
      <c r="L45" s="34">
        <v>0</v>
      </c>
      <c r="M45" s="37">
        <v>0</v>
      </c>
      <c r="N45" s="34">
        <v>1169</v>
      </c>
      <c r="O45" s="40">
        <v>0</v>
      </c>
    </row>
    <row r="46" spans="1:15">
      <c r="B46" s="55">
        <v>34</v>
      </c>
      <c r="C46" s="58">
        <v>51</v>
      </c>
      <c r="D46" s="58" t="s">
        <v>21</v>
      </c>
      <c r="E46" s="58" t="s">
        <v>58</v>
      </c>
      <c r="F46" s="58" t="s">
        <v>23</v>
      </c>
      <c r="G46" s="58" t="s">
        <v>41</v>
      </c>
      <c r="H46" s="58" t="s">
        <v>42</v>
      </c>
      <c r="I46" s="58" t="s">
        <v>42</v>
      </c>
      <c r="J46" s="34">
        <v>0</v>
      </c>
      <c r="K46" s="34">
        <v>0</v>
      </c>
      <c r="L46" s="34">
        <v>0</v>
      </c>
      <c r="M46" s="37">
        <v>0</v>
      </c>
      <c r="N46" s="34">
        <v>1880</v>
      </c>
      <c r="O46" s="40">
        <v>0</v>
      </c>
    </row>
    <row r="47" spans="1:15">
      <c r="B47" s="55">
        <v>35</v>
      </c>
      <c r="C47" s="58">
        <v>51</v>
      </c>
      <c r="D47" s="58" t="s">
        <v>21</v>
      </c>
      <c r="E47" s="58" t="s">
        <v>58</v>
      </c>
      <c r="F47" s="58" t="s">
        <v>23</v>
      </c>
      <c r="G47" s="58" t="s">
        <v>53</v>
      </c>
      <c r="H47" s="58" t="s">
        <v>54</v>
      </c>
      <c r="I47" s="58" t="s">
        <v>55</v>
      </c>
      <c r="J47" s="34">
        <v>0</v>
      </c>
      <c r="K47" s="34">
        <v>0</v>
      </c>
      <c r="L47" s="34">
        <v>0</v>
      </c>
      <c r="M47" s="37">
        <v>0</v>
      </c>
      <c r="N47" s="34">
        <v>23758</v>
      </c>
      <c r="O47" s="40">
        <v>0</v>
      </c>
    </row>
    <row r="48" spans="1:15">
      <c r="B48" s="55">
        <v>36</v>
      </c>
      <c r="C48" s="58">
        <v>51</v>
      </c>
      <c r="D48" s="58" t="s">
        <v>21</v>
      </c>
      <c r="E48" s="58" t="s">
        <v>58</v>
      </c>
      <c r="F48" s="58" t="s">
        <v>23</v>
      </c>
      <c r="G48" s="58" t="s">
        <v>81</v>
      </c>
      <c r="H48" s="58" t="s">
        <v>82</v>
      </c>
      <c r="I48" s="58" t="s">
        <v>83</v>
      </c>
      <c r="J48" s="34">
        <v>0</v>
      </c>
      <c r="K48" s="34">
        <v>0</v>
      </c>
      <c r="L48" s="34">
        <v>0</v>
      </c>
      <c r="M48" s="37">
        <v>0</v>
      </c>
      <c r="N48" s="34">
        <v>0</v>
      </c>
      <c r="O48" s="40">
        <v>0</v>
      </c>
    </row>
    <row r="49" spans="1:15">
      <c r="B49" s="55">
        <v>37</v>
      </c>
      <c r="C49" s="58">
        <v>51</v>
      </c>
      <c r="D49" s="58" t="s">
        <v>21</v>
      </c>
      <c r="E49" s="58" t="s">
        <v>58</v>
      </c>
      <c r="F49" s="58" t="s">
        <v>23</v>
      </c>
      <c r="G49" s="58" t="s">
        <v>27</v>
      </c>
      <c r="H49" s="58" t="s">
        <v>28</v>
      </c>
      <c r="I49" s="58" t="s">
        <v>28</v>
      </c>
      <c r="J49" s="34">
        <v>0</v>
      </c>
      <c r="K49" s="34">
        <v>0</v>
      </c>
      <c r="L49" s="34">
        <v>0</v>
      </c>
      <c r="M49" s="37">
        <v>0</v>
      </c>
      <c r="N49" s="34">
        <v>0</v>
      </c>
      <c r="O49" s="40">
        <v>0</v>
      </c>
    </row>
    <row r="50" spans="1:15">
      <c r="B50" s="55">
        <v>38</v>
      </c>
      <c r="C50" s="58">
        <v>51</v>
      </c>
      <c r="D50" s="58" t="s">
        <v>21</v>
      </c>
      <c r="E50" s="58" t="s">
        <v>58</v>
      </c>
      <c r="F50" s="58" t="s">
        <v>23</v>
      </c>
      <c r="G50" s="58" t="s">
        <v>84</v>
      </c>
      <c r="H50" s="58" t="s">
        <v>85</v>
      </c>
      <c r="I50" s="58" t="s">
        <v>85</v>
      </c>
      <c r="J50" s="34">
        <v>14643</v>
      </c>
      <c r="K50" s="34">
        <v>14643</v>
      </c>
      <c r="L50" s="34">
        <v>0</v>
      </c>
      <c r="M50" s="37">
        <v>0</v>
      </c>
      <c r="N50" s="34">
        <v>16132</v>
      </c>
      <c r="O50" s="40">
        <v>0</v>
      </c>
    </row>
    <row r="51" spans="1:15">
      <c r="B51" s="55">
        <v>39</v>
      </c>
      <c r="C51" s="58">
        <v>51</v>
      </c>
      <c r="D51" s="58" t="s">
        <v>21</v>
      </c>
      <c r="E51" s="58" t="s">
        <v>58</v>
      </c>
      <c r="F51" s="58" t="s">
        <v>23</v>
      </c>
      <c r="G51" s="58" t="s">
        <v>51</v>
      </c>
      <c r="H51" s="58" t="s">
        <v>52</v>
      </c>
      <c r="I51" s="58" t="s">
        <v>52</v>
      </c>
      <c r="J51" s="34">
        <v>0</v>
      </c>
      <c r="K51" s="34">
        <v>0</v>
      </c>
      <c r="L51" s="34">
        <v>0</v>
      </c>
      <c r="M51" s="37">
        <v>0</v>
      </c>
      <c r="N51" s="34">
        <v>0</v>
      </c>
      <c r="O51" s="40">
        <v>0</v>
      </c>
    </row>
    <row r="52" spans="1:15">
      <c r="B52" s="55">
        <v>40</v>
      </c>
      <c r="C52" s="58">
        <v>51</v>
      </c>
      <c r="D52" s="58" t="s">
        <v>21</v>
      </c>
      <c r="E52" s="58" t="s">
        <v>58</v>
      </c>
      <c r="F52" s="58" t="s">
        <v>23</v>
      </c>
      <c r="G52" s="58" t="s">
        <v>86</v>
      </c>
      <c r="H52" s="58" t="s">
        <v>87</v>
      </c>
      <c r="I52" s="58" t="s">
        <v>88</v>
      </c>
      <c r="J52" s="34">
        <v>0</v>
      </c>
      <c r="K52" s="34">
        <v>0</v>
      </c>
      <c r="L52" s="34">
        <v>0</v>
      </c>
      <c r="M52" s="37">
        <v>0</v>
      </c>
      <c r="N52" s="34">
        <v>0</v>
      </c>
      <c r="O52" s="40">
        <v>0</v>
      </c>
    </row>
    <row r="53" spans="1:15">
      <c r="B53" s="55">
        <v>41</v>
      </c>
      <c r="C53" s="58">
        <v>51</v>
      </c>
      <c r="D53" s="58" t="s">
        <v>21</v>
      </c>
      <c r="E53" s="58" t="s">
        <v>58</v>
      </c>
      <c r="F53" s="58" t="s">
        <v>23</v>
      </c>
      <c r="G53" s="58" t="s">
        <v>89</v>
      </c>
      <c r="H53" s="58" t="s">
        <v>90</v>
      </c>
      <c r="I53" s="58" t="s">
        <v>90</v>
      </c>
      <c r="J53" s="34">
        <v>0</v>
      </c>
      <c r="K53" s="34">
        <v>0</v>
      </c>
      <c r="L53" s="34">
        <v>0</v>
      </c>
      <c r="M53" s="37">
        <v>0</v>
      </c>
      <c r="N53" s="34">
        <v>10000</v>
      </c>
      <c r="O53" s="40">
        <v>0</v>
      </c>
    </row>
    <row r="54" spans="1:15">
      <c r="B54" s="55">
        <v>42</v>
      </c>
      <c r="C54" s="58">
        <v>51</v>
      </c>
      <c r="D54" s="58" t="s">
        <v>21</v>
      </c>
      <c r="E54" s="58" t="s">
        <v>58</v>
      </c>
      <c r="F54" s="58" t="s">
        <v>23</v>
      </c>
      <c r="G54" s="58" t="s">
        <v>91</v>
      </c>
      <c r="H54" s="58" t="s">
        <v>92</v>
      </c>
      <c r="I54" s="58" t="s">
        <v>93</v>
      </c>
      <c r="J54" s="34">
        <v>0</v>
      </c>
      <c r="K54" s="34">
        <v>0</v>
      </c>
      <c r="L54" s="34">
        <v>0</v>
      </c>
      <c r="M54" s="37">
        <v>0</v>
      </c>
      <c r="N54" s="34">
        <v>0</v>
      </c>
      <c r="O54" s="40">
        <v>0</v>
      </c>
    </row>
    <row r="55" spans="1:15">
      <c r="B55" s="55">
        <v>43</v>
      </c>
      <c r="C55" s="58">
        <v>51</v>
      </c>
      <c r="D55" s="58" t="s">
        <v>21</v>
      </c>
      <c r="E55" s="58" t="s">
        <v>58</v>
      </c>
      <c r="F55" s="58" t="s">
        <v>23</v>
      </c>
      <c r="G55" s="58" t="s">
        <v>94</v>
      </c>
      <c r="H55" s="58" t="s">
        <v>95</v>
      </c>
      <c r="I55" s="60" t="s">
        <v>95</v>
      </c>
      <c r="J55" s="34">
        <v>0</v>
      </c>
      <c r="K55" s="34">
        <v>0</v>
      </c>
      <c r="L55" s="34">
        <v>0</v>
      </c>
      <c r="M55" s="37">
        <v>0</v>
      </c>
      <c r="N55" s="34">
        <v>0</v>
      </c>
      <c r="O55" s="40">
        <v>0</v>
      </c>
    </row>
    <row r="56" spans="1:15">
      <c r="B56" s="55">
        <v>44</v>
      </c>
      <c r="C56" s="58">
        <v>51</v>
      </c>
      <c r="D56" s="58" t="s">
        <v>21</v>
      </c>
      <c r="E56" s="58" t="s">
        <v>58</v>
      </c>
      <c r="F56" s="58" t="s">
        <v>23</v>
      </c>
      <c r="G56" s="58" t="s">
        <v>96</v>
      </c>
      <c r="H56" s="58" t="s">
        <v>97</v>
      </c>
      <c r="I56" s="58" t="s">
        <v>97</v>
      </c>
      <c r="J56" s="34">
        <v>1286</v>
      </c>
      <c r="K56" s="34">
        <v>1286</v>
      </c>
      <c r="L56" s="34">
        <v>0</v>
      </c>
      <c r="M56" s="37">
        <v>0</v>
      </c>
      <c r="N56" s="34">
        <v>0</v>
      </c>
      <c r="O56" s="40">
        <v>0</v>
      </c>
    </row>
    <row r="57" spans="1:15">
      <c r="B57" s="55">
        <v>45</v>
      </c>
      <c r="C57" s="58">
        <v>51</v>
      </c>
      <c r="D57" s="58" t="s">
        <v>21</v>
      </c>
      <c r="E57" s="58" t="s">
        <v>98</v>
      </c>
      <c r="F57" s="58" t="s">
        <v>23</v>
      </c>
      <c r="G57" s="58" t="s">
        <v>99</v>
      </c>
      <c r="H57" s="58" t="s">
        <v>100</v>
      </c>
      <c r="I57" s="58" t="s">
        <v>100</v>
      </c>
      <c r="J57" s="34">
        <v>0</v>
      </c>
      <c r="K57" s="34">
        <v>0</v>
      </c>
      <c r="L57" s="34">
        <v>0</v>
      </c>
      <c r="M57" s="37">
        <v>0</v>
      </c>
      <c r="N57" s="34">
        <v>0</v>
      </c>
      <c r="O57" s="40">
        <v>0</v>
      </c>
    </row>
    <row r="58" spans="1:15">
      <c r="B58" s="55">
        <v>46</v>
      </c>
      <c r="C58" s="58">
        <v>51</v>
      </c>
      <c r="D58" s="58" t="s">
        <v>21</v>
      </c>
      <c r="E58" s="58" t="s">
        <v>98</v>
      </c>
      <c r="F58" s="58" t="s">
        <v>23</v>
      </c>
      <c r="G58" s="58" t="s">
        <v>84</v>
      </c>
      <c r="H58" s="58" t="s">
        <v>85</v>
      </c>
      <c r="I58" s="58" t="s">
        <v>85</v>
      </c>
      <c r="J58" s="34">
        <v>0</v>
      </c>
      <c r="K58" s="34">
        <v>0</v>
      </c>
      <c r="L58" s="34">
        <v>0</v>
      </c>
      <c r="M58" s="37">
        <v>0</v>
      </c>
      <c r="N58" s="34">
        <v>16132</v>
      </c>
      <c r="O58" s="40">
        <v>0</v>
      </c>
    </row>
    <row r="59" spans="1:15">
      <c r="B59" s="55">
        <v>47</v>
      </c>
      <c r="C59" s="58">
        <v>51</v>
      </c>
      <c r="D59" s="58" t="s">
        <v>21</v>
      </c>
      <c r="E59" s="58" t="s">
        <v>98</v>
      </c>
      <c r="F59" s="58" t="s">
        <v>23</v>
      </c>
      <c r="G59" s="58" t="s">
        <v>31</v>
      </c>
      <c r="H59" s="58" t="s">
        <v>32</v>
      </c>
      <c r="I59" s="58" t="s">
        <v>32</v>
      </c>
      <c r="J59" s="34">
        <v>0</v>
      </c>
      <c r="K59" s="34">
        <v>0</v>
      </c>
      <c r="L59" s="34">
        <v>0</v>
      </c>
      <c r="M59" s="37">
        <v>0</v>
      </c>
      <c r="N59" s="34">
        <v>3016</v>
      </c>
      <c r="O59" s="40">
        <v>0</v>
      </c>
    </row>
    <row r="60" spans="1:15">
      <c r="B60" s="55">
        <v>48</v>
      </c>
      <c r="C60" s="58">
        <v>51</v>
      </c>
      <c r="D60" s="58" t="s">
        <v>21</v>
      </c>
      <c r="E60" s="58" t="s">
        <v>98</v>
      </c>
      <c r="F60" s="58" t="s">
        <v>23</v>
      </c>
      <c r="G60" s="58" t="s">
        <v>43</v>
      </c>
      <c r="H60" s="58" t="s">
        <v>44</v>
      </c>
      <c r="I60" s="58" t="s">
        <v>44</v>
      </c>
      <c r="J60" s="34">
        <v>0</v>
      </c>
      <c r="K60" s="34">
        <v>0</v>
      </c>
      <c r="L60" s="34">
        <v>0</v>
      </c>
      <c r="M60" s="37">
        <v>0</v>
      </c>
      <c r="N60" s="34">
        <v>0</v>
      </c>
      <c r="O60" s="40">
        <v>0</v>
      </c>
    </row>
    <row r="61" spans="1:15">
      <c r="B61" s="55">
        <v>49</v>
      </c>
      <c r="C61" s="58">
        <v>51</v>
      </c>
      <c r="D61" s="58" t="s">
        <v>21</v>
      </c>
      <c r="E61" s="58" t="s">
        <v>98</v>
      </c>
      <c r="F61" s="58" t="s">
        <v>23</v>
      </c>
      <c r="G61" s="58" t="s">
        <v>77</v>
      </c>
      <c r="H61" s="58" t="s">
        <v>78</v>
      </c>
      <c r="I61" s="58" t="s">
        <v>78</v>
      </c>
      <c r="J61" s="34">
        <v>1500</v>
      </c>
      <c r="K61" s="34">
        <v>1500</v>
      </c>
      <c r="L61" s="34">
        <v>0</v>
      </c>
      <c r="M61" s="37">
        <v>0</v>
      </c>
      <c r="N61" s="34">
        <v>0</v>
      </c>
      <c r="O61" s="40">
        <v>0</v>
      </c>
    </row>
    <row r="62" spans="1:15">
      <c r="B62" s="55">
        <v>50</v>
      </c>
      <c r="C62" s="58">
        <v>51</v>
      </c>
      <c r="D62" s="58" t="s">
        <v>21</v>
      </c>
      <c r="E62" s="58" t="s">
        <v>98</v>
      </c>
      <c r="F62" s="58" t="s">
        <v>23</v>
      </c>
      <c r="G62" s="58" t="s">
        <v>51</v>
      </c>
      <c r="H62" s="58" t="s">
        <v>52</v>
      </c>
      <c r="I62" s="58" t="s">
        <v>52</v>
      </c>
      <c r="J62" s="34">
        <v>0</v>
      </c>
      <c r="K62" s="34">
        <v>0</v>
      </c>
      <c r="L62" s="34">
        <v>0</v>
      </c>
      <c r="M62" s="37">
        <v>0</v>
      </c>
      <c r="N62" s="34">
        <v>0</v>
      </c>
      <c r="O62" s="40">
        <v>0</v>
      </c>
    </row>
    <row r="63" spans="1:15">
      <c r="B63" s="55">
        <v>51</v>
      </c>
      <c r="C63" s="58">
        <v>51</v>
      </c>
      <c r="D63" s="58" t="s">
        <v>21</v>
      </c>
      <c r="E63" s="58" t="s">
        <v>98</v>
      </c>
      <c r="F63" s="58" t="s">
        <v>23</v>
      </c>
      <c r="G63" s="58" t="s">
        <v>75</v>
      </c>
      <c r="H63" s="58" t="s">
        <v>76</v>
      </c>
      <c r="I63" s="60" t="s">
        <v>76</v>
      </c>
      <c r="J63" s="34">
        <v>0</v>
      </c>
      <c r="K63" s="34">
        <v>0</v>
      </c>
      <c r="L63" s="34">
        <v>0</v>
      </c>
      <c r="M63" s="37">
        <v>0</v>
      </c>
      <c r="N63" s="34">
        <v>2900</v>
      </c>
      <c r="O63" s="40">
        <v>0</v>
      </c>
    </row>
    <row r="64" spans="1:15">
      <c r="B64" s="55">
        <v>52</v>
      </c>
      <c r="C64" s="58">
        <v>51</v>
      </c>
      <c r="D64" s="58" t="s">
        <v>21</v>
      </c>
      <c r="E64" s="58" t="s">
        <v>98</v>
      </c>
      <c r="F64" s="58" t="s">
        <v>23</v>
      </c>
      <c r="G64" s="58" t="s">
        <v>101</v>
      </c>
      <c r="H64" s="58" t="s">
        <v>102</v>
      </c>
      <c r="I64" s="58" t="s">
        <v>102</v>
      </c>
      <c r="J64" s="34">
        <v>0</v>
      </c>
      <c r="K64" s="34">
        <v>0</v>
      </c>
      <c r="L64" s="34">
        <v>0</v>
      </c>
      <c r="M64" s="37">
        <v>0</v>
      </c>
      <c r="N64" s="34">
        <v>0</v>
      </c>
      <c r="O64" s="40">
        <v>0</v>
      </c>
    </row>
    <row r="65" spans="1:15">
      <c r="B65" s="55">
        <v>53</v>
      </c>
      <c r="C65" s="58">
        <v>51</v>
      </c>
      <c r="D65" s="58" t="s">
        <v>21</v>
      </c>
      <c r="E65" s="58" t="s">
        <v>98</v>
      </c>
      <c r="F65" s="58" t="s">
        <v>23</v>
      </c>
      <c r="G65" s="58" t="s">
        <v>94</v>
      </c>
      <c r="H65" s="58" t="s">
        <v>95</v>
      </c>
      <c r="I65" s="60" t="s">
        <v>95</v>
      </c>
      <c r="J65" s="34">
        <v>4191</v>
      </c>
      <c r="K65" s="34">
        <v>4295</v>
      </c>
      <c r="L65" s="34">
        <v>104</v>
      </c>
      <c r="M65" s="37">
        <v>0</v>
      </c>
      <c r="N65" s="34">
        <v>0</v>
      </c>
      <c r="O65" s="40">
        <v>0</v>
      </c>
    </row>
    <row r="66" spans="1:15">
      <c r="B66" s="55">
        <v>54</v>
      </c>
      <c r="C66" s="58">
        <v>51</v>
      </c>
      <c r="D66" s="58" t="s">
        <v>21</v>
      </c>
      <c r="E66" s="58" t="s">
        <v>98</v>
      </c>
      <c r="F66" s="58" t="s">
        <v>23</v>
      </c>
      <c r="G66" s="58" t="s">
        <v>103</v>
      </c>
      <c r="H66" s="58" t="s">
        <v>104</v>
      </c>
      <c r="I66" s="58"/>
      <c r="J66" s="34">
        <v>0</v>
      </c>
      <c r="K66" s="34">
        <v>0</v>
      </c>
      <c r="L66" s="34">
        <v>0</v>
      </c>
      <c r="M66" s="37">
        <v>0</v>
      </c>
      <c r="N66" s="34">
        <v>0</v>
      </c>
      <c r="O66" s="40">
        <v>0</v>
      </c>
    </row>
    <row r="67" spans="1:15">
      <c r="B67" s="55">
        <v>55</v>
      </c>
      <c r="C67" s="58">
        <v>51</v>
      </c>
      <c r="D67" s="58" t="s">
        <v>21</v>
      </c>
      <c r="E67" s="58" t="s">
        <v>98</v>
      </c>
      <c r="F67" s="58" t="s">
        <v>23</v>
      </c>
      <c r="G67" s="58" t="s">
        <v>64</v>
      </c>
      <c r="H67" s="58" t="s">
        <v>65</v>
      </c>
      <c r="I67" s="58" t="s">
        <v>65</v>
      </c>
      <c r="J67" s="34">
        <v>13261</v>
      </c>
      <c r="K67" s="34">
        <v>13261</v>
      </c>
      <c r="L67" s="34">
        <v>0</v>
      </c>
      <c r="M67" s="37">
        <v>0</v>
      </c>
      <c r="N67" s="34">
        <v>8526</v>
      </c>
      <c r="O67" s="40">
        <v>0</v>
      </c>
    </row>
    <row r="68" spans="1:15">
      <c r="B68" s="55">
        <v>56</v>
      </c>
      <c r="C68" s="58">
        <v>51</v>
      </c>
      <c r="D68" s="58" t="s">
        <v>21</v>
      </c>
      <c r="E68" s="58" t="s">
        <v>98</v>
      </c>
      <c r="F68" s="58" t="s">
        <v>23</v>
      </c>
      <c r="G68" s="58" t="s">
        <v>79</v>
      </c>
      <c r="H68" s="58" t="s">
        <v>80</v>
      </c>
      <c r="I68" s="58" t="s">
        <v>80</v>
      </c>
      <c r="J68" s="34">
        <v>0</v>
      </c>
      <c r="K68" s="34">
        <v>0</v>
      </c>
      <c r="L68" s="34">
        <v>0</v>
      </c>
      <c r="M68" s="37">
        <v>0</v>
      </c>
      <c r="N68" s="34">
        <v>1169</v>
      </c>
      <c r="O68" s="40">
        <v>0</v>
      </c>
    </row>
    <row r="69" spans="1:15">
      <c r="B69" s="55">
        <v>57</v>
      </c>
      <c r="C69" s="58">
        <v>51</v>
      </c>
      <c r="D69" s="58" t="s">
        <v>21</v>
      </c>
      <c r="E69" s="58" t="s">
        <v>98</v>
      </c>
      <c r="F69" s="58" t="s">
        <v>23</v>
      </c>
      <c r="G69" s="58" t="s">
        <v>61</v>
      </c>
      <c r="H69" s="58" t="s">
        <v>62</v>
      </c>
      <c r="I69" s="58" t="s">
        <v>63</v>
      </c>
      <c r="J69" s="34">
        <v>0</v>
      </c>
      <c r="K69" s="34">
        <v>0</v>
      </c>
      <c r="L69" s="34">
        <v>0</v>
      </c>
      <c r="M69" s="37">
        <v>0</v>
      </c>
      <c r="N69" s="34">
        <v>0</v>
      </c>
      <c r="O69" s="40">
        <v>0</v>
      </c>
    </row>
    <row r="70" spans="1:15">
      <c r="B70" s="55">
        <v>58</v>
      </c>
      <c r="C70" s="58">
        <v>51</v>
      </c>
      <c r="D70" s="58" t="s">
        <v>21</v>
      </c>
      <c r="E70" s="58" t="s">
        <v>98</v>
      </c>
      <c r="F70" s="58" t="s">
        <v>23</v>
      </c>
      <c r="G70" s="58" t="s">
        <v>27</v>
      </c>
      <c r="H70" s="58" t="s">
        <v>28</v>
      </c>
      <c r="I70" s="58" t="s">
        <v>28</v>
      </c>
      <c r="J70" s="34">
        <v>0</v>
      </c>
      <c r="K70" s="34">
        <v>0</v>
      </c>
      <c r="L70" s="34">
        <v>0</v>
      </c>
      <c r="M70" s="37">
        <v>0</v>
      </c>
      <c r="N70" s="34">
        <v>0</v>
      </c>
      <c r="O70" s="40">
        <v>0</v>
      </c>
    </row>
    <row r="71" spans="1:15">
      <c r="B71" s="55">
        <v>59</v>
      </c>
      <c r="C71" s="58">
        <v>51</v>
      </c>
      <c r="D71" s="58" t="s">
        <v>21</v>
      </c>
      <c r="E71" s="58" t="s">
        <v>98</v>
      </c>
      <c r="F71" s="58" t="s">
        <v>23</v>
      </c>
      <c r="G71" s="58" t="s">
        <v>96</v>
      </c>
      <c r="H71" s="58" t="s">
        <v>97</v>
      </c>
      <c r="I71" s="58" t="s">
        <v>97</v>
      </c>
      <c r="J71" s="34">
        <v>0</v>
      </c>
      <c r="K71" s="34">
        <v>0</v>
      </c>
      <c r="L71" s="34">
        <v>0</v>
      </c>
      <c r="M71" s="37">
        <v>0</v>
      </c>
      <c r="N71" s="34">
        <v>0</v>
      </c>
      <c r="O71" s="40">
        <v>0</v>
      </c>
    </row>
    <row r="72" spans="1:15">
      <c r="B72" s="55">
        <v>60</v>
      </c>
      <c r="C72" s="58">
        <v>51</v>
      </c>
      <c r="D72" s="58" t="s">
        <v>21</v>
      </c>
      <c r="E72" s="58" t="s">
        <v>98</v>
      </c>
      <c r="F72" s="58" t="s">
        <v>23</v>
      </c>
      <c r="G72" s="58" t="s">
        <v>39</v>
      </c>
      <c r="H72" s="58" t="s">
        <v>40</v>
      </c>
      <c r="I72" s="58" t="s">
        <v>40</v>
      </c>
      <c r="J72" s="34">
        <v>0</v>
      </c>
      <c r="K72" s="34">
        <v>0</v>
      </c>
      <c r="L72" s="34">
        <v>0</v>
      </c>
      <c r="M72" s="37">
        <v>0</v>
      </c>
      <c r="N72" s="34">
        <v>4244</v>
      </c>
      <c r="O72" s="40">
        <v>0</v>
      </c>
    </row>
    <row r="73" spans="1:15">
      <c r="B73" s="55">
        <v>61</v>
      </c>
      <c r="C73" s="58">
        <v>51</v>
      </c>
      <c r="D73" s="58" t="s">
        <v>21</v>
      </c>
      <c r="E73" s="58" t="s">
        <v>98</v>
      </c>
      <c r="F73" s="58" t="s">
        <v>23</v>
      </c>
      <c r="G73" s="58" t="s">
        <v>41</v>
      </c>
      <c r="H73" s="58" t="s">
        <v>42</v>
      </c>
      <c r="I73" s="58" t="s">
        <v>42</v>
      </c>
      <c r="J73" s="34">
        <v>0</v>
      </c>
      <c r="K73" s="34">
        <v>0</v>
      </c>
      <c r="L73" s="34">
        <v>0</v>
      </c>
      <c r="M73" s="37">
        <v>0</v>
      </c>
      <c r="N73" s="34">
        <v>1880</v>
      </c>
      <c r="O73" s="40">
        <v>0</v>
      </c>
    </row>
    <row r="74" spans="1:15">
      <c r="B74" s="55">
        <v>62</v>
      </c>
      <c r="C74" s="58">
        <v>51</v>
      </c>
      <c r="D74" s="58" t="s">
        <v>21</v>
      </c>
      <c r="E74" s="58" t="s">
        <v>98</v>
      </c>
      <c r="F74" s="58" t="s">
        <v>23</v>
      </c>
      <c r="G74" s="58" t="s">
        <v>37</v>
      </c>
      <c r="H74" s="58" t="s">
        <v>38</v>
      </c>
      <c r="I74" s="58" t="s">
        <v>38</v>
      </c>
      <c r="J74" s="34">
        <v>0</v>
      </c>
      <c r="K74" s="34">
        <v>0</v>
      </c>
      <c r="L74" s="34">
        <v>0</v>
      </c>
      <c r="M74" s="37">
        <v>0</v>
      </c>
      <c r="N74" s="34">
        <v>15600</v>
      </c>
      <c r="O74" s="40">
        <v>0</v>
      </c>
    </row>
    <row r="75" spans="1:15">
      <c r="B75" s="55">
        <v>63</v>
      </c>
      <c r="C75" s="58">
        <v>51</v>
      </c>
      <c r="D75" s="58" t="s">
        <v>21</v>
      </c>
      <c r="E75" s="58" t="s">
        <v>98</v>
      </c>
      <c r="F75" s="58" t="s">
        <v>23</v>
      </c>
      <c r="G75" s="58" t="s">
        <v>59</v>
      </c>
      <c r="H75" s="58" t="s">
        <v>60</v>
      </c>
      <c r="I75" s="58" t="s">
        <v>60</v>
      </c>
      <c r="J75" s="34">
        <v>2250</v>
      </c>
      <c r="K75" s="34">
        <v>2250</v>
      </c>
      <c r="L75" s="34">
        <v>0</v>
      </c>
      <c r="M75" s="37">
        <v>0</v>
      </c>
      <c r="N75" s="34">
        <v>2250</v>
      </c>
      <c r="O75" s="40">
        <v>0</v>
      </c>
    </row>
    <row r="76" spans="1:15">
      <c r="B76" s="55">
        <v>64</v>
      </c>
      <c r="C76" s="58">
        <v>51</v>
      </c>
      <c r="D76" s="58" t="s">
        <v>21</v>
      </c>
      <c r="E76" s="58" t="s">
        <v>98</v>
      </c>
      <c r="F76" s="58" t="s">
        <v>23</v>
      </c>
      <c r="G76" s="58" t="s">
        <v>66</v>
      </c>
      <c r="H76" s="58" t="s">
        <v>67</v>
      </c>
      <c r="I76" s="58" t="s">
        <v>67</v>
      </c>
      <c r="J76" s="34">
        <v>0</v>
      </c>
      <c r="K76" s="34">
        <v>0</v>
      </c>
      <c r="L76" s="34">
        <v>0</v>
      </c>
      <c r="M76" s="37">
        <v>0</v>
      </c>
      <c r="N76" s="34">
        <v>0</v>
      </c>
      <c r="O76" s="40">
        <v>0</v>
      </c>
    </row>
    <row r="77" spans="1:15">
      <c r="B77" s="55">
        <v>65</v>
      </c>
      <c r="C77" s="58">
        <v>51</v>
      </c>
      <c r="D77" s="58" t="s">
        <v>21</v>
      </c>
      <c r="E77" s="58" t="s">
        <v>105</v>
      </c>
      <c r="F77" s="58" t="s">
        <v>106</v>
      </c>
      <c r="G77" s="58" t="s">
        <v>107</v>
      </c>
      <c r="H77" s="58" t="s">
        <v>108</v>
      </c>
      <c r="I77" s="60" t="s">
        <v>108</v>
      </c>
      <c r="J77" s="34">
        <v>3648</v>
      </c>
      <c r="K77" s="34">
        <v>3648</v>
      </c>
      <c r="L77" s="34">
        <v>0</v>
      </c>
      <c r="M77" s="37">
        <v>0</v>
      </c>
      <c r="N77" s="34">
        <v>3264</v>
      </c>
      <c r="O77" s="40">
        <v>0</v>
      </c>
    </row>
    <row r="78" spans="1:15">
      <c r="B78" s="55">
        <v>66</v>
      </c>
      <c r="C78" s="58">
        <v>51</v>
      </c>
      <c r="D78" s="58" t="s">
        <v>21</v>
      </c>
      <c r="E78" s="58" t="s">
        <v>105</v>
      </c>
      <c r="F78" s="58" t="s">
        <v>106</v>
      </c>
      <c r="G78" s="58" t="s">
        <v>64</v>
      </c>
      <c r="H78" s="58" t="s">
        <v>65</v>
      </c>
      <c r="I78" s="58" t="s">
        <v>65</v>
      </c>
      <c r="J78" s="34">
        <v>0</v>
      </c>
      <c r="K78" s="34">
        <v>0</v>
      </c>
      <c r="L78" s="34">
        <v>0</v>
      </c>
      <c r="M78" s="37">
        <v>0</v>
      </c>
      <c r="N78" s="34">
        <v>8526</v>
      </c>
      <c r="O78" s="40">
        <v>0</v>
      </c>
    </row>
    <row r="79" spans="1:15">
      <c r="B79" s="55">
        <v>67</v>
      </c>
      <c r="C79" s="58">
        <v>51</v>
      </c>
      <c r="D79" s="58" t="s">
        <v>21</v>
      </c>
      <c r="E79" s="58" t="s">
        <v>105</v>
      </c>
      <c r="F79" s="58" t="s">
        <v>106</v>
      </c>
      <c r="G79" s="58" t="s">
        <v>109</v>
      </c>
      <c r="H79" s="58" t="s">
        <v>110</v>
      </c>
      <c r="I79" s="58" t="s">
        <v>110</v>
      </c>
      <c r="J79" s="34">
        <v>0</v>
      </c>
      <c r="K79" s="34">
        <v>0</v>
      </c>
      <c r="L79" s="34">
        <v>0</v>
      </c>
      <c r="M79" s="37">
        <v>0</v>
      </c>
      <c r="N79" s="34">
        <v>0</v>
      </c>
      <c r="O79" s="40">
        <v>0</v>
      </c>
    </row>
    <row r="80" spans="1:15">
      <c r="B80" s="55">
        <v>68</v>
      </c>
      <c r="C80" s="58">
        <v>51</v>
      </c>
      <c r="D80" s="58" t="s">
        <v>21</v>
      </c>
      <c r="E80" s="58" t="s">
        <v>105</v>
      </c>
      <c r="F80" s="58" t="s">
        <v>106</v>
      </c>
      <c r="G80" s="58" t="s">
        <v>111</v>
      </c>
      <c r="H80" s="58" t="s">
        <v>112</v>
      </c>
      <c r="I80" s="58" t="s">
        <v>112</v>
      </c>
      <c r="J80" s="34">
        <v>5804</v>
      </c>
      <c r="K80" s="34">
        <v>6220</v>
      </c>
      <c r="L80" s="34">
        <v>416</v>
      </c>
      <c r="M80" s="37">
        <v>0</v>
      </c>
      <c r="N80" s="34">
        <v>21182</v>
      </c>
      <c r="O80" s="40">
        <v>0</v>
      </c>
    </row>
    <row r="81" spans="1:15">
      <c r="B81" s="55">
        <v>69</v>
      </c>
      <c r="C81" s="58">
        <v>51</v>
      </c>
      <c r="D81" s="58" t="s">
        <v>21</v>
      </c>
      <c r="E81" s="58" t="s">
        <v>113</v>
      </c>
      <c r="F81" s="58" t="s">
        <v>114</v>
      </c>
      <c r="G81" s="58" t="s">
        <v>115</v>
      </c>
      <c r="H81" s="58" t="s">
        <v>116</v>
      </c>
      <c r="I81" s="58" t="s">
        <v>116</v>
      </c>
      <c r="J81" s="34">
        <v>18328</v>
      </c>
      <c r="K81" s="34">
        <v>18328</v>
      </c>
      <c r="L81" s="34">
        <v>0</v>
      </c>
      <c r="M81" s="37">
        <v>0</v>
      </c>
      <c r="N81" s="34">
        <v>23016</v>
      </c>
      <c r="O81" s="40">
        <v>0</v>
      </c>
    </row>
    <row r="82" spans="1:15">
      <c r="B82" s="55">
        <v>70</v>
      </c>
      <c r="C82" s="58">
        <v>51</v>
      </c>
      <c r="D82" s="58" t="s">
        <v>21</v>
      </c>
      <c r="E82" s="58" t="s">
        <v>113</v>
      </c>
      <c r="F82" s="58" t="s">
        <v>114</v>
      </c>
      <c r="G82" s="58" t="s">
        <v>117</v>
      </c>
      <c r="H82" s="58" t="s">
        <v>118</v>
      </c>
      <c r="I82" s="58" t="s">
        <v>118</v>
      </c>
      <c r="J82" s="34">
        <v>650</v>
      </c>
      <c r="K82" s="34">
        <v>650</v>
      </c>
      <c r="L82" s="34">
        <v>0</v>
      </c>
      <c r="M82" s="37">
        <v>0</v>
      </c>
      <c r="N82" s="34">
        <v>0</v>
      </c>
      <c r="O82" s="40">
        <v>0</v>
      </c>
    </row>
    <row r="83" spans="1:15">
      <c r="B83" s="55">
        <v>71</v>
      </c>
      <c r="C83" s="58">
        <v>51</v>
      </c>
      <c r="D83" s="58" t="s">
        <v>21</v>
      </c>
      <c r="E83" s="58" t="s">
        <v>113</v>
      </c>
      <c r="F83" s="58" t="s">
        <v>114</v>
      </c>
      <c r="G83" s="58" t="s">
        <v>70</v>
      </c>
      <c r="H83" s="58" t="s">
        <v>71</v>
      </c>
      <c r="I83" s="58" t="s">
        <v>71</v>
      </c>
      <c r="J83" s="34">
        <v>2112</v>
      </c>
      <c r="K83" s="34">
        <v>1426</v>
      </c>
      <c r="L83" s="34">
        <v>-686</v>
      </c>
      <c r="M83" s="37">
        <v>0</v>
      </c>
      <c r="N83" s="34">
        <v>12672</v>
      </c>
      <c r="O83" s="40">
        <v>0</v>
      </c>
    </row>
    <row r="84" spans="1:15">
      <c r="B84" s="55">
        <v>72</v>
      </c>
      <c r="C84" s="58">
        <v>51</v>
      </c>
      <c r="D84" s="58" t="s">
        <v>21</v>
      </c>
      <c r="E84" s="58" t="s">
        <v>113</v>
      </c>
      <c r="F84" s="58" t="s">
        <v>114</v>
      </c>
      <c r="G84" s="58" t="s">
        <v>119</v>
      </c>
      <c r="H84" s="58" t="s">
        <v>120</v>
      </c>
      <c r="I84" s="58" t="s">
        <v>120</v>
      </c>
      <c r="J84" s="34">
        <v>13820</v>
      </c>
      <c r="K84" s="34">
        <v>13820</v>
      </c>
      <c r="L84" s="34">
        <v>0</v>
      </c>
      <c r="M84" s="37">
        <v>0</v>
      </c>
      <c r="N84" s="34">
        <v>19129</v>
      </c>
      <c r="O84" s="40">
        <v>0</v>
      </c>
    </row>
    <row r="85" spans="1:15">
      <c r="B85" s="55">
        <v>73</v>
      </c>
      <c r="C85" s="58">
        <v>51</v>
      </c>
      <c r="D85" s="58" t="s">
        <v>21</v>
      </c>
      <c r="E85" s="58" t="s">
        <v>113</v>
      </c>
      <c r="F85" s="58" t="s">
        <v>114</v>
      </c>
      <c r="G85" s="58" t="s">
        <v>109</v>
      </c>
      <c r="H85" s="58" t="s">
        <v>110</v>
      </c>
      <c r="I85" s="58" t="s">
        <v>110</v>
      </c>
      <c r="J85" s="34">
        <v>0</v>
      </c>
      <c r="K85" s="34">
        <v>0</v>
      </c>
      <c r="L85" s="34">
        <v>0</v>
      </c>
      <c r="M85" s="37">
        <v>0</v>
      </c>
      <c r="N85" s="34">
        <v>0</v>
      </c>
      <c r="O85" s="40">
        <v>0</v>
      </c>
    </row>
    <row r="86" spans="1:15">
      <c r="B86" s="55">
        <v>74</v>
      </c>
      <c r="C86" s="58">
        <v>51</v>
      </c>
      <c r="D86" s="58" t="s">
        <v>21</v>
      </c>
      <c r="E86" s="58" t="s">
        <v>121</v>
      </c>
      <c r="F86" s="58" t="s">
        <v>23</v>
      </c>
      <c r="G86" s="58" t="s">
        <v>53</v>
      </c>
      <c r="H86" s="58" t="s">
        <v>54</v>
      </c>
      <c r="I86" s="58" t="s">
        <v>55</v>
      </c>
      <c r="J86" s="34">
        <v>0</v>
      </c>
      <c r="K86" s="34">
        <v>0</v>
      </c>
      <c r="L86" s="34">
        <v>0</v>
      </c>
      <c r="M86" s="37">
        <v>0</v>
      </c>
      <c r="N86" s="34">
        <v>23758</v>
      </c>
      <c r="O86" s="40">
        <v>0</v>
      </c>
    </row>
    <row r="87" spans="1:15">
      <c r="B87" s="55">
        <v>75</v>
      </c>
      <c r="C87" s="58">
        <v>51</v>
      </c>
      <c r="D87" s="58" t="s">
        <v>21</v>
      </c>
      <c r="E87" s="58" t="s">
        <v>121</v>
      </c>
      <c r="F87" s="58" t="s">
        <v>23</v>
      </c>
      <c r="G87" s="58" t="s">
        <v>122</v>
      </c>
      <c r="H87" s="58" t="s">
        <v>123</v>
      </c>
      <c r="I87" s="58" t="s">
        <v>124</v>
      </c>
      <c r="J87" s="34">
        <v>14442</v>
      </c>
      <c r="K87" s="34">
        <v>14442</v>
      </c>
      <c r="L87" s="34">
        <v>0</v>
      </c>
      <c r="M87" s="37">
        <v>0</v>
      </c>
      <c r="N87" s="34">
        <v>26477</v>
      </c>
      <c r="O87" s="40">
        <v>0</v>
      </c>
    </row>
    <row r="88" spans="1:15">
      <c r="B88" s="55">
        <v>76</v>
      </c>
      <c r="C88" s="58">
        <v>51</v>
      </c>
      <c r="D88" s="58" t="s">
        <v>21</v>
      </c>
      <c r="E88" s="58" t="s">
        <v>121</v>
      </c>
      <c r="F88" s="58" t="s">
        <v>23</v>
      </c>
      <c r="G88" s="58" t="s">
        <v>125</v>
      </c>
      <c r="H88" s="58" t="s">
        <v>126</v>
      </c>
      <c r="I88" s="58" t="s">
        <v>127</v>
      </c>
      <c r="J88" s="34">
        <v>26467</v>
      </c>
      <c r="K88" s="34">
        <v>26467</v>
      </c>
      <c r="L88" s="34">
        <v>0</v>
      </c>
      <c r="M88" s="37">
        <v>0</v>
      </c>
      <c r="N88" s="34">
        <v>19256</v>
      </c>
      <c r="O88" s="40">
        <v>0</v>
      </c>
    </row>
    <row r="89" spans="1:15">
      <c r="B89" s="55">
        <v>77</v>
      </c>
      <c r="C89" s="58">
        <v>51</v>
      </c>
      <c r="D89" s="58" t="s">
        <v>21</v>
      </c>
      <c r="E89" s="58" t="s">
        <v>121</v>
      </c>
      <c r="F89" s="58" t="s">
        <v>23</v>
      </c>
      <c r="G89" s="58" t="s">
        <v>49</v>
      </c>
      <c r="H89" s="58" t="s">
        <v>50</v>
      </c>
      <c r="I89" s="58" t="s">
        <v>50</v>
      </c>
      <c r="J89" s="34">
        <v>0</v>
      </c>
      <c r="K89" s="34">
        <v>0</v>
      </c>
      <c r="L89" s="34">
        <v>0</v>
      </c>
      <c r="M89" s="37">
        <v>0</v>
      </c>
      <c r="N89" s="34">
        <v>0</v>
      </c>
      <c r="O89" s="40">
        <v>0</v>
      </c>
    </row>
    <row r="90" spans="1:15">
      <c r="B90" s="55">
        <v>78</v>
      </c>
      <c r="C90" s="58">
        <v>51</v>
      </c>
      <c r="D90" s="58" t="s">
        <v>21</v>
      </c>
      <c r="E90" s="58" t="s">
        <v>121</v>
      </c>
      <c r="F90" s="58" t="s">
        <v>23</v>
      </c>
      <c r="G90" s="58" t="s">
        <v>128</v>
      </c>
      <c r="H90" s="58" t="s">
        <v>129</v>
      </c>
      <c r="I90" s="58" t="s">
        <v>130</v>
      </c>
      <c r="J90" s="34">
        <v>2813</v>
      </c>
      <c r="K90" s="34">
        <v>2796</v>
      </c>
      <c r="L90" s="34">
        <v>-17</v>
      </c>
      <c r="M90" s="37">
        <v>0</v>
      </c>
      <c r="N90" s="34">
        <v>6859</v>
      </c>
      <c r="O90" s="40">
        <v>0</v>
      </c>
    </row>
    <row r="91" spans="1:15">
      <c r="B91" s="55">
        <v>79</v>
      </c>
      <c r="C91" s="58">
        <v>51</v>
      </c>
      <c r="D91" s="58" t="s">
        <v>21</v>
      </c>
      <c r="E91" s="58" t="s">
        <v>121</v>
      </c>
      <c r="F91" s="58" t="s">
        <v>23</v>
      </c>
      <c r="G91" s="58" t="s">
        <v>45</v>
      </c>
      <c r="H91" s="58" t="s">
        <v>46</v>
      </c>
      <c r="I91" s="58" t="s">
        <v>46</v>
      </c>
      <c r="J91" s="34">
        <v>0</v>
      </c>
      <c r="K91" s="34">
        <v>0</v>
      </c>
      <c r="L91" s="34">
        <v>0</v>
      </c>
      <c r="M91" s="37">
        <v>0</v>
      </c>
      <c r="N91" s="34">
        <v>0</v>
      </c>
      <c r="O91" s="40">
        <v>0</v>
      </c>
    </row>
    <row r="92" spans="1:15">
      <c r="B92" s="55">
        <v>80</v>
      </c>
      <c r="C92" s="58">
        <v>51</v>
      </c>
      <c r="D92" s="58" t="s">
        <v>21</v>
      </c>
      <c r="E92" s="58" t="s">
        <v>121</v>
      </c>
      <c r="F92" s="58" t="s">
        <v>23</v>
      </c>
      <c r="G92" s="58" t="s">
        <v>131</v>
      </c>
      <c r="H92" s="58" t="s">
        <v>132</v>
      </c>
      <c r="I92" s="58" t="s">
        <v>132</v>
      </c>
      <c r="J92" s="34">
        <v>3696</v>
      </c>
      <c r="K92" s="34">
        <v>3696</v>
      </c>
      <c r="L92" s="34">
        <v>0</v>
      </c>
      <c r="M92" s="37">
        <v>0</v>
      </c>
      <c r="N92" s="34">
        <v>12432</v>
      </c>
      <c r="O92" s="40">
        <v>0</v>
      </c>
    </row>
    <row r="93" spans="1:15">
      <c r="B93" s="55">
        <v>81</v>
      </c>
      <c r="C93" s="58">
        <v>51</v>
      </c>
      <c r="D93" s="58" t="s">
        <v>21</v>
      </c>
      <c r="E93" s="58" t="s">
        <v>121</v>
      </c>
      <c r="F93" s="58" t="s">
        <v>23</v>
      </c>
      <c r="G93" s="58" t="s">
        <v>133</v>
      </c>
      <c r="H93" s="58" t="s">
        <v>134</v>
      </c>
      <c r="I93" s="58" t="s">
        <v>135</v>
      </c>
      <c r="J93" s="34">
        <v>5204</v>
      </c>
      <c r="K93" s="34">
        <v>5204</v>
      </c>
      <c r="L93" s="34">
        <v>0</v>
      </c>
      <c r="M93" s="37">
        <v>0</v>
      </c>
      <c r="N93" s="34">
        <v>8420</v>
      </c>
      <c r="O93" s="40">
        <v>0</v>
      </c>
    </row>
    <row r="94" spans="1:15">
      <c r="B94" s="55">
        <v>82</v>
      </c>
      <c r="C94" s="58">
        <v>51</v>
      </c>
      <c r="D94" s="58" t="s">
        <v>21</v>
      </c>
      <c r="E94" s="58" t="s">
        <v>121</v>
      </c>
      <c r="F94" s="58" t="s">
        <v>23</v>
      </c>
      <c r="G94" s="58" t="s">
        <v>72</v>
      </c>
      <c r="H94" s="58" t="s">
        <v>30</v>
      </c>
      <c r="I94" s="58" t="s">
        <v>30</v>
      </c>
      <c r="J94" s="34">
        <v>0</v>
      </c>
      <c r="K94" s="34">
        <v>0</v>
      </c>
      <c r="L94" s="34">
        <v>0</v>
      </c>
      <c r="M94" s="37">
        <v>0</v>
      </c>
      <c r="N94" s="34">
        <v>0</v>
      </c>
      <c r="O94" s="40">
        <v>0</v>
      </c>
    </row>
    <row r="95" spans="1:15">
      <c r="B95" s="55">
        <v>83</v>
      </c>
      <c r="C95" s="58">
        <v>51</v>
      </c>
      <c r="D95" s="58" t="s">
        <v>21</v>
      </c>
      <c r="E95" s="58" t="s">
        <v>121</v>
      </c>
      <c r="F95" s="58" t="s">
        <v>23</v>
      </c>
      <c r="G95" s="58" t="s">
        <v>99</v>
      </c>
      <c r="H95" s="58" t="s">
        <v>100</v>
      </c>
      <c r="I95" s="58" t="s">
        <v>100</v>
      </c>
      <c r="J95" s="34">
        <v>10453</v>
      </c>
      <c r="K95" s="34">
        <v>9689</v>
      </c>
      <c r="L95" s="34">
        <v>-764</v>
      </c>
      <c r="M95" s="37">
        <v>0</v>
      </c>
      <c r="N95" s="34">
        <v>0</v>
      </c>
      <c r="O95" s="40">
        <v>0</v>
      </c>
    </row>
    <row r="96" spans="1:15">
      <c r="B96" s="55">
        <v>84</v>
      </c>
      <c r="C96" s="58">
        <v>51</v>
      </c>
      <c r="D96" s="58" t="s">
        <v>21</v>
      </c>
      <c r="E96" s="58" t="s">
        <v>121</v>
      </c>
      <c r="F96" s="58" t="s">
        <v>23</v>
      </c>
      <c r="G96" s="58" t="s">
        <v>75</v>
      </c>
      <c r="H96" s="58" t="s">
        <v>76</v>
      </c>
      <c r="I96" s="60" t="s">
        <v>76</v>
      </c>
      <c r="J96" s="34">
        <v>2900</v>
      </c>
      <c r="K96" s="34">
        <v>2690</v>
      </c>
      <c r="L96" s="34">
        <v>-210</v>
      </c>
      <c r="M96" s="37">
        <v>0</v>
      </c>
      <c r="N96" s="34">
        <v>2900</v>
      </c>
      <c r="O96" s="40">
        <v>0</v>
      </c>
    </row>
    <row r="97" spans="1:15">
      <c r="B97" s="55">
        <v>85</v>
      </c>
      <c r="C97" s="58">
        <v>51</v>
      </c>
      <c r="D97" s="58" t="s">
        <v>21</v>
      </c>
      <c r="E97" s="58" t="s">
        <v>121</v>
      </c>
      <c r="F97" s="58" t="s">
        <v>23</v>
      </c>
      <c r="G97" s="58" t="s">
        <v>33</v>
      </c>
      <c r="H97" s="58" t="s">
        <v>34</v>
      </c>
      <c r="I97" s="58" t="s">
        <v>34</v>
      </c>
      <c r="J97" s="34">
        <v>0</v>
      </c>
      <c r="K97" s="34">
        <v>0</v>
      </c>
      <c r="L97" s="34">
        <v>0</v>
      </c>
      <c r="M97" s="37">
        <v>0</v>
      </c>
      <c r="N97" s="34">
        <v>4652</v>
      </c>
      <c r="O97" s="40">
        <v>0</v>
      </c>
    </row>
    <row r="98" spans="1:15">
      <c r="B98" s="55">
        <v>86</v>
      </c>
      <c r="C98" s="58">
        <v>51</v>
      </c>
      <c r="D98" s="58" t="s">
        <v>21</v>
      </c>
      <c r="E98" s="58" t="s">
        <v>121</v>
      </c>
      <c r="F98" s="58" t="s">
        <v>23</v>
      </c>
      <c r="G98" s="58" t="s">
        <v>136</v>
      </c>
      <c r="H98" s="58" t="s">
        <v>137</v>
      </c>
      <c r="I98" s="58" t="s">
        <v>137</v>
      </c>
      <c r="J98" s="34">
        <v>3966</v>
      </c>
      <c r="K98" s="34">
        <v>3966</v>
      </c>
      <c r="L98" s="34">
        <v>0</v>
      </c>
      <c r="M98" s="37">
        <v>0</v>
      </c>
      <c r="N98" s="34">
        <v>3966</v>
      </c>
      <c r="O98" s="40">
        <v>0</v>
      </c>
    </row>
    <row r="99" spans="1:15">
      <c r="B99" s="55">
        <v>87</v>
      </c>
      <c r="C99" s="58">
        <v>51</v>
      </c>
      <c r="D99" s="58" t="s">
        <v>21</v>
      </c>
      <c r="E99" s="58" t="s">
        <v>121</v>
      </c>
      <c r="F99" s="58" t="s">
        <v>23</v>
      </c>
      <c r="G99" s="58" t="s">
        <v>39</v>
      </c>
      <c r="H99" s="58" t="s">
        <v>40</v>
      </c>
      <c r="I99" s="58" t="s">
        <v>40</v>
      </c>
      <c r="J99" s="34">
        <v>0</v>
      </c>
      <c r="K99" s="34">
        <v>0</v>
      </c>
      <c r="L99" s="34">
        <v>0</v>
      </c>
      <c r="M99" s="37">
        <v>0</v>
      </c>
      <c r="N99" s="34">
        <v>4244</v>
      </c>
      <c r="O99" s="40">
        <v>0</v>
      </c>
    </row>
    <row r="100" spans="1:15">
      <c r="B100" s="55">
        <v>88</v>
      </c>
      <c r="C100" s="58">
        <v>51</v>
      </c>
      <c r="D100" s="58" t="s">
        <v>21</v>
      </c>
      <c r="E100" s="58" t="s">
        <v>121</v>
      </c>
      <c r="F100" s="58" t="s">
        <v>23</v>
      </c>
      <c r="G100" s="58" t="s">
        <v>29</v>
      </c>
      <c r="H100" s="58" t="s">
        <v>30</v>
      </c>
      <c r="I100" s="58" t="s">
        <v>30</v>
      </c>
      <c r="J100" s="34">
        <v>2830</v>
      </c>
      <c r="K100" s="34">
        <v>2830</v>
      </c>
      <c r="L100" s="34">
        <v>0</v>
      </c>
      <c r="M100" s="37">
        <v>0</v>
      </c>
      <c r="N100" s="34">
        <v>20294</v>
      </c>
      <c r="O100" s="40">
        <v>0</v>
      </c>
    </row>
    <row r="101" spans="1:15">
      <c r="B101" s="55">
        <v>89</v>
      </c>
      <c r="C101" s="58">
        <v>51</v>
      </c>
      <c r="D101" s="58" t="s">
        <v>21</v>
      </c>
      <c r="E101" s="58" t="s">
        <v>138</v>
      </c>
      <c r="F101" s="58" t="s">
        <v>23</v>
      </c>
      <c r="G101" s="58" t="s">
        <v>136</v>
      </c>
      <c r="H101" s="58" t="s">
        <v>137</v>
      </c>
      <c r="I101" s="58" t="s">
        <v>137</v>
      </c>
      <c r="J101" s="34">
        <v>0</v>
      </c>
      <c r="K101" s="34">
        <v>0</v>
      </c>
      <c r="L101" s="34">
        <v>0</v>
      </c>
      <c r="M101" s="37">
        <v>0</v>
      </c>
      <c r="N101" s="34">
        <v>3966</v>
      </c>
      <c r="O101" s="40">
        <v>0</v>
      </c>
    </row>
    <row r="102" spans="1:15">
      <c r="B102" s="55">
        <v>90</v>
      </c>
      <c r="C102" s="58">
        <v>51</v>
      </c>
      <c r="D102" s="58" t="s">
        <v>21</v>
      </c>
      <c r="E102" s="58" t="s">
        <v>138</v>
      </c>
      <c r="F102" s="58" t="s">
        <v>23</v>
      </c>
      <c r="G102" s="58" t="s">
        <v>133</v>
      </c>
      <c r="H102" s="58" t="s">
        <v>134</v>
      </c>
      <c r="I102" s="58" t="s">
        <v>135</v>
      </c>
      <c r="J102" s="34">
        <v>0</v>
      </c>
      <c r="K102" s="34">
        <v>0</v>
      </c>
      <c r="L102" s="34">
        <v>0</v>
      </c>
      <c r="M102" s="37">
        <v>0</v>
      </c>
      <c r="N102" s="34">
        <v>8420</v>
      </c>
      <c r="O102" s="40">
        <v>0</v>
      </c>
    </row>
    <row r="103" spans="1:15">
      <c r="B103" s="55">
        <v>91</v>
      </c>
      <c r="C103" s="58">
        <v>51</v>
      </c>
      <c r="D103" s="58" t="s">
        <v>21</v>
      </c>
      <c r="E103" s="58" t="s">
        <v>138</v>
      </c>
      <c r="F103" s="58" t="s">
        <v>23</v>
      </c>
      <c r="G103" s="58" t="s">
        <v>103</v>
      </c>
      <c r="H103" s="58" t="s">
        <v>104</v>
      </c>
      <c r="I103" s="58"/>
      <c r="J103" s="34">
        <v>0</v>
      </c>
      <c r="K103" s="34">
        <v>0</v>
      </c>
      <c r="L103" s="34">
        <v>0</v>
      </c>
      <c r="M103" s="37">
        <v>0</v>
      </c>
      <c r="N103" s="34">
        <v>0</v>
      </c>
      <c r="O103" s="40">
        <v>0</v>
      </c>
    </row>
    <row r="104" spans="1:15">
      <c r="B104" s="55">
        <v>92</v>
      </c>
      <c r="C104" s="58">
        <v>51</v>
      </c>
      <c r="D104" s="58" t="s">
        <v>21</v>
      </c>
      <c r="E104" s="58" t="s">
        <v>138</v>
      </c>
      <c r="F104" s="58" t="s">
        <v>23</v>
      </c>
      <c r="G104" s="58" t="s">
        <v>139</v>
      </c>
      <c r="H104" s="58" t="s">
        <v>140</v>
      </c>
      <c r="I104" s="58" t="s">
        <v>141</v>
      </c>
      <c r="J104" s="34">
        <v>6718</v>
      </c>
      <c r="K104" s="34">
        <v>6714</v>
      </c>
      <c r="L104" s="34">
        <v>-4</v>
      </c>
      <c r="M104" s="37">
        <v>0</v>
      </c>
      <c r="N104" s="34">
        <v>7465</v>
      </c>
      <c r="O104" s="40">
        <v>0</v>
      </c>
    </row>
    <row r="105" spans="1:15">
      <c r="B105" s="55">
        <v>93</v>
      </c>
      <c r="C105" s="58">
        <v>51</v>
      </c>
      <c r="D105" s="58" t="s">
        <v>21</v>
      </c>
      <c r="E105" s="58" t="s">
        <v>138</v>
      </c>
      <c r="F105" s="58" t="s">
        <v>23</v>
      </c>
      <c r="G105" s="58" t="s">
        <v>131</v>
      </c>
      <c r="H105" s="58" t="s">
        <v>132</v>
      </c>
      <c r="I105" s="58" t="s">
        <v>132</v>
      </c>
      <c r="J105" s="34">
        <v>16704</v>
      </c>
      <c r="K105" s="34">
        <v>16907</v>
      </c>
      <c r="L105" s="34">
        <v>203</v>
      </c>
      <c r="M105" s="37">
        <v>0</v>
      </c>
      <c r="N105" s="34">
        <v>12432</v>
      </c>
      <c r="O105" s="40">
        <v>0</v>
      </c>
    </row>
    <row r="106" spans="1:15">
      <c r="B106" s="55">
        <v>94</v>
      </c>
      <c r="C106" s="58">
        <v>51</v>
      </c>
      <c r="D106" s="58" t="s">
        <v>21</v>
      </c>
      <c r="E106" s="58" t="s">
        <v>138</v>
      </c>
      <c r="F106" s="58" t="s">
        <v>23</v>
      </c>
      <c r="G106" s="58" t="s">
        <v>122</v>
      </c>
      <c r="H106" s="58" t="s">
        <v>123</v>
      </c>
      <c r="I106" s="58" t="s">
        <v>124</v>
      </c>
      <c r="J106" s="34">
        <v>0</v>
      </c>
      <c r="K106" s="34">
        <v>0</v>
      </c>
      <c r="L106" s="34">
        <v>0</v>
      </c>
      <c r="M106" s="37">
        <v>0</v>
      </c>
      <c r="N106" s="34">
        <v>26477</v>
      </c>
      <c r="O106" s="40">
        <v>0</v>
      </c>
    </row>
    <row r="107" spans="1:15">
      <c r="B107" s="55">
        <v>95</v>
      </c>
      <c r="C107" s="58">
        <v>51</v>
      </c>
      <c r="D107" s="58" t="s">
        <v>21</v>
      </c>
      <c r="E107" s="58" t="s">
        <v>138</v>
      </c>
      <c r="F107" s="58" t="s">
        <v>23</v>
      </c>
      <c r="G107" s="58" t="s">
        <v>84</v>
      </c>
      <c r="H107" s="58" t="s">
        <v>85</v>
      </c>
      <c r="I107" s="58" t="s">
        <v>85</v>
      </c>
      <c r="J107" s="34">
        <v>0</v>
      </c>
      <c r="K107" s="34">
        <v>0</v>
      </c>
      <c r="L107" s="34">
        <v>0</v>
      </c>
      <c r="M107" s="37">
        <v>0</v>
      </c>
      <c r="N107" s="34">
        <v>16132</v>
      </c>
      <c r="O107" s="40">
        <v>0</v>
      </c>
    </row>
    <row r="108" spans="1:15">
      <c r="B108" s="55">
        <v>96</v>
      </c>
      <c r="C108" s="58">
        <v>51</v>
      </c>
      <c r="D108" s="58" t="s">
        <v>21</v>
      </c>
      <c r="E108" s="58" t="s">
        <v>138</v>
      </c>
      <c r="F108" s="58" t="s">
        <v>23</v>
      </c>
      <c r="G108" s="58" t="s">
        <v>125</v>
      </c>
      <c r="H108" s="58" t="s">
        <v>126</v>
      </c>
      <c r="I108" s="58" t="s">
        <v>127</v>
      </c>
      <c r="J108" s="34">
        <v>0</v>
      </c>
      <c r="K108" s="34">
        <v>0</v>
      </c>
      <c r="L108" s="34">
        <v>0</v>
      </c>
      <c r="M108" s="37">
        <v>0</v>
      </c>
      <c r="N108" s="34">
        <v>19256</v>
      </c>
      <c r="O108" s="40">
        <v>0</v>
      </c>
    </row>
    <row r="109" spans="1:15">
      <c r="B109" s="55">
        <v>97</v>
      </c>
      <c r="C109" s="58">
        <v>51</v>
      </c>
      <c r="D109" s="58" t="s">
        <v>21</v>
      </c>
      <c r="E109" s="58" t="s">
        <v>138</v>
      </c>
      <c r="F109" s="58" t="s">
        <v>23</v>
      </c>
      <c r="G109" s="58" t="s">
        <v>64</v>
      </c>
      <c r="H109" s="58" t="s">
        <v>65</v>
      </c>
      <c r="I109" s="58" t="s">
        <v>65</v>
      </c>
      <c r="J109" s="34">
        <v>0</v>
      </c>
      <c r="K109" s="34">
        <v>0</v>
      </c>
      <c r="L109" s="34">
        <v>0</v>
      </c>
      <c r="M109" s="37">
        <v>0</v>
      </c>
      <c r="N109" s="34">
        <v>8526</v>
      </c>
      <c r="O109" s="40">
        <v>0</v>
      </c>
    </row>
    <row r="110" spans="1:15">
      <c r="B110" s="55">
        <v>98</v>
      </c>
      <c r="C110" s="58">
        <v>51</v>
      </c>
      <c r="D110" s="58" t="s">
        <v>21</v>
      </c>
      <c r="E110" s="58" t="s">
        <v>138</v>
      </c>
      <c r="F110" s="58" t="s">
        <v>23</v>
      </c>
      <c r="G110" s="58" t="s">
        <v>128</v>
      </c>
      <c r="H110" s="58" t="s">
        <v>129</v>
      </c>
      <c r="I110" s="58" t="s">
        <v>130</v>
      </c>
      <c r="J110" s="34">
        <v>0</v>
      </c>
      <c r="K110" s="34">
        <v>0</v>
      </c>
      <c r="L110" s="34">
        <v>0</v>
      </c>
      <c r="M110" s="37">
        <v>0</v>
      </c>
      <c r="N110" s="34">
        <v>6859</v>
      </c>
      <c r="O110" s="40">
        <v>0</v>
      </c>
    </row>
    <row r="111" spans="1:15">
      <c r="B111" s="55">
        <v>99</v>
      </c>
      <c r="C111" s="58">
        <v>51</v>
      </c>
      <c r="D111" s="58" t="s">
        <v>21</v>
      </c>
      <c r="E111" s="58" t="s">
        <v>142</v>
      </c>
      <c r="F111" s="58" t="s">
        <v>114</v>
      </c>
      <c r="G111" s="58" t="s">
        <v>77</v>
      </c>
      <c r="H111" s="58" t="s">
        <v>78</v>
      </c>
      <c r="I111" s="58" t="s">
        <v>78</v>
      </c>
      <c r="J111" s="34">
        <v>0</v>
      </c>
      <c r="K111" s="34">
        <v>0</v>
      </c>
      <c r="L111" s="34">
        <v>0</v>
      </c>
      <c r="M111" s="37">
        <v>0</v>
      </c>
      <c r="N111" s="34">
        <v>0</v>
      </c>
      <c r="O111" s="40">
        <v>0</v>
      </c>
    </row>
    <row r="112" spans="1:15">
      <c r="B112" s="55">
        <v>100</v>
      </c>
      <c r="C112" s="58">
        <v>51</v>
      </c>
      <c r="D112" s="58" t="s">
        <v>21</v>
      </c>
      <c r="E112" s="58" t="s">
        <v>142</v>
      </c>
      <c r="F112" s="58" t="s">
        <v>114</v>
      </c>
      <c r="G112" s="58" t="s">
        <v>70</v>
      </c>
      <c r="H112" s="58" t="s">
        <v>71</v>
      </c>
      <c r="I112" s="58" t="s">
        <v>71</v>
      </c>
      <c r="J112" s="34">
        <v>5280</v>
      </c>
      <c r="K112" s="34">
        <v>5280</v>
      </c>
      <c r="L112" s="34">
        <v>0</v>
      </c>
      <c r="M112" s="37">
        <v>0</v>
      </c>
      <c r="N112" s="34">
        <v>12672</v>
      </c>
      <c r="O112" s="40">
        <v>0</v>
      </c>
    </row>
    <row r="113" spans="1:15">
      <c r="B113" s="55">
        <v>101</v>
      </c>
      <c r="C113" s="58">
        <v>51</v>
      </c>
      <c r="D113" s="58" t="s">
        <v>21</v>
      </c>
      <c r="E113" s="58" t="s">
        <v>142</v>
      </c>
      <c r="F113" s="58" t="s">
        <v>114</v>
      </c>
      <c r="G113" s="58" t="s">
        <v>119</v>
      </c>
      <c r="H113" s="58" t="s">
        <v>120</v>
      </c>
      <c r="I113" s="58" t="s">
        <v>120</v>
      </c>
      <c r="J113" s="34">
        <v>0</v>
      </c>
      <c r="K113" s="34">
        <v>0</v>
      </c>
      <c r="L113" s="34">
        <v>0</v>
      </c>
      <c r="M113" s="37">
        <v>0</v>
      </c>
      <c r="N113" s="34">
        <v>19129</v>
      </c>
      <c r="O113" s="40">
        <v>0</v>
      </c>
    </row>
    <row r="114" spans="1:15">
      <c r="B114" s="55">
        <v>102</v>
      </c>
      <c r="C114" s="58">
        <v>51</v>
      </c>
      <c r="D114" s="58" t="s">
        <v>21</v>
      </c>
      <c r="E114" s="58" t="s">
        <v>142</v>
      </c>
      <c r="F114" s="58" t="s">
        <v>114</v>
      </c>
      <c r="G114" s="58" t="s">
        <v>115</v>
      </c>
      <c r="H114" s="58" t="s">
        <v>116</v>
      </c>
      <c r="I114" s="58" t="s">
        <v>116</v>
      </c>
      <c r="J114" s="34">
        <v>0</v>
      </c>
      <c r="K114" s="34">
        <v>0</v>
      </c>
      <c r="L114" s="34">
        <v>0</v>
      </c>
      <c r="M114" s="37">
        <v>0</v>
      </c>
      <c r="N114" s="34">
        <v>23016</v>
      </c>
      <c r="O114" s="40">
        <v>0</v>
      </c>
    </row>
    <row r="115" spans="1:15">
      <c r="B115" s="55">
        <v>103</v>
      </c>
      <c r="C115" s="58">
        <v>51</v>
      </c>
      <c r="D115" s="58" t="s">
        <v>21</v>
      </c>
      <c r="E115" s="58" t="s">
        <v>142</v>
      </c>
      <c r="F115" s="58" t="s">
        <v>114</v>
      </c>
      <c r="G115" s="58" t="s">
        <v>143</v>
      </c>
      <c r="H115" s="58" t="s">
        <v>144</v>
      </c>
      <c r="I115" s="58" t="s">
        <v>144</v>
      </c>
      <c r="J115" s="34">
        <v>13096</v>
      </c>
      <c r="K115" s="34">
        <v>12456</v>
      </c>
      <c r="L115" s="34">
        <v>-640</v>
      </c>
      <c r="M115" s="37">
        <v>0</v>
      </c>
      <c r="N115" s="34">
        <v>18356</v>
      </c>
      <c r="O115" s="40">
        <v>0</v>
      </c>
    </row>
    <row r="116" spans="1:15">
      <c r="B116" s="55">
        <v>104</v>
      </c>
      <c r="C116" s="58">
        <v>51</v>
      </c>
      <c r="D116" s="58" t="s">
        <v>21</v>
      </c>
      <c r="E116" s="58" t="s">
        <v>142</v>
      </c>
      <c r="F116" s="58" t="s">
        <v>114</v>
      </c>
      <c r="G116" s="58" t="s">
        <v>117</v>
      </c>
      <c r="H116" s="58" t="s">
        <v>118</v>
      </c>
      <c r="I116" s="58" t="s">
        <v>118</v>
      </c>
      <c r="J116" s="34">
        <v>0</v>
      </c>
      <c r="K116" s="34">
        <v>0</v>
      </c>
      <c r="L116" s="34">
        <v>0</v>
      </c>
      <c r="M116" s="37">
        <v>0</v>
      </c>
      <c r="N116" s="34">
        <v>0</v>
      </c>
      <c r="O116" s="40">
        <v>0</v>
      </c>
    </row>
    <row r="117" spans="1:15">
      <c r="B117" s="55">
        <v>105</v>
      </c>
      <c r="C117" s="58">
        <v>51</v>
      </c>
      <c r="D117" s="58" t="s">
        <v>21</v>
      </c>
      <c r="E117" s="58" t="s">
        <v>145</v>
      </c>
      <c r="F117" s="58" t="s">
        <v>114</v>
      </c>
      <c r="G117" s="58" t="s">
        <v>146</v>
      </c>
      <c r="H117" s="58" t="s">
        <v>92</v>
      </c>
      <c r="I117" s="58" t="s">
        <v>63</v>
      </c>
      <c r="J117" s="34">
        <v>864</v>
      </c>
      <c r="K117" s="34">
        <v>864</v>
      </c>
      <c r="L117" s="34">
        <v>0</v>
      </c>
      <c r="M117" s="37">
        <v>0</v>
      </c>
      <c r="N117" s="34">
        <v>864</v>
      </c>
      <c r="O117" s="40">
        <v>0</v>
      </c>
    </row>
    <row r="118" spans="1:15">
      <c r="B118" s="55">
        <v>106</v>
      </c>
      <c r="C118" s="58">
        <v>51</v>
      </c>
      <c r="D118" s="58" t="s">
        <v>21</v>
      </c>
      <c r="E118" s="58" t="s">
        <v>145</v>
      </c>
      <c r="F118" s="58" t="s">
        <v>114</v>
      </c>
      <c r="G118" s="58" t="s">
        <v>111</v>
      </c>
      <c r="H118" s="58" t="s">
        <v>112</v>
      </c>
      <c r="I118" s="58" t="s">
        <v>112</v>
      </c>
      <c r="J118" s="34">
        <v>9708</v>
      </c>
      <c r="K118" s="34">
        <v>9119</v>
      </c>
      <c r="L118" s="34">
        <v>-589</v>
      </c>
      <c r="M118" s="37">
        <v>0</v>
      </c>
      <c r="N118" s="34">
        <v>21182</v>
      </c>
      <c r="O118" s="40">
        <v>0</v>
      </c>
    </row>
    <row r="119" spans="1:15">
      <c r="B119" s="55">
        <v>107</v>
      </c>
      <c r="C119" s="58">
        <v>51</v>
      </c>
      <c r="D119" s="58" t="s">
        <v>21</v>
      </c>
      <c r="E119" s="58" t="s">
        <v>145</v>
      </c>
      <c r="F119" s="58" t="s">
        <v>114</v>
      </c>
      <c r="G119" s="58" t="s">
        <v>70</v>
      </c>
      <c r="H119" s="58" t="s">
        <v>71</v>
      </c>
      <c r="I119" s="58" t="s">
        <v>71</v>
      </c>
      <c r="J119" s="34">
        <v>6290</v>
      </c>
      <c r="K119" s="34">
        <v>6224</v>
      </c>
      <c r="L119" s="34">
        <v>-66</v>
      </c>
      <c r="M119" s="37">
        <v>0</v>
      </c>
      <c r="N119" s="34">
        <v>12672</v>
      </c>
      <c r="O119" s="40">
        <v>0</v>
      </c>
    </row>
    <row r="120" spans="1:15">
      <c r="B120" s="55">
        <v>108</v>
      </c>
      <c r="C120" s="58">
        <v>51</v>
      </c>
      <c r="D120" s="58" t="s">
        <v>21</v>
      </c>
      <c r="E120" s="58" t="s">
        <v>145</v>
      </c>
      <c r="F120" s="58" t="s">
        <v>114</v>
      </c>
      <c r="G120" s="58" t="s">
        <v>109</v>
      </c>
      <c r="H120" s="58" t="s">
        <v>110</v>
      </c>
      <c r="I120" s="58" t="s">
        <v>110</v>
      </c>
      <c r="J120" s="34">
        <v>0</v>
      </c>
      <c r="K120" s="34">
        <v>0</v>
      </c>
      <c r="L120" s="34">
        <v>0</v>
      </c>
      <c r="M120" s="37">
        <v>0</v>
      </c>
      <c r="N120" s="34">
        <v>0</v>
      </c>
      <c r="O120" s="40">
        <v>0</v>
      </c>
    </row>
    <row r="121" spans="1:15">
      <c r="B121" s="55">
        <v>109</v>
      </c>
      <c r="C121" s="58">
        <v>51</v>
      </c>
      <c r="D121" s="58" t="s">
        <v>21</v>
      </c>
      <c r="E121" s="58" t="s">
        <v>145</v>
      </c>
      <c r="F121" s="58" t="s">
        <v>114</v>
      </c>
      <c r="G121" s="58" t="s">
        <v>147</v>
      </c>
      <c r="H121" s="58" t="s">
        <v>87</v>
      </c>
      <c r="I121" s="58" t="s">
        <v>63</v>
      </c>
      <c r="J121" s="34">
        <v>1080</v>
      </c>
      <c r="K121" s="34">
        <v>686</v>
      </c>
      <c r="L121" s="34">
        <v>-394</v>
      </c>
      <c r="M121" s="37">
        <v>0</v>
      </c>
      <c r="N121" s="34">
        <v>1080</v>
      </c>
      <c r="O121" s="40">
        <v>0</v>
      </c>
    </row>
    <row r="122" spans="1:15">
      <c r="B122" s="55">
        <v>110</v>
      </c>
      <c r="C122" s="58">
        <v>51</v>
      </c>
      <c r="D122" s="58" t="s">
        <v>21</v>
      </c>
      <c r="E122" s="58" t="s">
        <v>145</v>
      </c>
      <c r="F122" s="58" t="s">
        <v>114</v>
      </c>
      <c r="G122" s="58" t="s">
        <v>119</v>
      </c>
      <c r="H122" s="58" t="s">
        <v>120</v>
      </c>
      <c r="I122" s="58" t="s">
        <v>120</v>
      </c>
      <c r="J122" s="34">
        <v>0</v>
      </c>
      <c r="K122" s="34">
        <v>0</v>
      </c>
      <c r="L122" s="34">
        <v>0</v>
      </c>
      <c r="M122" s="37">
        <v>0</v>
      </c>
      <c r="N122" s="34">
        <v>19129</v>
      </c>
      <c r="O122" s="40">
        <v>0</v>
      </c>
    </row>
    <row r="123" spans="1:15">
      <c r="B123" s="56">
        <v>111</v>
      </c>
      <c r="C123" s="59">
        <v>51</v>
      </c>
      <c r="D123" s="59"/>
      <c r="E123" s="59" t="s">
        <v>148</v>
      </c>
      <c r="F123" s="59" t="s">
        <v>149</v>
      </c>
      <c r="G123" s="59" t="s">
        <v>150</v>
      </c>
      <c r="H123" s="59" t="s">
        <v>151</v>
      </c>
      <c r="I123" s="59"/>
      <c r="J123" s="35">
        <v>0</v>
      </c>
      <c r="K123" s="35">
        <v>0</v>
      </c>
      <c r="L123" s="35">
        <v>0</v>
      </c>
      <c r="M123" s="38">
        <v>0</v>
      </c>
      <c r="N123" s="35">
        <v>0</v>
      </c>
      <c r="O123" s="41">
        <v>0</v>
      </c>
    </row>
    <row r="124" spans="1:15">
      <c r="B124" s="55">
        <v>112</v>
      </c>
      <c r="C124" s="58">
        <v>51</v>
      </c>
      <c r="D124" s="58"/>
      <c r="E124" s="58" t="s">
        <v>148</v>
      </c>
      <c r="F124" s="58" t="s">
        <v>149</v>
      </c>
      <c r="G124" s="58" t="s">
        <v>152</v>
      </c>
      <c r="H124" s="58" t="s">
        <v>153</v>
      </c>
      <c r="I124" s="58" t="s">
        <v>88</v>
      </c>
      <c r="J124" s="34">
        <v>0</v>
      </c>
      <c r="K124" s="34">
        <v>0</v>
      </c>
      <c r="L124" s="34">
        <v>0</v>
      </c>
      <c r="M124" s="37">
        <v>0</v>
      </c>
      <c r="N124" s="34">
        <v>0</v>
      </c>
      <c r="O124" s="40">
        <v>0</v>
      </c>
    </row>
    <row r="125" spans="1:15">
      <c r="B125" s="55">
        <v>113</v>
      </c>
      <c r="C125" s="58">
        <v>51</v>
      </c>
      <c r="D125" s="58"/>
      <c r="E125" s="58" t="s">
        <v>148</v>
      </c>
      <c r="F125" s="58" t="s">
        <v>149</v>
      </c>
      <c r="G125" s="58" t="s">
        <v>154</v>
      </c>
      <c r="H125" s="58" t="s">
        <v>155</v>
      </c>
      <c r="I125" s="58" t="s">
        <v>156</v>
      </c>
      <c r="J125" s="34">
        <v>0</v>
      </c>
      <c r="K125" s="34">
        <v>0</v>
      </c>
      <c r="L125" s="34">
        <v>0</v>
      </c>
      <c r="M125" s="37">
        <v>0</v>
      </c>
      <c r="N125" s="34">
        <v>468</v>
      </c>
      <c r="O125" s="40">
        <v>61481.16</v>
      </c>
    </row>
    <row r="126" spans="1:15">
      <c r="B126" s="55">
        <v>114</v>
      </c>
      <c r="C126" s="58">
        <v>51</v>
      </c>
      <c r="D126" s="58"/>
      <c r="E126" s="58" t="s">
        <v>148</v>
      </c>
      <c r="F126" s="58" t="s">
        <v>149</v>
      </c>
      <c r="G126" s="58" t="s">
        <v>157</v>
      </c>
      <c r="H126" s="58" t="s">
        <v>158</v>
      </c>
      <c r="I126" s="58" t="s">
        <v>156</v>
      </c>
      <c r="J126" s="34">
        <v>0</v>
      </c>
      <c r="K126" s="34">
        <v>0</v>
      </c>
      <c r="L126" s="34">
        <v>0</v>
      </c>
      <c r="M126" s="37">
        <v>0</v>
      </c>
      <c r="N126" s="34">
        <v>0</v>
      </c>
      <c r="O126" s="40">
        <v>0</v>
      </c>
    </row>
    <row r="127" spans="1:15">
      <c r="B127" s="55">
        <v>115</v>
      </c>
      <c r="C127" s="58">
        <v>51</v>
      </c>
      <c r="D127" s="58"/>
      <c r="E127" s="58" t="s">
        <v>148</v>
      </c>
      <c r="F127" s="58" t="s">
        <v>149</v>
      </c>
      <c r="G127" s="58" t="s">
        <v>159</v>
      </c>
      <c r="H127" s="58" t="s">
        <v>158</v>
      </c>
      <c r="I127" s="58" t="s">
        <v>156</v>
      </c>
      <c r="J127" s="34">
        <v>404</v>
      </c>
      <c r="K127" s="34">
        <v>404</v>
      </c>
      <c r="L127" s="34">
        <v>0</v>
      </c>
      <c r="M127" s="37">
        <v>22898.72</v>
      </c>
      <c r="N127" s="34">
        <v>0</v>
      </c>
      <c r="O127" s="40">
        <v>0</v>
      </c>
    </row>
    <row r="128" spans="1:15">
      <c r="B128" s="55">
        <v>116</v>
      </c>
      <c r="C128" s="58">
        <v>51</v>
      </c>
      <c r="D128" s="58"/>
      <c r="E128" s="58" t="s">
        <v>148</v>
      </c>
      <c r="F128" s="58" t="s">
        <v>149</v>
      </c>
      <c r="G128" s="58" t="s">
        <v>160</v>
      </c>
      <c r="H128" s="58" t="s">
        <v>161</v>
      </c>
      <c r="I128" s="58" t="s">
        <v>156</v>
      </c>
      <c r="J128" s="34">
        <v>0</v>
      </c>
      <c r="K128" s="34">
        <v>0</v>
      </c>
      <c r="L128" s="34">
        <v>0</v>
      </c>
      <c r="M128" s="37">
        <v>0</v>
      </c>
      <c r="N128" s="34">
        <v>0</v>
      </c>
      <c r="O128" s="40">
        <v>0</v>
      </c>
    </row>
    <row r="129" spans="1:15">
      <c r="B129" s="55">
        <v>117</v>
      </c>
      <c r="C129" s="58">
        <v>51</v>
      </c>
      <c r="D129" s="58"/>
      <c r="E129" s="58" t="s">
        <v>148</v>
      </c>
      <c r="F129" s="58" t="s">
        <v>149</v>
      </c>
      <c r="G129" s="58" t="s">
        <v>162</v>
      </c>
      <c r="H129" s="58" t="s">
        <v>155</v>
      </c>
      <c r="I129" s="58" t="s">
        <v>156</v>
      </c>
      <c r="J129" s="34">
        <v>0</v>
      </c>
      <c r="K129" s="34">
        <v>0</v>
      </c>
      <c r="L129" s="34">
        <v>0</v>
      </c>
      <c r="M129" s="37">
        <v>0</v>
      </c>
      <c r="N129" s="34">
        <v>0</v>
      </c>
      <c r="O129" s="40">
        <v>0</v>
      </c>
    </row>
    <row r="130" spans="1:15">
      <c r="B130" s="55">
        <v>118</v>
      </c>
      <c r="C130" s="58">
        <v>51</v>
      </c>
      <c r="D130" s="58"/>
      <c r="E130" s="58" t="s">
        <v>148</v>
      </c>
      <c r="F130" s="58" t="s">
        <v>149</v>
      </c>
      <c r="G130" s="58" t="s">
        <v>163</v>
      </c>
      <c r="H130" s="58" t="s">
        <v>151</v>
      </c>
      <c r="I130" s="58" t="s">
        <v>164</v>
      </c>
      <c r="J130" s="34">
        <v>12975</v>
      </c>
      <c r="K130" s="34">
        <v>12975</v>
      </c>
      <c r="L130" s="34">
        <v>0</v>
      </c>
      <c r="M130" s="37">
        <v>481891.5</v>
      </c>
      <c r="N130" s="34">
        <v>0</v>
      </c>
      <c r="O130" s="40">
        <v>0</v>
      </c>
    </row>
    <row r="131" spans="1:15">
      <c r="B131" s="55">
        <v>119</v>
      </c>
      <c r="C131" s="58">
        <v>51</v>
      </c>
      <c r="D131" s="58"/>
      <c r="E131" s="58" t="s">
        <v>148</v>
      </c>
      <c r="F131" s="58" t="s">
        <v>149</v>
      </c>
      <c r="G131" s="58" t="s">
        <v>165</v>
      </c>
      <c r="H131" s="58" t="s">
        <v>153</v>
      </c>
      <c r="I131" s="58" t="s">
        <v>88</v>
      </c>
      <c r="J131" s="34">
        <v>4</v>
      </c>
      <c r="K131" s="34">
        <v>4</v>
      </c>
      <c r="L131" s="34">
        <v>0</v>
      </c>
      <c r="M131" s="37">
        <v>26.28</v>
      </c>
      <c r="N131" s="34">
        <v>600</v>
      </c>
      <c r="O131" s="40">
        <v>3942</v>
      </c>
    </row>
    <row r="132" spans="1:15">
      <c r="B132" s="55">
        <v>120</v>
      </c>
      <c r="C132" s="58">
        <v>51</v>
      </c>
      <c r="D132" s="58"/>
      <c r="E132" s="58" t="s">
        <v>148</v>
      </c>
      <c r="F132" s="58" t="s">
        <v>149</v>
      </c>
      <c r="G132" s="58" t="s">
        <v>166</v>
      </c>
      <c r="H132" s="58" t="s">
        <v>161</v>
      </c>
      <c r="I132" s="58" t="s">
        <v>156</v>
      </c>
      <c r="J132" s="34">
        <v>600</v>
      </c>
      <c r="K132" s="34">
        <v>600</v>
      </c>
      <c r="L132" s="34">
        <v>0</v>
      </c>
      <c r="M132" s="37">
        <v>13938</v>
      </c>
      <c r="N132" s="34">
        <v>0</v>
      </c>
      <c r="O132" s="40">
        <v>0</v>
      </c>
    </row>
    <row r="133" spans="1:15">
      <c r="B133" s="55">
        <v>121</v>
      </c>
      <c r="C133" s="58">
        <v>52</v>
      </c>
      <c r="D133" s="58"/>
      <c r="E133" s="58" t="s">
        <v>167</v>
      </c>
      <c r="F133" s="58" t="s">
        <v>168</v>
      </c>
      <c r="G133" s="58" t="s">
        <v>169</v>
      </c>
      <c r="H133" s="58" t="s">
        <v>170</v>
      </c>
      <c r="I133" s="58" t="s">
        <v>171</v>
      </c>
      <c r="J133" s="34">
        <v>25000</v>
      </c>
      <c r="K133" s="34">
        <v>25000</v>
      </c>
      <c r="L133" s="34">
        <v>0</v>
      </c>
      <c r="M133" s="37">
        <v>79000</v>
      </c>
      <c r="N133" s="34">
        <v>30000</v>
      </c>
      <c r="O133" s="40">
        <v>94800</v>
      </c>
    </row>
    <row r="134" spans="1:15">
      <c r="B134" s="55">
        <v>122</v>
      </c>
      <c r="C134" s="58">
        <v>51</v>
      </c>
      <c r="D134" s="58"/>
      <c r="E134" s="58" t="s">
        <v>172</v>
      </c>
      <c r="F134" s="58" t="s">
        <v>173</v>
      </c>
      <c r="G134" s="58" t="s">
        <v>174</v>
      </c>
      <c r="H134" s="58" t="s">
        <v>175</v>
      </c>
      <c r="I134" s="58" t="s">
        <v>176</v>
      </c>
      <c r="J134" s="34">
        <v>500</v>
      </c>
      <c r="K134" s="34">
        <v>500</v>
      </c>
      <c r="L134" s="34">
        <v>0</v>
      </c>
      <c r="M134" s="37">
        <v>24315</v>
      </c>
      <c r="N134" s="34">
        <v>0</v>
      </c>
      <c r="O134" s="40">
        <v>0</v>
      </c>
    </row>
    <row r="135" spans="1:15">
      <c r="B135" s="55">
        <v>123</v>
      </c>
      <c r="C135" s="58">
        <v>51</v>
      </c>
      <c r="D135" s="58"/>
      <c r="E135" s="58" t="s">
        <v>172</v>
      </c>
      <c r="F135" s="58" t="s">
        <v>173</v>
      </c>
      <c r="G135" s="58" t="s">
        <v>177</v>
      </c>
      <c r="H135" s="58" t="s">
        <v>178</v>
      </c>
      <c r="I135" s="58" t="s">
        <v>179</v>
      </c>
      <c r="J135" s="34">
        <v>0</v>
      </c>
      <c r="K135" s="34">
        <v>0</v>
      </c>
      <c r="L135" s="34">
        <v>0</v>
      </c>
      <c r="M135" s="37">
        <v>0</v>
      </c>
      <c r="N135" s="34">
        <v>0</v>
      </c>
      <c r="O135" s="40">
        <v>0</v>
      </c>
    </row>
    <row r="136" spans="1:15">
      <c r="B136" s="55">
        <v>124</v>
      </c>
      <c r="C136" s="58">
        <v>51</v>
      </c>
      <c r="D136" s="58"/>
      <c r="E136" s="58" t="s">
        <v>172</v>
      </c>
      <c r="F136" s="58" t="s">
        <v>173</v>
      </c>
      <c r="G136" s="58" t="s">
        <v>180</v>
      </c>
      <c r="H136" s="58" t="s">
        <v>181</v>
      </c>
      <c r="I136" s="58" t="s">
        <v>179</v>
      </c>
      <c r="J136" s="34">
        <v>0</v>
      </c>
      <c r="K136" s="34">
        <v>0</v>
      </c>
      <c r="L136" s="34">
        <v>0</v>
      </c>
      <c r="M136" s="37">
        <v>0</v>
      </c>
      <c r="N136" s="34">
        <v>0</v>
      </c>
      <c r="O136" s="40">
        <v>0</v>
      </c>
    </row>
    <row r="137" spans="1:15">
      <c r="B137" s="55">
        <v>125</v>
      </c>
      <c r="C137" s="58">
        <v>51</v>
      </c>
      <c r="D137" s="58"/>
      <c r="E137" s="58" t="s">
        <v>172</v>
      </c>
      <c r="F137" s="58" t="s">
        <v>173</v>
      </c>
      <c r="G137" s="58" t="s">
        <v>182</v>
      </c>
      <c r="H137" s="58" t="s">
        <v>183</v>
      </c>
      <c r="I137" s="58" t="s">
        <v>179</v>
      </c>
      <c r="J137" s="34">
        <v>0</v>
      </c>
      <c r="K137" s="34">
        <v>0</v>
      </c>
      <c r="L137" s="34">
        <v>0</v>
      </c>
      <c r="M137" s="37">
        <v>0</v>
      </c>
      <c r="N137" s="34">
        <v>0</v>
      </c>
      <c r="O137" s="40">
        <v>0</v>
      </c>
    </row>
    <row r="138" spans="1:15">
      <c r="B138" s="55">
        <v>126</v>
      </c>
      <c r="C138" s="58">
        <v>51</v>
      </c>
      <c r="D138" s="58"/>
      <c r="E138" s="58" t="s">
        <v>172</v>
      </c>
      <c r="F138" s="58" t="s">
        <v>173</v>
      </c>
      <c r="G138" s="58" t="s">
        <v>184</v>
      </c>
      <c r="H138" s="58" t="s">
        <v>185</v>
      </c>
      <c r="I138" s="58" t="s">
        <v>176</v>
      </c>
      <c r="J138" s="34">
        <v>900</v>
      </c>
      <c r="K138" s="34">
        <v>900</v>
      </c>
      <c r="L138" s="34">
        <v>0</v>
      </c>
      <c r="M138" s="37">
        <v>48645</v>
      </c>
      <c r="N138" s="34">
        <v>200</v>
      </c>
      <c r="O138" s="40">
        <v>10826</v>
      </c>
    </row>
    <row r="139" spans="1:15">
      <c r="B139" s="55">
        <v>127</v>
      </c>
      <c r="C139" s="58">
        <v>51</v>
      </c>
      <c r="D139" s="58"/>
      <c r="E139" s="58" t="s">
        <v>172</v>
      </c>
      <c r="F139" s="58" t="s">
        <v>173</v>
      </c>
      <c r="G139" s="58" t="s">
        <v>186</v>
      </c>
      <c r="H139" s="58" t="s">
        <v>187</v>
      </c>
      <c r="I139" s="58" t="s">
        <v>188</v>
      </c>
      <c r="J139" s="34">
        <v>0</v>
      </c>
      <c r="K139" s="34">
        <v>0</v>
      </c>
      <c r="L139" s="34">
        <v>0</v>
      </c>
      <c r="M139" s="37">
        <v>0</v>
      </c>
      <c r="N139" s="34">
        <v>0</v>
      </c>
      <c r="O139" s="40">
        <v>0</v>
      </c>
    </row>
    <row r="140" spans="1:15">
      <c r="B140" s="55">
        <v>128</v>
      </c>
      <c r="C140" s="58">
        <v>51</v>
      </c>
      <c r="D140" s="58"/>
      <c r="E140" s="58" t="s">
        <v>172</v>
      </c>
      <c r="F140" s="58" t="s">
        <v>173</v>
      </c>
      <c r="G140" s="58" t="s">
        <v>189</v>
      </c>
      <c r="H140" s="58" t="s">
        <v>190</v>
      </c>
      <c r="I140" s="58" t="s">
        <v>188</v>
      </c>
      <c r="J140" s="34">
        <v>80</v>
      </c>
      <c r="K140" s="34">
        <v>80</v>
      </c>
      <c r="L140" s="34">
        <v>0</v>
      </c>
      <c r="M140" s="37">
        <v>4626.4</v>
      </c>
      <c r="N140" s="34">
        <v>0</v>
      </c>
      <c r="O140" s="40">
        <v>0</v>
      </c>
    </row>
    <row r="141" spans="1:15">
      <c r="B141" s="55">
        <v>129</v>
      </c>
      <c r="C141" s="58">
        <v>51</v>
      </c>
      <c r="D141" s="58"/>
      <c r="E141" s="58" t="s">
        <v>172</v>
      </c>
      <c r="F141" s="58" t="s">
        <v>173</v>
      </c>
      <c r="G141" s="58" t="s">
        <v>191</v>
      </c>
      <c r="H141" s="58" t="s">
        <v>192</v>
      </c>
      <c r="I141" s="58" t="s">
        <v>176</v>
      </c>
      <c r="J141" s="34">
        <v>640</v>
      </c>
      <c r="K141" s="34">
        <v>500</v>
      </c>
      <c r="L141" s="34">
        <v>-140</v>
      </c>
      <c r="M141" s="37">
        <v>31945</v>
      </c>
      <c r="N141" s="34">
        <v>200</v>
      </c>
      <c r="O141" s="40">
        <v>12800</v>
      </c>
    </row>
    <row r="142" spans="1:15">
      <c r="B142" s="55">
        <v>130</v>
      </c>
      <c r="C142" s="58">
        <v>51</v>
      </c>
      <c r="D142" s="58"/>
      <c r="E142" s="58" t="s">
        <v>172</v>
      </c>
      <c r="F142" s="58" t="s">
        <v>173</v>
      </c>
      <c r="G142" s="58" t="s">
        <v>193</v>
      </c>
      <c r="H142" s="58" t="s">
        <v>194</v>
      </c>
      <c r="I142" s="58" t="s">
        <v>179</v>
      </c>
      <c r="J142" s="34">
        <v>0</v>
      </c>
      <c r="K142" s="34">
        <v>0</v>
      </c>
      <c r="L142" s="34">
        <v>0</v>
      </c>
      <c r="M142" s="37">
        <v>0</v>
      </c>
      <c r="N142" s="34">
        <v>0</v>
      </c>
      <c r="O142" s="40">
        <v>0</v>
      </c>
    </row>
    <row r="143" spans="1:15">
      <c r="B143" s="55">
        <v>131</v>
      </c>
      <c r="C143" s="58">
        <v>51</v>
      </c>
      <c r="D143" s="58"/>
      <c r="E143" s="58" t="s">
        <v>195</v>
      </c>
      <c r="F143" s="58" t="s">
        <v>196</v>
      </c>
      <c r="G143" s="58" t="s">
        <v>197</v>
      </c>
      <c r="H143" s="58" t="s">
        <v>198</v>
      </c>
      <c r="I143" s="58" t="s">
        <v>199</v>
      </c>
      <c r="J143" s="34">
        <v>0</v>
      </c>
      <c r="K143" s="34">
        <v>0</v>
      </c>
      <c r="L143" s="34">
        <v>0</v>
      </c>
      <c r="M143" s="37">
        <v>0</v>
      </c>
      <c r="N143" s="34">
        <v>0</v>
      </c>
      <c r="O143" s="40">
        <v>0</v>
      </c>
    </row>
    <row r="144" spans="1:15">
      <c r="B144" s="55">
        <v>132</v>
      </c>
      <c r="C144" s="58">
        <v>51</v>
      </c>
      <c r="D144" s="58"/>
      <c r="E144" s="58" t="s">
        <v>200</v>
      </c>
      <c r="F144" s="58" t="s">
        <v>201</v>
      </c>
      <c r="G144" s="58" t="s">
        <v>202</v>
      </c>
      <c r="H144" s="58" t="s">
        <v>203</v>
      </c>
      <c r="I144" s="58" t="s">
        <v>204</v>
      </c>
      <c r="J144" s="34">
        <v>2850</v>
      </c>
      <c r="K144" s="34">
        <v>2850</v>
      </c>
      <c r="L144" s="34">
        <v>0</v>
      </c>
      <c r="M144" s="37">
        <v>161395.5</v>
      </c>
      <c r="N144" s="34">
        <v>300</v>
      </c>
      <c r="O144" s="40">
        <v>16989</v>
      </c>
    </row>
    <row r="145" spans="1:15">
      <c r="B145" s="55">
        <v>133</v>
      </c>
      <c r="C145" s="58">
        <v>51</v>
      </c>
      <c r="D145" s="58"/>
      <c r="E145" s="58" t="s">
        <v>205</v>
      </c>
      <c r="F145" s="58" t="s">
        <v>206</v>
      </c>
      <c r="G145" s="58" t="s">
        <v>207</v>
      </c>
      <c r="H145" s="58" t="s">
        <v>208</v>
      </c>
      <c r="I145" s="60" t="s">
        <v>209</v>
      </c>
      <c r="J145" s="34">
        <v>0</v>
      </c>
      <c r="K145" s="34">
        <v>0</v>
      </c>
      <c r="L145" s="34">
        <v>0</v>
      </c>
      <c r="M145" s="37">
        <v>0</v>
      </c>
      <c r="N145" s="34">
        <v>0</v>
      </c>
      <c r="O145" s="40">
        <v>0</v>
      </c>
    </row>
    <row r="146" spans="1:15">
      <c r="B146" s="55">
        <v>134</v>
      </c>
      <c r="C146" s="58">
        <v>51</v>
      </c>
      <c r="D146" s="58"/>
      <c r="E146" s="58" t="s">
        <v>205</v>
      </c>
      <c r="F146" s="58" t="s">
        <v>206</v>
      </c>
      <c r="G146" s="58" t="s">
        <v>210</v>
      </c>
      <c r="H146" s="58" t="s">
        <v>208</v>
      </c>
      <c r="I146" s="58" t="s">
        <v>211</v>
      </c>
      <c r="J146" s="34">
        <v>0</v>
      </c>
      <c r="K146" s="34">
        <v>0</v>
      </c>
      <c r="L146" s="34">
        <v>0</v>
      </c>
      <c r="M146" s="37">
        <v>0</v>
      </c>
      <c r="N146" s="34">
        <v>0</v>
      </c>
      <c r="O146" s="40">
        <v>0</v>
      </c>
    </row>
    <row r="147" spans="1:15">
      <c r="B147" s="55">
        <v>135</v>
      </c>
      <c r="C147" s="58">
        <v>51</v>
      </c>
      <c r="D147" s="58"/>
      <c r="E147" s="58" t="s">
        <v>205</v>
      </c>
      <c r="F147" s="58" t="s">
        <v>206</v>
      </c>
      <c r="G147" s="58" t="s">
        <v>212</v>
      </c>
      <c r="H147" s="58" t="s">
        <v>213</v>
      </c>
      <c r="I147" s="58" t="s">
        <v>211</v>
      </c>
      <c r="J147" s="34">
        <v>0</v>
      </c>
      <c r="K147" s="34">
        <v>0</v>
      </c>
      <c r="L147" s="34">
        <v>0</v>
      </c>
      <c r="M147" s="37">
        <v>0</v>
      </c>
      <c r="N147" s="34">
        <v>0</v>
      </c>
      <c r="O147" s="40">
        <v>0</v>
      </c>
    </row>
    <row r="148" spans="1:15">
      <c r="B148" s="55">
        <v>136</v>
      </c>
      <c r="C148" s="58">
        <v>51</v>
      </c>
      <c r="D148" s="58"/>
      <c r="E148" s="58" t="s">
        <v>205</v>
      </c>
      <c r="F148" s="58" t="s">
        <v>206</v>
      </c>
      <c r="G148" s="58" t="s">
        <v>214</v>
      </c>
      <c r="H148" s="58" t="s">
        <v>215</v>
      </c>
      <c r="I148" s="58" t="s">
        <v>211</v>
      </c>
      <c r="J148" s="34">
        <v>0</v>
      </c>
      <c r="K148" s="34">
        <v>0</v>
      </c>
      <c r="L148" s="34">
        <v>0</v>
      </c>
      <c r="M148" s="37">
        <v>0</v>
      </c>
      <c r="N148" s="34">
        <v>0</v>
      </c>
      <c r="O148" s="40">
        <v>0</v>
      </c>
    </row>
    <row r="149" spans="1:15">
      <c r="B149" s="55">
        <v>137</v>
      </c>
      <c r="C149" s="58">
        <v>51</v>
      </c>
      <c r="D149" s="58"/>
      <c r="E149" s="58" t="s">
        <v>205</v>
      </c>
      <c r="F149" s="58" t="s">
        <v>206</v>
      </c>
      <c r="G149" s="58" t="s">
        <v>216</v>
      </c>
      <c r="H149" s="58" t="s">
        <v>217</v>
      </c>
      <c r="I149" s="58">
        <v>270</v>
      </c>
      <c r="J149" s="34">
        <v>120</v>
      </c>
      <c r="K149" s="34">
        <v>120</v>
      </c>
      <c r="L149" s="34">
        <v>0</v>
      </c>
      <c r="M149" s="37">
        <v>96644.39999999999</v>
      </c>
      <c r="N149" s="34">
        <v>0</v>
      </c>
      <c r="O149" s="40">
        <v>0</v>
      </c>
    </row>
    <row r="150" spans="1:15">
      <c r="B150" s="55">
        <v>138</v>
      </c>
      <c r="C150" s="58">
        <v>51</v>
      </c>
      <c r="D150" s="58"/>
      <c r="E150" s="58" t="s">
        <v>205</v>
      </c>
      <c r="F150" s="58" t="s">
        <v>206</v>
      </c>
      <c r="G150" s="58" t="s">
        <v>218</v>
      </c>
      <c r="H150" s="58" t="s">
        <v>217</v>
      </c>
      <c r="I150" s="58" t="s">
        <v>211</v>
      </c>
      <c r="J150" s="34">
        <v>0</v>
      </c>
      <c r="K150" s="34">
        <v>0</v>
      </c>
      <c r="L150" s="34">
        <v>0</v>
      </c>
      <c r="M150" s="37">
        <v>0</v>
      </c>
      <c r="N150" s="34">
        <v>0</v>
      </c>
      <c r="O150" s="40">
        <v>0</v>
      </c>
    </row>
    <row r="151" spans="1:15">
      <c r="B151" s="55">
        <v>139</v>
      </c>
      <c r="C151" s="58">
        <v>51</v>
      </c>
      <c r="D151" s="58"/>
      <c r="E151" s="58" t="s">
        <v>219</v>
      </c>
      <c r="F151" s="58" t="s">
        <v>220</v>
      </c>
      <c r="G151" s="58" t="s">
        <v>221</v>
      </c>
      <c r="H151" s="58" t="s">
        <v>222</v>
      </c>
      <c r="I151" s="58" t="s">
        <v>223</v>
      </c>
      <c r="J151" s="34">
        <v>70</v>
      </c>
      <c r="K151" s="34">
        <v>70</v>
      </c>
      <c r="L151" s="34">
        <v>0</v>
      </c>
      <c r="M151" s="37">
        <v>2205</v>
      </c>
      <c r="N151" s="34">
        <v>0</v>
      </c>
      <c r="O151" s="40">
        <v>0</v>
      </c>
    </row>
    <row r="152" spans="1:15">
      <c r="B152" s="55">
        <v>140</v>
      </c>
      <c r="C152" s="58">
        <v>51</v>
      </c>
      <c r="D152" s="58"/>
      <c r="E152" s="58" t="s">
        <v>219</v>
      </c>
      <c r="F152" s="58" t="s">
        <v>220</v>
      </c>
      <c r="G152" s="58" t="s">
        <v>224</v>
      </c>
      <c r="H152" s="58" t="s">
        <v>222</v>
      </c>
      <c r="I152" s="58" t="s">
        <v>225</v>
      </c>
      <c r="J152" s="34">
        <v>300</v>
      </c>
      <c r="K152" s="34">
        <v>300</v>
      </c>
      <c r="L152" s="34">
        <v>0</v>
      </c>
      <c r="M152" s="37">
        <v>11370</v>
      </c>
      <c r="N152" s="34">
        <v>120</v>
      </c>
      <c r="O152" s="40">
        <v>4548</v>
      </c>
    </row>
    <row r="153" spans="1:15">
      <c r="B153" s="55">
        <v>141</v>
      </c>
      <c r="C153" s="58">
        <v>51</v>
      </c>
      <c r="D153" s="58"/>
      <c r="E153" s="58" t="s">
        <v>219</v>
      </c>
      <c r="F153" s="58" t="s">
        <v>220</v>
      </c>
      <c r="G153" s="58" t="s">
        <v>226</v>
      </c>
      <c r="H153" s="58" t="s">
        <v>227</v>
      </c>
      <c r="I153" s="58" t="s">
        <v>228</v>
      </c>
      <c r="J153" s="34">
        <v>40</v>
      </c>
      <c r="K153" s="34">
        <v>40</v>
      </c>
      <c r="L153" s="34">
        <v>0</v>
      </c>
      <c r="M153" s="37">
        <v>1526.4</v>
      </c>
      <c r="N153" s="34">
        <v>0</v>
      </c>
      <c r="O153" s="40">
        <v>0</v>
      </c>
    </row>
    <row r="154" spans="1:15">
      <c r="B154" s="55">
        <v>142</v>
      </c>
      <c r="C154" s="58">
        <v>51</v>
      </c>
      <c r="D154" s="58"/>
      <c r="E154" s="58" t="s">
        <v>229</v>
      </c>
      <c r="F154" s="58" t="s">
        <v>230</v>
      </c>
      <c r="G154" s="58" t="s">
        <v>231</v>
      </c>
      <c r="H154" s="58" t="s">
        <v>232</v>
      </c>
      <c r="I154" s="58" t="s">
        <v>204</v>
      </c>
      <c r="J154" s="34">
        <v>2394</v>
      </c>
      <c r="K154" s="34">
        <v>2394</v>
      </c>
      <c r="L154" s="34">
        <v>0</v>
      </c>
      <c r="M154" s="37">
        <v>30308.04</v>
      </c>
      <c r="N154" s="34">
        <v>0</v>
      </c>
      <c r="O154" s="40">
        <v>0</v>
      </c>
    </row>
    <row r="155" spans="1:15">
      <c r="B155" s="55">
        <v>143</v>
      </c>
      <c r="C155" s="58">
        <v>51</v>
      </c>
      <c r="D155" s="58"/>
      <c r="E155" s="58" t="s">
        <v>229</v>
      </c>
      <c r="F155" s="58" t="s">
        <v>230</v>
      </c>
      <c r="G155" s="58" t="s">
        <v>233</v>
      </c>
      <c r="H155" s="58" t="s">
        <v>234</v>
      </c>
      <c r="I155" s="60">
        <v>3</v>
      </c>
      <c r="J155" s="34">
        <v>600</v>
      </c>
      <c r="K155" s="34">
        <v>600</v>
      </c>
      <c r="L155" s="34">
        <v>0</v>
      </c>
      <c r="M155" s="37">
        <v>4800</v>
      </c>
      <c r="N155" s="34">
        <v>600</v>
      </c>
      <c r="O155" s="40">
        <v>4800</v>
      </c>
    </row>
    <row r="156" spans="1:15">
      <c r="B156" s="55">
        <v>144</v>
      </c>
      <c r="C156" s="58">
        <v>51</v>
      </c>
      <c r="D156" s="58"/>
      <c r="E156" s="58" t="s">
        <v>229</v>
      </c>
      <c r="F156" s="58" t="s">
        <v>230</v>
      </c>
      <c r="G156" s="58" t="s">
        <v>235</v>
      </c>
      <c r="H156" s="58" t="s">
        <v>236</v>
      </c>
      <c r="I156" s="58" t="s">
        <v>237</v>
      </c>
      <c r="J156" s="34">
        <v>0</v>
      </c>
      <c r="K156" s="34">
        <v>0</v>
      </c>
      <c r="L156" s="34">
        <v>0</v>
      </c>
      <c r="M156" s="37">
        <v>0</v>
      </c>
      <c r="N156" s="34">
        <v>0</v>
      </c>
      <c r="O156" s="40">
        <v>0</v>
      </c>
    </row>
    <row r="157" spans="1:15">
      <c r="B157" s="55">
        <v>145</v>
      </c>
      <c r="C157" s="58">
        <v>51</v>
      </c>
      <c r="D157" s="58"/>
      <c r="E157" s="58" t="s">
        <v>229</v>
      </c>
      <c r="F157" s="58" t="s">
        <v>230</v>
      </c>
      <c r="G157" s="58" t="s">
        <v>238</v>
      </c>
      <c r="H157" s="58" t="s">
        <v>232</v>
      </c>
      <c r="I157" s="58" t="s">
        <v>55</v>
      </c>
      <c r="J157" s="34">
        <v>17700</v>
      </c>
      <c r="K157" s="34">
        <v>17700</v>
      </c>
      <c r="L157" s="34">
        <v>0</v>
      </c>
      <c r="M157" s="37">
        <v>127440</v>
      </c>
      <c r="N157" s="34">
        <v>1800</v>
      </c>
      <c r="O157" s="40">
        <v>12960</v>
      </c>
    </row>
    <row r="158" spans="1:15">
      <c r="B158" s="55">
        <v>146</v>
      </c>
      <c r="C158" s="58">
        <v>51</v>
      </c>
      <c r="D158" s="58"/>
      <c r="E158" s="58" t="s">
        <v>229</v>
      </c>
      <c r="F158" s="58" t="s">
        <v>230</v>
      </c>
      <c r="G158" s="58" t="s">
        <v>239</v>
      </c>
      <c r="H158" s="58" t="s">
        <v>236</v>
      </c>
      <c r="I158" s="58" t="s">
        <v>240</v>
      </c>
      <c r="J158" s="34">
        <v>30000</v>
      </c>
      <c r="K158" s="34">
        <v>30000</v>
      </c>
      <c r="L158" s="34">
        <v>0</v>
      </c>
      <c r="M158" s="37">
        <v>193800</v>
      </c>
      <c r="N158" s="34">
        <v>4500</v>
      </c>
      <c r="O158" s="40">
        <v>29070</v>
      </c>
    </row>
    <row r="159" spans="1:15">
      <c r="B159" s="55">
        <v>147</v>
      </c>
      <c r="C159" s="58">
        <v>51</v>
      </c>
      <c r="D159" s="58"/>
      <c r="E159" s="58" t="s">
        <v>229</v>
      </c>
      <c r="F159" s="58" t="s">
        <v>230</v>
      </c>
      <c r="G159" s="58" t="s">
        <v>241</v>
      </c>
      <c r="H159" s="58" t="s">
        <v>232</v>
      </c>
      <c r="I159" s="58" t="s">
        <v>242</v>
      </c>
      <c r="J159" s="34">
        <v>500</v>
      </c>
      <c r="K159" s="34">
        <v>500</v>
      </c>
      <c r="L159" s="34">
        <v>0</v>
      </c>
      <c r="M159" s="37">
        <v>3965</v>
      </c>
      <c r="N159" s="34">
        <v>0</v>
      </c>
      <c r="O159" s="40">
        <v>0</v>
      </c>
    </row>
    <row r="160" spans="1:15">
      <c r="B160" s="55">
        <v>148</v>
      </c>
      <c r="C160" s="58">
        <v>51</v>
      </c>
      <c r="D160" s="58"/>
      <c r="E160" s="58" t="s">
        <v>243</v>
      </c>
      <c r="F160" s="58" t="s">
        <v>244</v>
      </c>
      <c r="G160" s="58" t="s">
        <v>245</v>
      </c>
      <c r="H160" s="58" t="s">
        <v>246</v>
      </c>
      <c r="I160" s="58" t="s">
        <v>164</v>
      </c>
      <c r="J160" s="34">
        <v>0</v>
      </c>
      <c r="K160" s="34">
        <v>0</v>
      </c>
      <c r="L160" s="34">
        <v>0</v>
      </c>
      <c r="M160" s="37">
        <v>0</v>
      </c>
      <c r="N160" s="34">
        <v>0</v>
      </c>
      <c r="O160" s="40">
        <v>0</v>
      </c>
    </row>
    <row r="161" spans="1:15">
      <c r="B161" s="55">
        <v>149</v>
      </c>
      <c r="C161" s="58">
        <v>51</v>
      </c>
      <c r="D161" s="58"/>
      <c r="E161" s="58" t="s">
        <v>247</v>
      </c>
      <c r="F161" s="58" t="s">
        <v>248</v>
      </c>
      <c r="G161" s="58" t="s">
        <v>249</v>
      </c>
      <c r="H161" s="58" t="s">
        <v>250</v>
      </c>
      <c r="I161" s="58" t="s">
        <v>251</v>
      </c>
      <c r="J161" s="34">
        <v>45000</v>
      </c>
      <c r="K161" s="34">
        <v>45000</v>
      </c>
      <c r="L161" s="34">
        <v>0</v>
      </c>
      <c r="M161" s="37">
        <v>335250</v>
      </c>
      <c r="N161" s="34">
        <v>12000</v>
      </c>
      <c r="O161" s="40">
        <v>89400</v>
      </c>
    </row>
    <row r="162" spans="1:15">
      <c r="B162" s="55">
        <v>150</v>
      </c>
      <c r="C162" s="58">
        <v>52</v>
      </c>
      <c r="D162" s="58"/>
      <c r="E162" s="58" t="s">
        <v>252</v>
      </c>
      <c r="F162" s="58" t="s">
        <v>253</v>
      </c>
      <c r="G162" s="58" t="s">
        <v>254</v>
      </c>
      <c r="H162" s="58" t="s">
        <v>170</v>
      </c>
      <c r="I162" s="58" t="s">
        <v>255</v>
      </c>
      <c r="J162" s="34">
        <v>370000</v>
      </c>
      <c r="K162" s="34">
        <v>370000</v>
      </c>
      <c r="L162" s="34">
        <v>0</v>
      </c>
      <c r="M162" s="37">
        <v>555000</v>
      </c>
      <c r="N162" s="34">
        <v>70000</v>
      </c>
      <c r="O162" s="40">
        <v>105000</v>
      </c>
    </row>
    <row r="163" spans="1:15">
      <c r="B163" s="55">
        <v>151</v>
      </c>
      <c r="C163" s="58">
        <v>52</v>
      </c>
      <c r="D163" s="58"/>
      <c r="E163" s="58" t="s">
        <v>252</v>
      </c>
      <c r="F163" s="58" t="s">
        <v>253</v>
      </c>
      <c r="G163" s="58" t="s">
        <v>254</v>
      </c>
      <c r="H163" s="58" t="s">
        <v>170</v>
      </c>
      <c r="I163" s="58"/>
      <c r="J163" s="34">
        <v>370000</v>
      </c>
      <c r="K163" s="34">
        <v>370000</v>
      </c>
      <c r="L163" s="34">
        <v>0</v>
      </c>
      <c r="M163" s="37">
        <v>555000</v>
      </c>
      <c r="N163" s="34">
        <v>70000</v>
      </c>
      <c r="O163" s="40">
        <v>105000</v>
      </c>
    </row>
    <row r="164" spans="1:15">
      <c r="B164" s="55">
        <v>152</v>
      </c>
      <c r="C164" s="58">
        <v>51</v>
      </c>
      <c r="D164" s="58"/>
      <c r="E164" s="58" t="s">
        <v>252</v>
      </c>
      <c r="F164" s="58" t="s">
        <v>253</v>
      </c>
      <c r="G164" s="58" t="s">
        <v>256</v>
      </c>
      <c r="H164" s="58" t="s">
        <v>257</v>
      </c>
      <c r="I164" s="58" t="s">
        <v>258</v>
      </c>
      <c r="J164" s="34">
        <v>1600</v>
      </c>
      <c r="K164" s="34">
        <v>1600</v>
      </c>
      <c r="L164" s="34">
        <v>0</v>
      </c>
      <c r="M164" s="37">
        <v>28800</v>
      </c>
      <c r="N164" s="34">
        <v>0</v>
      </c>
      <c r="O164" s="40">
        <v>0</v>
      </c>
    </row>
    <row r="165" spans="1:15">
      <c r="B165" s="55">
        <v>153</v>
      </c>
      <c r="C165" s="58">
        <v>51</v>
      </c>
      <c r="D165" s="58"/>
      <c r="E165" s="58" t="s">
        <v>259</v>
      </c>
      <c r="F165" s="58" t="s">
        <v>260</v>
      </c>
      <c r="G165" s="58" t="s">
        <v>261</v>
      </c>
      <c r="H165" s="58" t="s">
        <v>261</v>
      </c>
      <c r="I165" s="58" t="s">
        <v>88</v>
      </c>
      <c r="J165" s="34">
        <v>31500</v>
      </c>
      <c r="K165" s="34">
        <v>30313</v>
      </c>
      <c r="L165" s="34">
        <v>-1187</v>
      </c>
      <c r="M165" s="37">
        <v>1940032</v>
      </c>
      <c r="N165" s="34">
        <v>0</v>
      </c>
      <c r="O165" s="40">
        <v>0</v>
      </c>
    </row>
    <row r="166" spans="1:15">
      <c r="B166" s="55">
        <v>154</v>
      </c>
      <c r="C166" s="58">
        <v>51</v>
      </c>
      <c r="D166" s="58"/>
      <c r="E166" s="58" t="s">
        <v>262</v>
      </c>
      <c r="F166" s="58" t="s">
        <v>263</v>
      </c>
      <c r="G166" s="58" t="s">
        <v>264</v>
      </c>
      <c r="H166" s="58" t="s">
        <v>265</v>
      </c>
      <c r="I166" s="58" t="s">
        <v>266</v>
      </c>
      <c r="J166" s="34">
        <v>0</v>
      </c>
      <c r="K166" s="34">
        <v>0</v>
      </c>
      <c r="L166" s="34">
        <v>0</v>
      </c>
      <c r="M166" s="37">
        <v>0</v>
      </c>
      <c r="N166" s="34">
        <v>0</v>
      </c>
      <c r="O166" s="40">
        <v>0</v>
      </c>
    </row>
    <row r="167" spans="1:15">
      <c r="B167" s="55">
        <v>155</v>
      </c>
      <c r="C167" s="58">
        <v>51</v>
      </c>
      <c r="D167" s="58"/>
      <c r="E167" s="58" t="s">
        <v>262</v>
      </c>
      <c r="F167" s="58" t="s">
        <v>263</v>
      </c>
      <c r="G167" s="58" t="s">
        <v>267</v>
      </c>
      <c r="H167" s="58" t="s">
        <v>158</v>
      </c>
      <c r="I167" s="58" t="s">
        <v>156</v>
      </c>
      <c r="J167" s="34">
        <v>0</v>
      </c>
      <c r="K167" s="34">
        <v>0</v>
      </c>
      <c r="L167" s="34">
        <v>0</v>
      </c>
      <c r="M167" s="37">
        <v>0</v>
      </c>
      <c r="N167" s="34">
        <v>0</v>
      </c>
      <c r="O167" s="40">
        <v>0</v>
      </c>
    </row>
    <row r="168" spans="1:15">
      <c r="B168" s="55">
        <v>156</v>
      </c>
      <c r="C168" s="58">
        <v>51</v>
      </c>
      <c r="D168" s="58"/>
      <c r="E168" s="58" t="s">
        <v>262</v>
      </c>
      <c r="F168" s="58" t="s">
        <v>263</v>
      </c>
      <c r="G168" s="58" t="s">
        <v>268</v>
      </c>
      <c r="H168" s="58" t="s">
        <v>269</v>
      </c>
      <c r="I168" s="58" t="s">
        <v>156</v>
      </c>
      <c r="J168" s="34">
        <v>0</v>
      </c>
      <c r="K168" s="34">
        <v>0</v>
      </c>
      <c r="L168" s="34">
        <v>0</v>
      </c>
      <c r="M168" s="37">
        <v>0</v>
      </c>
      <c r="N168" s="34">
        <v>0</v>
      </c>
      <c r="O168" s="40">
        <v>0</v>
      </c>
    </row>
    <row r="169" spans="1:15">
      <c r="B169" s="55">
        <v>157</v>
      </c>
      <c r="C169" s="58">
        <v>51</v>
      </c>
      <c r="D169" s="58"/>
      <c r="E169" s="58" t="s">
        <v>262</v>
      </c>
      <c r="F169" s="58" t="s">
        <v>263</v>
      </c>
      <c r="G169" s="58" t="s">
        <v>270</v>
      </c>
      <c r="H169" s="58" t="s">
        <v>155</v>
      </c>
      <c r="I169" s="58" t="s">
        <v>156</v>
      </c>
      <c r="J169" s="34">
        <v>0</v>
      </c>
      <c r="K169" s="34">
        <v>0</v>
      </c>
      <c r="L169" s="34">
        <v>0</v>
      </c>
      <c r="M169" s="37">
        <v>0</v>
      </c>
      <c r="N169" s="34">
        <v>0</v>
      </c>
      <c r="O169" s="40">
        <v>0</v>
      </c>
    </row>
    <row r="170" spans="1:15">
      <c r="B170" s="55">
        <v>158</v>
      </c>
      <c r="C170" s="58">
        <v>51</v>
      </c>
      <c r="D170" s="58"/>
      <c r="E170" s="58" t="s">
        <v>262</v>
      </c>
      <c r="F170" s="58" t="s">
        <v>263</v>
      </c>
      <c r="G170" s="58" t="s">
        <v>271</v>
      </c>
      <c r="H170" s="58" t="s">
        <v>155</v>
      </c>
      <c r="I170" s="58" t="s">
        <v>156</v>
      </c>
      <c r="J170" s="34">
        <v>0</v>
      </c>
      <c r="K170" s="34">
        <v>0</v>
      </c>
      <c r="L170" s="34">
        <v>0</v>
      </c>
      <c r="M170" s="37">
        <v>0</v>
      </c>
      <c r="N170" s="34">
        <v>0</v>
      </c>
      <c r="O170" s="40">
        <v>0</v>
      </c>
    </row>
    <row r="171" spans="1:15">
      <c r="B171" s="55">
        <v>159</v>
      </c>
      <c r="C171" s="58">
        <v>51</v>
      </c>
      <c r="D171" s="58"/>
      <c r="E171" s="58" t="s">
        <v>262</v>
      </c>
      <c r="F171" s="58" t="s">
        <v>263</v>
      </c>
      <c r="G171" s="58" t="s">
        <v>272</v>
      </c>
      <c r="H171" s="58" t="s">
        <v>158</v>
      </c>
      <c r="I171" s="58" t="s">
        <v>156</v>
      </c>
      <c r="J171" s="34">
        <v>0</v>
      </c>
      <c r="K171" s="34">
        <v>0</v>
      </c>
      <c r="L171" s="34">
        <v>0</v>
      </c>
      <c r="M171" s="37">
        <v>0</v>
      </c>
      <c r="N171" s="34">
        <v>0</v>
      </c>
      <c r="O171" s="40">
        <v>0</v>
      </c>
    </row>
    <row r="172" spans="1:15">
      <c r="B172" s="55">
        <v>160</v>
      </c>
      <c r="C172" s="58">
        <v>51</v>
      </c>
      <c r="D172" s="58"/>
      <c r="E172" s="58" t="s">
        <v>273</v>
      </c>
      <c r="F172" s="58" t="s">
        <v>274</v>
      </c>
      <c r="G172" s="58" t="s">
        <v>275</v>
      </c>
      <c r="H172" s="58" t="s">
        <v>276</v>
      </c>
      <c r="I172" s="58" t="s">
        <v>277</v>
      </c>
      <c r="J172" s="34">
        <v>0</v>
      </c>
      <c r="K172" s="34">
        <v>0</v>
      </c>
      <c r="L172" s="34">
        <v>0</v>
      </c>
      <c r="M172" s="37">
        <v>0</v>
      </c>
      <c r="N172" s="34">
        <v>0</v>
      </c>
      <c r="O172" s="40">
        <v>0</v>
      </c>
    </row>
    <row r="173" spans="1:15">
      <c r="B173" s="55">
        <v>161</v>
      </c>
      <c r="C173" s="58">
        <v>51</v>
      </c>
      <c r="D173" s="58"/>
      <c r="E173" s="58" t="s">
        <v>273</v>
      </c>
      <c r="F173" s="58" t="s">
        <v>274</v>
      </c>
      <c r="G173" s="58" t="s">
        <v>278</v>
      </c>
      <c r="H173" s="58" t="s">
        <v>279</v>
      </c>
      <c r="I173" s="58" t="s">
        <v>280</v>
      </c>
      <c r="J173" s="34">
        <v>6750</v>
      </c>
      <c r="K173" s="34">
        <v>6750</v>
      </c>
      <c r="L173" s="34">
        <v>0</v>
      </c>
      <c r="M173" s="37">
        <v>111037.5</v>
      </c>
      <c r="N173" s="34">
        <v>2250</v>
      </c>
      <c r="O173" s="40">
        <v>37012.5</v>
      </c>
    </row>
    <row r="174" spans="1:15">
      <c r="B174" s="55">
        <v>162</v>
      </c>
      <c r="C174" s="58">
        <v>51</v>
      </c>
      <c r="D174" s="58"/>
      <c r="E174" s="58" t="s">
        <v>281</v>
      </c>
      <c r="F174" s="58" t="s">
        <v>282</v>
      </c>
      <c r="G174" s="58" t="s">
        <v>283</v>
      </c>
      <c r="H174" s="58" t="s">
        <v>284</v>
      </c>
      <c r="I174" s="58" t="s">
        <v>285</v>
      </c>
      <c r="J174" s="34">
        <v>14196</v>
      </c>
      <c r="K174" s="34">
        <v>14196</v>
      </c>
      <c r="L174" s="34">
        <v>0</v>
      </c>
      <c r="M174" s="37">
        <v>295418.76</v>
      </c>
      <c r="N174" s="34">
        <v>1092</v>
      </c>
      <c r="O174" s="40">
        <v>22724.52</v>
      </c>
    </row>
    <row r="175" spans="1:15">
      <c r="B175" s="55">
        <v>163</v>
      </c>
      <c r="C175" s="58">
        <v>51</v>
      </c>
      <c r="D175" s="58"/>
      <c r="E175" s="58" t="s">
        <v>281</v>
      </c>
      <c r="F175" s="58" t="s">
        <v>282</v>
      </c>
      <c r="G175" s="58" t="s">
        <v>286</v>
      </c>
      <c r="H175" s="58" t="s">
        <v>287</v>
      </c>
      <c r="I175" s="58" t="s">
        <v>88</v>
      </c>
      <c r="J175" s="34">
        <v>39000</v>
      </c>
      <c r="K175" s="34">
        <v>39000</v>
      </c>
      <c r="L175" s="34">
        <v>0</v>
      </c>
      <c r="M175" s="37">
        <v>63180</v>
      </c>
      <c r="N175" s="34">
        <v>0</v>
      </c>
      <c r="O175" s="40">
        <v>0</v>
      </c>
    </row>
    <row r="176" spans="1:15">
      <c r="B176" s="55">
        <v>164</v>
      </c>
      <c r="C176" s="58">
        <v>51</v>
      </c>
      <c r="D176" s="58"/>
      <c r="E176" s="58" t="s">
        <v>281</v>
      </c>
      <c r="F176" s="58" t="s">
        <v>282</v>
      </c>
      <c r="G176" s="58" t="s">
        <v>288</v>
      </c>
      <c r="H176" s="58" t="s">
        <v>289</v>
      </c>
      <c r="I176" s="58" t="s">
        <v>290</v>
      </c>
      <c r="J176" s="34">
        <v>0</v>
      </c>
      <c r="K176" s="34">
        <v>0</v>
      </c>
      <c r="L176" s="34">
        <v>0</v>
      </c>
      <c r="M176" s="37">
        <v>0</v>
      </c>
      <c r="N176" s="34">
        <v>0</v>
      </c>
      <c r="O176" s="40">
        <v>0</v>
      </c>
    </row>
    <row r="177" spans="1:15">
      <c r="B177" s="55">
        <v>165</v>
      </c>
      <c r="C177" s="58">
        <v>51</v>
      </c>
      <c r="D177" s="58"/>
      <c r="E177" s="58" t="s">
        <v>281</v>
      </c>
      <c r="F177" s="58" t="s">
        <v>282</v>
      </c>
      <c r="G177" s="58" t="s">
        <v>291</v>
      </c>
      <c r="H177" s="58" t="s">
        <v>292</v>
      </c>
      <c r="I177" s="58" t="s">
        <v>293</v>
      </c>
      <c r="J177" s="34">
        <v>10125</v>
      </c>
      <c r="K177" s="34">
        <v>10125</v>
      </c>
      <c r="L177" s="34">
        <v>0</v>
      </c>
      <c r="M177" s="37">
        <v>134156.25</v>
      </c>
      <c r="N177" s="34">
        <v>675</v>
      </c>
      <c r="O177" s="40">
        <v>8943.75</v>
      </c>
    </row>
    <row r="178" spans="1:15">
      <c r="B178" s="55">
        <v>166</v>
      </c>
      <c r="C178" s="58">
        <v>51</v>
      </c>
      <c r="D178" s="58"/>
      <c r="E178" s="58" t="s">
        <v>281</v>
      </c>
      <c r="F178" s="58" t="s">
        <v>282</v>
      </c>
      <c r="G178" s="58" t="s">
        <v>294</v>
      </c>
      <c r="H178" s="58" t="s">
        <v>295</v>
      </c>
      <c r="I178" s="58" t="s">
        <v>285</v>
      </c>
      <c r="J178" s="34">
        <v>14196</v>
      </c>
      <c r="K178" s="34">
        <v>14196</v>
      </c>
      <c r="L178" s="34">
        <v>0</v>
      </c>
      <c r="M178" s="37">
        <v>352202.76</v>
      </c>
      <c r="N178" s="34">
        <v>884</v>
      </c>
      <c r="O178" s="40">
        <v>21932.04</v>
      </c>
    </row>
    <row r="179" spans="1:15">
      <c r="B179" s="55">
        <v>167</v>
      </c>
      <c r="C179" s="58">
        <v>51</v>
      </c>
      <c r="D179" s="58"/>
      <c r="E179" s="58" t="s">
        <v>281</v>
      </c>
      <c r="F179" s="58" t="s">
        <v>282</v>
      </c>
      <c r="G179" s="58" t="s">
        <v>296</v>
      </c>
      <c r="H179" s="58" t="s">
        <v>292</v>
      </c>
      <c r="I179" s="58" t="s">
        <v>293</v>
      </c>
      <c r="J179" s="34">
        <v>9900</v>
      </c>
      <c r="K179" s="34">
        <v>9900</v>
      </c>
      <c r="L179" s="34">
        <v>0</v>
      </c>
      <c r="M179" s="37">
        <v>112365</v>
      </c>
      <c r="N179" s="34">
        <v>1080</v>
      </c>
      <c r="O179" s="40">
        <v>12258</v>
      </c>
    </row>
    <row r="180" spans="1:15">
      <c r="B180" s="55">
        <v>168</v>
      </c>
      <c r="C180" s="58">
        <v>51</v>
      </c>
      <c r="D180" s="58"/>
      <c r="E180" s="58" t="s">
        <v>297</v>
      </c>
      <c r="F180" s="58" t="s">
        <v>298</v>
      </c>
      <c r="G180" s="58" t="s">
        <v>299</v>
      </c>
      <c r="H180" s="58" t="s">
        <v>300</v>
      </c>
      <c r="I180" s="58" t="s">
        <v>301</v>
      </c>
      <c r="J180" s="34">
        <v>5000</v>
      </c>
      <c r="K180" s="34">
        <v>5000</v>
      </c>
      <c r="L180" s="34">
        <v>0</v>
      </c>
      <c r="M180" s="37">
        <v>380000</v>
      </c>
      <c r="N180" s="34">
        <v>500</v>
      </c>
      <c r="O180" s="40">
        <v>37545</v>
      </c>
    </row>
    <row r="181" spans="1:15">
      <c r="B181" s="55">
        <v>169</v>
      </c>
      <c r="C181" s="58">
        <v>51</v>
      </c>
      <c r="D181" s="58"/>
      <c r="E181" s="58" t="s">
        <v>297</v>
      </c>
      <c r="F181" s="58" t="s">
        <v>298</v>
      </c>
      <c r="G181" s="58" t="s">
        <v>302</v>
      </c>
      <c r="H181" s="58" t="s">
        <v>300</v>
      </c>
      <c r="I181" s="58" t="s">
        <v>303</v>
      </c>
      <c r="J181" s="34">
        <v>0</v>
      </c>
      <c r="K181" s="34">
        <v>0</v>
      </c>
      <c r="L181" s="34">
        <v>0</v>
      </c>
      <c r="M181" s="37">
        <v>0</v>
      </c>
      <c r="N181" s="34">
        <v>0</v>
      </c>
      <c r="O181" s="40">
        <v>0</v>
      </c>
    </row>
    <row r="182" spans="1:15">
      <c r="B182" s="55">
        <v>170</v>
      </c>
      <c r="C182" s="58">
        <v>51</v>
      </c>
      <c r="D182" s="58"/>
      <c r="E182" s="58" t="s">
        <v>297</v>
      </c>
      <c r="F182" s="58" t="s">
        <v>298</v>
      </c>
      <c r="G182" s="58" t="s">
        <v>304</v>
      </c>
      <c r="H182" s="58" t="s">
        <v>305</v>
      </c>
      <c r="I182" s="58" t="s">
        <v>306</v>
      </c>
      <c r="J182" s="34">
        <v>0</v>
      </c>
      <c r="K182" s="34">
        <v>0</v>
      </c>
      <c r="L182" s="34">
        <v>0</v>
      </c>
      <c r="M182" s="37">
        <v>0</v>
      </c>
      <c r="N182" s="34">
        <v>0</v>
      </c>
      <c r="O182" s="40">
        <v>0</v>
      </c>
    </row>
    <row r="183" spans="1:15">
      <c r="B183" s="55">
        <v>171</v>
      </c>
      <c r="C183" s="58">
        <v>51</v>
      </c>
      <c r="D183" s="58"/>
      <c r="E183" s="58" t="s">
        <v>297</v>
      </c>
      <c r="F183" s="58" t="s">
        <v>298</v>
      </c>
      <c r="G183" s="58" t="s">
        <v>307</v>
      </c>
      <c r="H183" s="58" t="s">
        <v>300</v>
      </c>
      <c r="I183" s="58" t="s">
        <v>308</v>
      </c>
      <c r="J183" s="34">
        <v>10000</v>
      </c>
      <c r="K183" s="34">
        <v>10000</v>
      </c>
      <c r="L183" s="34">
        <v>0</v>
      </c>
      <c r="M183" s="37">
        <v>689300</v>
      </c>
      <c r="N183" s="34">
        <v>1000</v>
      </c>
      <c r="O183" s="40">
        <v>68260</v>
      </c>
    </row>
    <row r="184" spans="1:15">
      <c r="B184" s="55">
        <v>172</v>
      </c>
      <c r="C184" s="58">
        <v>51</v>
      </c>
      <c r="D184" s="58"/>
      <c r="E184" s="58" t="s">
        <v>297</v>
      </c>
      <c r="F184" s="58" t="s">
        <v>298</v>
      </c>
      <c r="G184" s="58" t="s">
        <v>309</v>
      </c>
      <c r="H184" s="58" t="s">
        <v>300</v>
      </c>
      <c r="I184" s="58" t="s">
        <v>310</v>
      </c>
      <c r="J184" s="34">
        <v>2000</v>
      </c>
      <c r="K184" s="34">
        <v>2000</v>
      </c>
      <c r="L184" s="34">
        <v>0</v>
      </c>
      <c r="M184" s="37">
        <v>151120</v>
      </c>
      <c r="N184" s="34">
        <v>500</v>
      </c>
      <c r="O184" s="40">
        <v>37345</v>
      </c>
    </row>
    <row r="185" spans="1:15">
      <c r="B185" s="55">
        <v>173</v>
      </c>
      <c r="C185" s="58">
        <v>51</v>
      </c>
      <c r="D185" s="58"/>
      <c r="E185" s="58" t="s">
        <v>297</v>
      </c>
      <c r="F185" s="58" t="s">
        <v>298</v>
      </c>
      <c r="G185" s="58" t="s">
        <v>311</v>
      </c>
      <c r="H185" s="58" t="s">
        <v>300</v>
      </c>
      <c r="I185" s="58" t="s">
        <v>312</v>
      </c>
      <c r="J185" s="34">
        <v>0</v>
      </c>
      <c r="K185" s="34">
        <v>0</v>
      </c>
      <c r="L185" s="34">
        <v>0</v>
      </c>
      <c r="M185" s="37">
        <v>0</v>
      </c>
      <c r="N185" s="34">
        <v>0</v>
      </c>
      <c r="O185" s="40">
        <v>0</v>
      </c>
    </row>
    <row r="186" spans="1:15">
      <c r="B186" s="55">
        <v>174</v>
      </c>
      <c r="C186" s="58">
        <v>51</v>
      </c>
      <c r="D186" s="58"/>
      <c r="E186" s="58" t="s">
        <v>297</v>
      </c>
      <c r="F186" s="58" t="s">
        <v>298</v>
      </c>
      <c r="G186" s="58" t="s">
        <v>313</v>
      </c>
      <c r="H186" s="58" t="s">
        <v>300</v>
      </c>
      <c r="I186" s="58" t="s">
        <v>225</v>
      </c>
      <c r="J186" s="34">
        <v>0</v>
      </c>
      <c r="K186" s="34">
        <v>0</v>
      </c>
      <c r="L186" s="34">
        <v>0</v>
      </c>
      <c r="M186" s="37">
        <v>0</v>
      </c>
      <c r="N186" s="34">
        <v>0</v>
      </c>
      <c r="O186" s="40">
        <v>0</v>
      </c>
    </row>
    <row r="187" spans="1:15">
      <c r="B187" s="55">
        <v>175</v>
      </c>
      <c r="C187" s="58">
        <v>51</v>
      </c>
      <c r="D187" s="58"/>
      <c r="E187" s="58" t="s">
        <v>297</v>
      </c>
      <c r="F187" s="58" t="s">
        <v>298</v>
      </c>
      <c r="G187" s="58" t="s">
        <v>314</v>
      </c>
      <c r="H187" s="58" t="s">
        <v>300</v>
      </c>
      <c r="I187" s="58" t="s">
        <v>308</v>
      </c>
      <c r="J187" s="34">
        <v>6000</v>
      </c>
      <c r="K187" s="34">
        <v>5500</v>
      </c>
      <c r="L187" s="34">
        <v>-500</v>
      </c>
      <c r="M187" s="37">
        <v>379115</v>
      </c>
      <c r="N187" s="34">
        <v>500</v>
      </c>
      <c r="O187" s="40">
        <v>34130</v>
      </c>
    </row>
    <row r="188" spans="1:15">
      <c r="B188" s="55">
        <v>176</v>
      </c>
      <c r="C188" s="58">
        <v>51</v>
      </c>
      <c r="D188" s="58"/>
      <c r="E188" s="58" t="s">
        <v>297</v>
      </c>
      <c r="F188" s="58" t="s">
        <v>298</v>
      </c>
      <c r="G188" s="58" t="s">
        <v>315</v>
      </c>
      <c r="H188" s="58" t="s">
        <v>300</v>
      </c>
      <c r="I188" s="58" t="s">
        <v>316</v>
      </c>
      <c r="J188" s="34">
        <v>1000</v>
      </c>
      <c r="K188" s="34">
        <v>1000</v>
      </c>
      <c r="L188" s="34">
        <v>0</v>
      </c>
      <c r="M188" s="37">
        <v>104840</v>
      </c>
      <c r="N188" s="34">
        <v>0</v>
      </c>
      <c r="O188" s="40">
        <v>0</v>
      </c>
    </row>
    <row r="189" spans="1:15">
      <c r="B189" s="55">
        <v>177</v>
      </c>
      <c r="C189" s="58">
        <v>51</v>
      </c>
      <c r="D189" s="58"/>
      <c r="E189" s="58" t="s">
        <v>297</v>
      </c>
      <c r="F189" s="58" t="s">
        <v>298</v>
      </c>
      <c r="G189" s="58" t="s">
        <v>317</v>
      </c>
      <c r="H189" s="58" t="s">
        <v>300</v>
      </c>
      <c r="I189" s="58" t="s">
        <v>318</v>
      </c>
      <c r="J189" s="34">
        <v>33000</v>
      </c>
      <c r="K189" s="34">
        <v>33000</v>
      </c>
      <c r="L189" s="34">
        <v>0</v>
      </c>
      <c r="M189" s="37">
        <v>2376000</v>
      </c>
      <c r="N189" s="34">
        <v>2000</v>
      </c>
      <c r="O189" s="40">
        <v>144000</v>
      </c>
    </row>
    <row r="190" spans="1:15">
      <c r="B190" s="55">
        <v>178</v>
      </c>
      <c r="C190" s="58">
        <v>51</v>
      </c>
      <c r="D190" s="58"/>
      <c r="E190" s="58" t="s">
        <v>319</v>
      </c>
      <c r="F190" s="58" t="s">
        <v>320</v>
      </c>
      <c r="G190" s="58" t="s">
        <v>321</v>
      </c>
      <c r="H190" s="58" t="s">
        <v>322</v>
      </c>
      <c r="I190" s="58" t="s">
        <v>323</v>
      </c>
      <c r="J190" s="34">
        <v>0</v>
      </c>
      <c r="K190" s="34">
        <v>0</v>
      </c>
      <c r="L190" s="34">
        <v>0</v>
      </c>
      <c r="M190" s="37">
        <v>0</v>
      </c>
      <c r="N190" s="34">
        <v>0</v>
      </c>
      <c r="O190" s="40">
        <v>0</v>
      </c>
    </row>
    <row r="191" spans="1:15">
      <c r="B191" s="55">
        <v>179</v>
      </c>
      <c r="C191" s="58">
        <v>51</v>
      </c>
      <c r="D191" s="58"/>
      <c r="E191" s="58" t="s">
        <v>319</v>
      </c>
      <c r="F191" s="58" t="s">
        <v>320</v>
      </c>
      <c r="G191" s="58" t="s">
        <v>324</v>
      </c>
      <c r="H191" s="58" t="s">
        <v>325</v>
      </c>
      <c r="I191" s="58" t="s">
        <v>164</v>
      </c>
      <c r="J191" s="34">
        <v>26000</v>
      </c>
      <c r="K191" s="34">
        <v>26000</v>
      </c>
      <c r="L191" s="34">
        <v>0</v>
      </c>
      <c r="M191" s="37">
        <v>54600</v>
      </c>
      <c r="N191" s="34">
        <v>0</v>
      </c>
      <c r="O191" s="40">
        <v>0</v>
      </c>
    </row>
    <row r="192" spans="1:15">
      <c r="B192" s="55">
        <v>180</v>
      </c>
      <c r="C192" s="58">
        <v>51</v>
      </c>
      <c r="D192" s="58"/>
      <c r="E192" s="58" t="s">
        <v>326</v>
      </c>
      <c r="F192" s="58" t="s">
        <v>327</v>
      </c>
      <c r="G192" s="58" t="s">
        <v>261</v>
      </c>
      <c r="H192" s="58" t="s">
        <v>261</v>
      </c>
      <c r="I192" s="58" t="s">
        <v>88</v>
      </c>
      <c r="J192" s="34">
        <v>12600</v>
      </c>
      <c r="K192" s="34">
        <v>11980</v>
      </c>
      <c r="L192" s="34">
        <v>-620</v>
      </c>
      <c r="M192" s="37">
        <v>754740</v>
      </c>
      <c r="N192" s="34">
        <v>0</v>
      </c>
      <c r="O192" s="40">
        <v>0</v>
      </c>
    </row>
    <row r="193" spans="1:15">
      <c r="B193" s="55">
        <v>181</v>
      </c>
      <c r="C193" s="58">
        <v>51</v>
      </c>
      <c r="D193" s="58"/>
      <c r="E193" s="58" t="s">
        <v>328</v>
      </c>
      <c r="F193" s="58" t="s">
        <v>329</v>
      </c>
      <c r="G193" s="58" t="s">
        <v>330</v>
      </c>
      <c r="H193" s="58" t="s">
        <v>246</v>
      </c>
      <c r="I193" s="58" t="s">
        <v>228</v>
      </c>
      <c r="J193" s="34">
        <v>0</v>
      </c>
      <c r="K193" s="34">
        <v>0</v>
      </c>
      <c r="L193" s="34">
        <v>0</v>
      </c>
      <c r="M193" s="37">
        <v>0</v>
      </c>
      <c r="N193" s="34">
        <v>0</v>
      </c>
      <c r="O193" s="40">
        <v>0</v>
      </c>
    </row>
    <row r="194" spans="1:15">
      <c r="B194" s="55">
        <v>182</v>
      </c>
      <c r="C194" s="58">
        <v>51</v>
      </c>
      <c r="D194" s="58"/>
      <c r="E194" s="58" t="s">
        <v>328</v>
      </c>
      <c r="F194" s="58" t="s">
        <v>329</v>
      </c>
      <c r="G194" s="58" t="s">
        <v>331</v>
      </c>
      <c r="H194" s="58" t="s">
        <v>332</v>
      </c>
      <c r="I194" s="58" t="s">
        <v>211</v>
      </c>
      <c r="J194" s="34">
        <v>30000</v>
      </c>
      <c r="K194" s="34">
        <v>30000</v>
      </c>
      <c r="L194" s="34">
        <v>0</v>
      </c>
      <c r="M194" s="37">
        <v>24600</v>
      </c>
      <c r="N194" s="34">
        <v>4000</v>
      </c>
      <c r="O194" s="40">
        <v>3280</v>
      </c>
    </row>
    <row r="195" spans="1:15">
      <c r="B195" s="55">
        <v>183</v>
      </c>
      <c r="C195" s="58">
        <v>51</v>
      </c>
      <c r="D195" s="58"/>
      <c r="E195" s="58" t="s">
        <v>328</v>
      </c>
      <c r="F195" s="58" t="s">
        <v>329</v>
      </c>
      <c r="G195" s="58" t="s">
        <v>333</v>
      </c>
      <c r="H195" s="58" t="s">
        <v>334</v>
      </c>
      <c r="I195" s="58" t="s">
        <v>211</v>
      </c>
      <c r="J195" s="34">
        <v>0</v>
      </c>
      <c r="K195" s="34">
        <v>0</v>
      </c>
      <c r="L195" s="34">
        <v>0</v>
      </c>
      <c r="M195" s="37">
        <v>0</v>
      </c>
      <c r="N195" s="34">
        <v>0</v>
      </c>
      <c r="O195" s="40">
        <v>0</v>
      </c>
    </row>
    <row r="196" spans="1:15">
      <c r="B196" s="55">
        <v>184</v>
      </c>
      <c r="C196" s="58">
        <v>51</v>
      </c>
      <c r="D196" s="58"/>
      <c r="E196" s="58" t="s">
        <v>328</v>
      </c>
      <c r="F196" s="58" t="s">
        <v>329</v>
      </c>
      <c r="G196" s="58" t="s">
        <v>335</v>
      </c>
      <c r="H196" s="58" t="s">
        <v>336</v>
      </c>
      <c r="I196" s="60">
        <v>3</v>
      </c>
      <c r="J196" s="34">
        <v>2500</v>
      </c>
      <c r="K196" s="34">
        <v>2500</v>
      </c>
      <c r="L196" s="34">
        <v>0</v>
      </c>
      <c r="M196" s="37">
        <v>2500</v>
      </c>
      <c r="N196" s="34">
        <v>0</v>
      </c>
      <c r="O196" s="40">
        <v>0</v>
      </c>
    </row>
    <row r="197" spans="1:15">
      <c r="B197" s="55">
        <v>185</v>
      </c>
      <c r="C197" s="58">
        <v>51</v>
      </c>
      <c r="D197" s="58"/>
      <c r="E197" s="58" t="s">
        <v>328</v>
      </c>
      <c r="F197" s="58" t="s">
        <v>329</v>
      </c>
      <c r="G197" s="58" t="s">
        <v>337</v>
      </c>
      <c r="H197" s="58" t="s">
        <v>338</v>
      </c>
      <c r="I197" s="58" t="s">
        <v>339</v>
      </c>
      <c r="J197" s="34">
        <v>800</v>
      </c>
      <c r="K197" s="34">
        <v>800</v>
      </c>
      <c r="L197" s="34">
        <v>0</v>
      </c>
      <c r="M197" s="37">
        <v>1560</v>
      </c>
      <c r="N197" s="34">
        <v>0</v>
      </c>
      <c r="O197" s="40">
        <v>0</v>
      </c>
    </row>
    <row r="198" spans="1:15">
      <c r="B198" s="55">
        <v>186</v>
      </c>
      <c r="C198" s="58">
        <v>51</v>
      </c>
      <c r="D198" s="58"/>
      <c r="E198" s="58" t="s">
        <v>328</v>
      </c>
      <c r="F198" s="58" t="s">
        <v>329</v>
      </c>
      <c r="G198" s="58" t="s">
        <v>340</v>
      </c>
      <c r="H198" s="58" t="s">
        <v>246</v>
      </c>
      <c r="I198" s="58" t="s">
        <v>341</v>
      </c>
      <c r="J198" s="34">
        <v>0</v>
      </c>
      <c r="K198" s="34">
        <v>0</v>
      </c>
      <c r="L198" s="34">
        <v>0</v>
      </c>
      <c r="M198" s="37">
        <v>0</v>
      </c>
      <c r="N198" s="34">
        <v>0</v>
      </c>
      <c r="O198" s="40">
        <v>0</v>
      </c>
    </row>
    <row r="199" spans="1:15">
      <c r="B199" s="55">
        <v>187</v>
      </c>
      <c r="C199" s="58">
        <v>51</v>
      </c>
      <c r="D199" s="58"/>
      <c r="E199" s="58" t="s">
        <v>328</v>
      </c>
      <c r="F199" s="58" t="s">
        <v>329</v>
      </c>
      <c r="G199" s="58" t="s">
        <v>342</v>
      </c>
      <c r="H199" s="58" t="s">
        <v>338</v>
      </c>
      <c r="I199" s="58" t="s">
        <v>343</v>
      </c>
      <c r="J199" s="34">
        <v>54000</v>
      </c>
      <c r="K199" s="34">
        <v>54000</v>
      </c>
      <c r="L199" s="34">
        <v>0</v>
      </c>
      <c r="M199" s="37">
        <v>118800</v>
      </c>
      <c r="N199" s="34">
        <v>8000</v>
      </c>
      <c r="O199" s="40">
        <v>17600</v>
      </c>
    </row>
    <row r="200" spans="1:15">
      <c r="B200" s="55">
        <v>188</v>
      </c>
      <c r="C200" s="58">
        <v>51</v>
      </c>
      <c r="D200" s="58"/>
      <c r="E200" s="58" t="s">
        <v>344</v>
      </c>
      <c r="F200" s="58" t="s">
        <v>345</v>
      </c>
      <c r="G200" s="58" t="s">
        <v>346</v>
      </c>
      <c r="H200" s="58" t="s">
        <v>347</v>
      </c>
      <c r="I200" s="58" t="s">
        <v>348</v>
      </c>
      <c r="J200" s="34">
        <v>0</v>
      </c>
      <c r="K200" s="34">
        <v>0</v>
      </c>
      <c r="L200" s="34">
        <v>0</v>
      </c>
      <c r="M200" s="37">
        <v>0</v>
      </c>
      <c r="N200" s="34">
        <v>0</v>
      </c>
      <c r="O200" s="40">
        <v>0</v>
      </c>
    </row>
    <row r="201" spans="1:15">
      <c r="B201" s="55">
        <v>189</v>
      </c>
      <c r="C201" s="58">
        <v>51</v>
      </c>
      <c r="D201" s="58"/>
      <c r="E201" s="58" t="s">
        <v>344</v>
      </c>
      <c r="F201" s="58" t="s">
        <v>345</v>
      </c>
      <c r="G201" s="58" t="s">
        <v>349</v>
      </c>
      <c r="H201" s="58" t="s">
        <v>350</v>
      </c>
      <c r="I201" s="58" t="s">
        <v>351</v>
      </c>
      <c r="J201" s="34">
        <v>0</v>
      </c>
      <c r="K201" s="34">
        <v>0</v>
      </c>
      <c r="L201" s="34">
        <v>0</v>
      </c>
      <c r="M201" s="37">
        <v>0</v>
      </c>
      <c r="N201" s="34">
        <v>0</v>
      </c>
      <c r="O201" s="40">
        <v>0</v>
      </c>
    </row>
    <row r="202" spans="1:15">
      <c r="B202" s="55">
        <v>190</v>
      </c>
      <c r="C202" s="58">
        <v>51</v>
      </c>
      <c r="D202" s="58"/>
      <c r="E202" s="58" t="s">
        <v>344</v>
      </c>
      <c r="F202" s="58" t="s">
        <v>345</v>
      </c>
      <c r="G202" s="58" t="s">
        <v>352</v>
      </c>
      <c r="H202" s="58" t="s">
        <v>353</v>
      </c>
      <c r="I202" s="58" t="s">
        <v>351</v>
      </c>
      <c r="J202" s="34">
        <v>14000</v>
      </c>
      <c r="K202" s="34">
        <v>14000</v>
      </c>
      <c r="L202" s="34">
        <v>0</v>
      </c>
      <c r="M202" s="37">
        <v>697900</v>
      </c>
      <c r="N202" s="34">
        <v>3000</v>
      </c>
      <c r="O202" s="40">
        <v>149550</v>
      </c>
    </row>
    <row r="203" spans="1:15">
      <c r="B203" s="55">
        <v>191</v>
      </c>
      <c r="C203" s="58">
        <v>51</v>
      </c>
      <c r="D203" s="58"/>
      <c r="E203" s="58" t="s">
        <v>344</v>
      </c>
      <c r="F203" s="58" t="s">
        <v>345</v>
      </c>
      <c r="G203" s="58" t="s">
        <v>354</v>
      </c>
      <c r="H203" s="58" t="s">
        <v>355</v>
      </c>
      <c r="I203" s="58" t="s">
        <v>285</v>
      </c>
      <c r="J203" s="34">
        <v>10500</v>
      </c>
      <c r="K203" s="34">
        <v>10500</v>
      </c>
      <c r="L203" s="34">
        <v>0</v>
      </c>
      <c r="M203" s="37">
        <v>740040</v>
      </c>
      <c r="N203" s="34">
        <v>1500</v>
      </c>
      <c r="O203" s="40">
        <v>105720</v>
      </c>
    </row>
    <row r="204" spans="1:15">
      <c r="B204" s="55">
        <v>192</v>
      </c>
      <c r="C204" s="58">
        <v>51</v>
      </c>
      <c r="D204" s="58"/>
      <c r="E204" s="58" t="s">
        <v>344</v>
      </c>
      <c r="F204" s="58" t="s">
        <v>345</v>
      </c>
      <c r="G204" s="58" t="s">
        <v>356</v>
      </c>
      <c r="H204" s="58" t="s">
        <v>155</v>
      </c>
      <c r="I204" s="58" t="s">
        <v>164</v>
      </c>
      <c r="J204" s="34">
        <v>13000</v>
      </c>
      <c r="K204" s="34">
        <v>13000</v>
      </c>
      <c r="L204" s="34">
        <v>0</v>
      </c>
      <c r="M204" s="37">
        <v>934960</v>
      </c>
      <c r="N204" s="34">
        <v>4000</v>
      </c>
      <c r="O204" s="40">
        <v>287680</v>
      </c>
    </row>
    <row r="205" spans="1:15">
      <c r="B205" s="55">
        <v>193</v>
      </c>
      <c r="C205" s="58">
        <v>51</v>
      </c>
      <c r="D205" s="58"/>
      <c r="E205" s="58" t="s">
        <v>344</v>
      </c>
      <c r="F205" s="58" t="s">
        <v>345</v>
      </c>
      <c r="G205" s="58" t="s">
        <v>357</v>
      </c>
      <c r="H205" s="58" t="s">
        <v>358</v>
      </c>
      <c r="I205" s="58" t="s">
        <v>351</v>
      </c>
      <c r="J205" s="34">
        <v>0</v>
      </c>
      <c r="K205" s="34">
        <v>0</v>
      </c>
      <c r="L205" s="34">
        <v>0</v>
      </c>
      <c r="M205" s="37">
        <v>0</v>
      </c>
      <c r="N205" s="34">
        <v>0</v>
      </c>
      <c r="O205" s="40">
        <v>0</v>
      </c>
    </row>
    <row r="206" spans="1:15">
      <c r="B206" s="55">
        <v>194</v>
      </c>
      <c r="C206" s="58">
        <v>51</v>
      </c>
      <c r="D206" s="58"/>
      <c r="E206" s="58" t="s">
        <v>344</v>
      </c>
      <c r="F206" s="58" t="s">
        <v>345</v>
      </c>
      <c r="G206" s="58" t="s">
        <v>359</v>
      </c>
      <c r="H206" s="58" t="s">
        <v>360</v>
      </c>
      <c r="I206" s="58" t="s">
        <v>156</v>
      </c>
      <c r="J206" s="34">
        <v>0</v>
      </c>
      <c r="K206" s="34">
        <v>0</v>
      </c>
      <c r="L206" s="34">
        <v>0</v>
      </c>
      <c r="M206" s="37">
        <v>0</v>
      </c>
      <c r="N206" s="34">
        <v>0</v>
      </c>
      <c r="O206" s="40">
        <v>0</v>
      </c>
    </row>
    <row r="207" spans="1:15">
      <c r="B207" s="55">
        <v>195</v>
      </c>
      <c r="C207" s="58">
        <v>51</v>
      </c>
      <c r="D207" s="58"/>
      <c r="E207" s="58" t="s">
        <v>344</v>
      </c>
      <c r="F207" s="58" t="s">
        <v>345</v>
      </c>
      <c r="G207" s="58" t="s">
        <v>361</v>
      </c>
      <c r="H207" s="58" t="s">
        <v>362</v>
      </c>
      <c r="I207" s="58" t="s">
        <v>280</v>
      </c>
      <c r="J207" s="34">
        <v>15000</v>
      </c>
      <c r="K207" s="34">
        <v>15000</v>
      </c>
      <c r="L207" s="34">
        <v>0</v>
      </c>
      <c r="M207" s="37">
        <v>717750</v>
      </c>
      <c r="N207" s="34">
        <v>3000</v>
      </c>
      <c r="O207" s="40">
        <v>143550</v>
      </c>
    </row>
    <row r="208" spans="1:15">
      <c r="B208" s="55">
        <v>196</v>
      </c>
      <c r="C208" s="58">
        <v>51</v>
      </c>
      <c r="D208" s="58"/>
      <c r="E208" s="58" t="s">
        <v>344</v>
      </c>
      <c r="F208" s="58" t="s">
        <v>345</v>
      </c>
      <c r="G208" s="58" t="s">
        <v>363</v>
      </c>
      <c r="H208" s="58" t="s">
        <v>364</v>
      </c>
      <c r="I208" s="58" t="s">
        <v>280</v>
      </c>
      <c r="J208" s="34">
        <v>4000</v>
      </c>
      <c r="K208" s="34">
        <v>4000</v>
      </c>
      <c r="L208" s="34">
        <v>0</v>
      </c>
      <c r="M208" s="37">
        <v>288840</v>
      </c>
      <c r="N208" s="34">
        <v>0</v>
      </c>
      <c r="O208" s="40">
        <v>0</v>
      </c>
    </row>
    <row r="209" spans="1:15">
      <c r="B209" s="55">
        <v>197</v>
      </c>
      <c r="C209" s="58">
        <v>51</v>
      </c>
      <c r="D209" s="58"/>
      <c r="E209" s="58" t="s">
        <v>344</v>
      </c>
      <c r="F209" s="58" t="s">
        <v>345</v>
      </c>
      <c r="G209" s="58" t="s">
        <v>365</v>
      </c>
      <c r="H209" s="58" t="s">
        <v>366</v>
      </c>
      <c r="I209" s="58" t="s">
        <v>164</v>
      </c>
      <c r="J209" s="34">
        <v>12500</v>
      </c>
      <c r="K209" s="34">
        <v>12500</v>
      </c>
      <c r="L209" s="34">
        <v>0</v>
      </c>
      <c r="M209" s="37">
        <v>1052250</v>
      </c>
      <c r="N209" s="34">
        <v>2500</v>
      </c>
      <c r="O209" s="40">
        <v>210450</v>
      </c>
    </row>
    <row r="210" spans="1:15">
      <c r="B210" s="55">
        <v>198</v>
      </c>
      <c r="C210" s="58">
        <v>51</v>
      </c>
      <c r="D210" s="58"/>
      <c r="E210" s="58" t="s">
        <v>344</v>
      </c>
      <c r="F210" s="58" t="s">
        <v>345</v>
      </c>
      <c r="G210" s="58" t="s">
        <v>367</v>
      </c>
      <c r="H210" s="58" t="s">
        <v>368</v>
      </c>
      <c r="I210" s="58" t="s">
        <v>369</v>
      </c>
      <c r="J210" s="34">
        <v>12500</v>
      </c>
      <c r="K210" s="34">
        <v>12500</v>
      </c>
      <c r="L210" s="34">
        <v>0</v>
      </c>
      <c r="M210" s="37">
        <v>922500</v>
      </c>
      <c r="N210" s="34">
        <v>3000</v>
      </c>
      <c r="O210" s="40">
        <v>221400</v>
      </c>
    </row>
    <row r="211" spans="1:15">
      <c r="B211" s="55">
        <v>199</v>
      </c>
      <c r="C211" s="58">
        <v>51</v>
      </c>
      <c r="D211" s="58"/>
      <c r="E211" s="58" t="s">
        <v>344</v>
      </c>
      <c r="F211" s="58" t="s">
        <v>345</v>
      </c>
      <c r="G211" s="58" t="s">
        <v>370</v>
      </c>
      <c r="H211" s="58" t="s">
        <v>371</v>
      </c>
      <c r="I211" s="58" t="s">
        <v>372</v>
      </c>
      <c r="J211" s="34">
        <v>10500</v>
      </c>
      <c r="K211" s="34">
        <v>10500</v>
      </c>
      <c r="L211" s="34">
        <v>0</v>
      </c>
      <c r="M211" s="37">
        <v>1003380</v>
      </c>
      <c r="N211" s="34">
        <v>3000</v>
      </c>
      <c r="O211" s="40">
        <v>286680</v>
      </c>
    </row>
    <row r="212" spans="1:15">
      <c r="B212" s="55">
        <v>200</v>
      </c>
      <c r="C212" s="58">
        <v>51</v>
      </c>
      <c r="D212" s="58"/>
      <c r="E212" s="58" t="s">
        <v>344</v>
      </c>
      <c r="F212" s="58" t="s">
        <v>345</v>
      </c>
      <c r="G212" s="58" t="s">
        <v>373</v>
      </c>
      <c r="H212" s="58" t="s">
        <v>374</v>
      </c>
      <c r="I212" s="58" t="s">
        <v>266</v>
      </c>
      <c r="J212" s="34">
        <v>13500</v>
      </c>
      <c r="K212" s="34">
        <v>13500</v>
      </c>
      <c r="L212" s="34">
        <v>0</v>
      </c>
      <c r="M212" s="37">
        <v>1148175</v>
      </c>
      <c r="N212" s="34">
        <v>2000</v>
      </c>
      <c r="O212" s="40">
        <v>170100</v>
      </c>
    </row>
    <row r="213" spans="1:15">
      <c r="B213" s="55">
        <v>201</v>
      </c>
      <c r="C213" s="58">
        <v>51</v>
      </c>
      <c r="D213" s="58"/>
      <c r="E213" s="58" t="s">
        <v>375</v>
      </c>
      <c r="F213" s="58" t="s">
        <v>376</v>
      </c>
      <c r="G213" s="58" t="s">
        <v>377</v>
      </c>
      <c r="H213" s="58" t="s">
        <v>198</v>
      </c>
      <c r="I213" s="58" t="s">
        <v>199</v>
      </c>
      <c r="J213" s="34">
        <v>0</v>
      </c>
      <c r="K213" s="34">
        <v>0</v>
      </c>
      <c r="L213" s="34">
        <v>0</v>
      </c>
      <c r="M213" s="37">
        <v>0</v>
      </c>
      <c r="N213" s="34">
        <v>0</v>
      </c>
      <c r="O213" s="40">
        <v>0</v>
      </c>
    </row>
    <row r="214" spans="1:15">
      <c r="B214" s="55">
        <v>202</v>
      </c>
      <c r="C214" s="58">
        <v>51</v>
      </c>
      <c r="D214" s="58"/>
      <c r="E214" s="58" t="s">
        <v>378</v>
      </c>
      <c r="F214" s="58" t="s">
        <v>379</v>
      </c>
      <c r="G214" s="58" t="s">
        <v>380</v>
      </c>
      <c r="H214" s="58" t="s">
        <v>381</v>
      </c>
      <c r="I214" s="58" t="s">
        <v>382</v>
      </c>
      <c r="J214" s="34">
        <v>400</v>
      </c>
      <c r="K214" s="34">
        <v>400</v>
      </c>
      <c r="L214" s="34">
        <v>0</v>
      </c>
      <c r="M214" s="37">
        <v>73716</v>
      </c>
      <c r="N214" s="34">
        <v>0</v>
      </c>
      <c r="O214" s="40">
        <v>0</v>
      </c>
    </row>
    <row r="215" spans="1:15">
      <c r="B215" s="55">
        <v>203</v>
      </c>
      <c r="C215" s="58">
        <v>51</v>
      </c>
      <c r="D215" s="58"/>
      <c r="E215" s="58" t="s">
        <v>378</v>
      </c>
      <c r="F215" s="58" t="s">
        <v>379</v>
      </c>
      <c r="G215" s="58" t="s">
        <v>383</v>
      </c>
      <c r="H215" s="58" t="s">
        <v>384</v>
      </c>
      <c r="I215" s="58" t="s">
        <v>385</v>
      </c>
      <c r="J215" s="34">
        <v>0</v>
      </c>
      <c r="K215" s="34">
        <v>0</v>
      </c>
      <c r="L215" s="34">
        <v>0</v>
      </c>
      <c r="M215" s="37">
        <v>0</v>
      </c>
      <c r="N215" s="34">
        <v>0</v>
      </c>
      <c r="O215" s="40">
        <v>0</v>
      </c>
    </row>
    <row r="216" spans="1:15">
      <c r="B216" s="55">
        <v>204</v>
      </c>
      <c r="C216" s="58">
        <v>51</v>
      </c>
      <c r="D216" s="58"/>
      <c r="E216" s="58" t="s">
        <v>378</v>
      </c>
      <c r="F216" s="58" t="s">
        <v>379</v>
      </c>
      <c r="G216" s="58" t="s">
        <v>386</v>
      </c>
      <c r="H216" s="58" t="s">
        <v>387</v>
      </c>
      <c r="I216" s="58" t="s">
        <v>388</v>
      </c>
      <c r="J216" s="34">
        <v>0</v>
      </c>
      <c r="K216" s="34">
        <v>0</v>
      </c>
      <c r="L216" s="34">
        <v>0</v>
      </c>
      <c r="M216" s="37">
        <v>0</v>
      </c>
      <c r="N216" s="34">
        <v>0</v>
      </c>
      <c r="O216" s="40">
        <v>0</v>
      </c>
    </row>
    <row r="217" spans="1:15">
      <c r="B217" s="55">
        <v>205</v>
      </c>
      <c r="C217" s="58">
        <v>51</v>
      </c>
      <c r="D217" s="58"/>
      <c r="E217" s="58" t="s">
        <v>378</v>
      </c>
      <c r="F217" s="58" t="s">
        <v>379</v>
      </c>
      <c r="G217" s="58" t="s">
        <v>389</v>
      </c>
      <c r="H217" s="58" t="s">
        <v>384</v>
      </c>
      <c r="I217" s="58" t="s">
        <v>316</v>
      </c>
      <c r="J217" s="34">
        <v>0</v>
      </c>
      <c r="K217" s="34">
        <v>0</v>
      </c>
      <c r="L217" s="34">
        <v>0</v>
      </c>
      <c r="M217" s="37">
        <v>0</v>
      </c>
      <c r="N217" s="34">
        <v>0</v>
      </c>
      <c r="O217" s="40">
        <v>0</v>
      </c>
    </row>
    <row r="218" spans="1:15">
      <c r="B218" s="55">
        <v>206</v>
      </c>
      <c r="C218" s="58">
        <v>51</v>
      </c>
      <c r="D218" s="58"/>
      <c r="E218" s="58" t="s">
        <v>378</v>
      </c>
      <c r="F218" s="58" t="s">
        <v>379</v>
      </c>
      <c r="G218" s="58" t="s">
        <v>390</v>
      </c>
      <c r="H218" s="58" t="s">
        <v>381</v>
      </c>
      <c r="I218" s="58" t="s">
        <v>391</v>
      </c>
      <c r="J218" s="34">
        <v>500</v>
      </c>
      <c r="K218" s="34">
        <v>500</v>
      </c>
      <c r="L218" s="34">
        <v>0</v>
      </c>
      <c r="M218" s="37">
        <v>73885</v>
      </c>
      <c r="N218" s="34">
        <v>0</v>
      </c>
      <c r="O218" s="40">
        <v>0</v>
      </c>
    </row>
    <row r="219" spans="1:15">
      <c r="B219" s="55">
        <v>207</v>
      </c>
      <c r="C219" s="58">
        <v>51</v>
      </c>
      <c r="D219" s="58"/>
      <c r="E219" s="58" t="s">
        <v>378</v>
      </c>
      <c r="F219" s="58" t="s">
        <v>379</v>
      </c>
      <c r="G219" s="58" t="s">
        <v>392</v>
      </c>
      <c r="H219" s="58" t="s">
        <v>384</v>
      </c>
      <c r="I219" s="58" t="s">
        <v>393</v>
      </c>
      <c r="J219" s="34">
        <v>0</v>
      </c>
      <c r="K219" s="34">
        <v>0</v>
      </c>
      <c r="L219" s="34">
        <v>0</v>
      </c>
      <c r="M219" s="37">
        <v>0</v>
      </c>
      <c r="N219" s="34">
        <v>0</v>
      </c>
      <c r="O219" s="40">
        <v>0</v>
      </c>
    </row>
    <row r="220" spans="1:15">
      <c r="B220" s="55">
        <v>208</v>
      </c>
      <c r="C220" s="58">
        <v>51</v>
      </c>
      <c r="D220" s="58"/>
      <c r="E220" s="58" t="s">
        <v>378</v>
      </c>
      <c r="F220" s="58" t="s">
        <v>379</v>
      </c>
      <c r="G220" s="58" t="s">
        <v>394</v>
      </c>
      <c r="H220" s="58" t="s">
        <v>384</v>
      </c>
      <c r="I220" s="58" t="s">
        <v>395</v>
      </c>
      <c r="J220" s="34">
        <v>0</v>
      </c>
      <c r="K220" s="34">
        <v>0</v>
      </c>
      <c r="L220" s="34">
        <v>0</v>
      </c>
      <c r="M220" s="37">
        <v>0</v>
      </c>
      <c r="N220" s="34">
        <v>0</v>
      </c>
      <c r="O220" s="40">
        <v>0</v>
      </c>
    </row>
    <row r="221" spans="1:15">
      <c r="B221" s="55">
        <v>209</v>
      </c>
      <c r="C221" s="58">
        <v>51</v>
      </c>
      <c r="D221" s="58"/>
      <c r="E221" s="58" t="s">
        <v>378</v>
      </c>
      <c r="F221" s="58" t="s">
        <v>379</v>
      </c>
      <c r="G221" s="58" t="s">
        <v>396</v>
      </c>
      <c r="H221" s="58" t="s">
        <v>387</v>
      </c>
      <c r="I221" s="58" t="s">
        <v>88</v>
      </c>
      <c r="J221" s="34">
        <v>10000</v>
      </c>
      <c r="K221" s="34">
        <v>10000</v>
      </c>
      <c r="L221" s="34">
        <v>0</v>
      </c>
      <c r="M221" s="37">
        <v>4000</v>
      </c>
      <c r="N221" s="34">
        <v>0</v>
      </c>
      <c r="O221" s="40">
        <v>0</v>
      </c>
    </row>
    <row r="222" spans="1:15">
      <c r="B222" s="55">
        <v>210</v>
      </c>
      <c r="C222" s="58">
        <v>51</v>
      </c>
      <c r="D222" s="58"/>
      <c r="E222" s="58" t="s">
        <v>378</v>
      </c>
      <c r="F222" s="58" t="s">
        <v>379</v>
      </c>
      <c r="G222" s="58" t="s">
        <v>397</v>
      </c>
      <c r="H222" s="58" t="s">
        <v>381</v>
      </c>
      <c r="I222" s="58" t="s">
        <v>398</v>
      </c>
      <c r="J222" s="34">
        <v>420</v>
      </c>
      <c r="K222" s="34">
        <v>420</v>
      </c>
      <c r="L222" s="34">
        <v>0</v>
      </c>
      <c r="M222" s="37">
        <v>86553.60000000001</v>
      </c>
      <c r="N222" s="34">
        <v>0</v>
      </c>
      <c r="O222" s="40">
        <v>0</v>
      </c>
    </row>
    <row r="223" spans="1:15">
      <c r="B223" s="55">
        <v>211</v>
      </c>
      <c r="C223" s="58">
        <v>51</v>
      </c>
      <c r="D223" s="58"/>
      <c r="E223" s="58" t="s">
        <v>378</v>
      </c>
      <c r="F223" s="58" t="s">
        <v>379</v>
      </c>
      <c r="G223" s="58" t="s">
        <v>399</v>
      </c>
      <c r="H223" s="58" t="s">
        <v>381</v>
      </c>
      <c r="I223" s="58" t="s">
        <v>258</v>
      </c>
      <c r="J223" s="34">
        <v>1100</v>
      </c>
      <c r="K223" s="34">
        <v>1100</v>
      </c>
      <c r="L223" s="34">
        <v>0</v>
      </c>
      <c r="M223" s="37">
        <v>134871</v>
      </c>
      <c r="N223" s="34">
        <v>600</v>
      </c>
      <c r="O223" s="40">
        <v>73566</v>
      </c>
    </row>
    <row r="224" spans="1:15">
      <c r="B224" s="55">
        <v>212</v>
      </c>
      <c r="C224" s="58">
        <v>51</v>
      </c>
      <c r="D224" s="58"/>
      <c r="E224" s="58" t="s">
        <v>400</v>
      </c>
      <c r="F224" s="58" t="s">
        <v>401</v>
      </c>
      <c r="G224" s="58" t="s">
        <v>402</v>
      </c>
      <c r="H224" s="58" t="s">
        <v>289</v>
      </c>
      <c r="I224" s="58" t="s">
        <v>323</v>
      </c>
      <c r="J224" s="34">
        <v>0</v>
      </c>
      <c r="K224" s="34">
        <v>0</v>
      </c>
      <c r="L224" s="34">
        <v>0</v>
      </c>
      <c r="M224" s="37">
        <v>0</v>
      </c>
      <c r="N224" s="34">
        <v>0</v>
      </c>
      <c r="O224" s="40">
        <v>0</v>
      </c>
    </row>
    <row r="225" spans="1:15">
      <c r="B225" s="55">
        <v>213</v>
      </c>
      <c r="C225" s="58">
        <v>51</v>
      </c>
      <c r="D225" s="58"/>
      <c r="E225" s="58" t="s">
        <v>403</v>
      </c>
      <c r="F225" s="58" t="s">
        <v>404</v>
      </c>
      <c r="G225" s="58" t="s">
        <v>405</v>
      </c>
      <c r="H225" s="58" t="s">
        <v>185</v>
      </c>
      <c r="I225" s="58" t="s">
        <v>176</v>
      </c>
      <c r="J225" s="34">
        <v>640</v>
      </c>
      <c r="K225" s="34">
        <v>635</v>
      </c>
      <c r="L225" s="34">
        <v>-5</v>
      </c>
      <c r="M225" s="37">
        <v>7620</v>
      </c>
      <c r="N225" s="34">
        <v>0</v>
      </c>
      <c r="O225" s="40">
        <v>0</v>
      </c>
    </row>
    <row r="226" spans="1:15">
      <c r="B226" s="55">
        <v>214</v>
      </c>
      <c r="C226" s="58">
        <v>51</v>
      </c>
      <c r="D226" s="58"/>
      <c r="E226" s="58" t="s">
        <v>403</v>
      </c>
      <c r="F226" s="58" t="s">
        <v>404</v>
      </c>
      <c r="G226" s="58" t="s">
        <v>406</v>
      </c>
      <c r="H226" s="58" t="s">
        <v>175</v>
      </c>
      <c r="I226" s="58" t="s">
        <v>176</v>
      </c>
      <c r="J226" s="34">
        <v>600</v>
      </c>
      <c r="K226" s="34">
        <v>595</v>
      </c>
      <c r="L226" s="34">
        <v>-5</v>
      </c>
      <c r="M226" s="37">
        <v>7140</v>
      </c>
      <c r="N226" s="34">
        <v>0</v>
      </c>
      <c r="O226" s="40">
        <v>0</v>
      </c>
    </row>
    <row r="227" spans="1:15">
      <c r="B227" s="55">
        <v>215</v>
      </c>
      <c r="C227" s="58">
        <v>51</v>
      </c>
      <c r="D227" s="58"/>
      <c r="E227" s="58" t="s">
        <v>403</v>
      </c>
      <c r="F227" s="58" t="s">
        <v>404</v>
      </c>
      <c r="G227" s="58" t="s">
        <v>407</v>
      </c>
      <c r="H227" s="58" t="s">
        <v>181</v>
      </c>
      <c r="I227" s="58" t="s">
        <v>179</v>
      </c>
      <c r="J227" s="34">
        <v>100</v>
      </c>
      <c r="K227" s="34">
        <v>98</v>
      </c>
      <c r="L227" s="34">
        <v>-2</v>
      </c>
      <c r="M227" s="37">
        <v>1372</v>
      </c>
      <c r="N227" s="34">
        <v>0</v>
      </c>
      <c r="O227" s="40">
        <v>0</v>
      </c>
    </row>
    <row r="228" spans="1:15">
      <c r="B228" s="55">
        <v>216</v>
      </c>
      <c r="C228" s="58">
        <v>51</v>
      </c>
      <c r="D228" s="58"/>
      <c r="E228" s="58" t="s">
        <v>403</v>
      </c>
      <c r="F228" s="58" t="s">
        <v>404</v>
      </c>
      <c r="G228" s="58" t="s">
        <v>408</v>
      </c>
      <c r="H228" s="58" t="s">
        <v>190</v>
      </c>
      <c r="I228" s="58" t="s">
        <v>188</v>
      </c>
      <c r="J228" s="34">
        <v>0</v>
      </c>
      <c r="K228" s="34">
        <v>0</v>
      </c>
      <c r="L228" s="34">
        <v>0</v>
      </c>
      <c r="M228" s="37">
        <v>0</v>
      </c>
      <c r="N228" s="34">
        <v>0</v>
      </c>
      <c r="O228" s="40">
        <v>0</v>
      </c>
    </row>
    <row r="229" spans="1:15">
      <c r="B229" s="55">
        <v>217</v>
      </c>
      <c r="C229" s="58">
        <v>51</v>
      </c>
      <c r="D229" s="58"/>
      <c r="E229" s="58" t="s">
        <v>403</v>
      </c>
      <c r="F229" s="58" t="s">
        <v>404</v>
      </c>
      <c r="G229" s="58" t="s">
        <v>409</v>
      </c>
      <c r="H229" s="58" t="s">
        <v>410</v>
      </c>
      <c r="I229" s="58" t="s">
        <v>411</v>
      </c>
      <c r="J229" s="34">
        <v>0</v>
      </c>
      <c r="K229" s="34">
        <v>0</v>
      </c>
      <c r="L229" s="34">
        <v>0</v>
      </c>
      <c r="M229" s="37">
        <v>0</v>
      </c>
      <c r="N229" s="34">
        <v>0</v>
      </c>
      <c r="O229" s="40">
        <v>0</v>
      </c>
    </row>
    <row r="230" spans="1:15">
      <c r="B230" s="55">
        <v>218</v>
      </c>
      <c r="C230" s="58">
        <v>51</v>
      </c>
      <c r="D230" s="58"/>
      <c r="E230" s="58" t="s">
        <v>403</v>
      </c>
      <c r="F230" s="58" t="s">
        <v>404</v>
      </c>
      <c r="G230" s="58" t="s">
        <v>412</v>
      </c>
      <c r="H230" s="58" t="s">
        <v>178</v>
      </c>
      <c r="I230" s="58" t="s">
        <v>179</v>
      </c>
      <c r="J230" s="34">
        <v>0</v>
      </c>
      <c r="K230" s="34">
        <v>0</v>
      </c>
      <c r="L230" s="34">
        <v>0</v>
      </c>
      <c r="M230" s="37">
        <v>0</v>
      </c>
      <c r="N230" s="34">
        <v>0</v>
      </c>
      <c r="O230" s="40">
        <v>0</v>
      </c>
    </row>
    <row r="231" spans="1:15">
      <c r="B231" s="55">
        <v>219</v>
      </c>
      <c r="C231" s="58">
        <v>51</v>
      </c>
      <c r="D231" s="58"/>
      <c r="E231" s="58" t="s">
        <v>403</v>
      </c>
      <c r="F231" s="58" t="s">
        <v>404</v>
      </c>
      <c r="G231" s="58" t="s">
        <v>413</v>
      </c>
      <c r="H231" s="58" t="s">
        <v>192</v>
      </c>
      <c r="I231" s="58" t="s">
        <v>176</v>
      </c>
      <c r="J231" s="34">
        <v>600</v>
      </c>
      <c r="K231" s="34">
        <v>596</v>
      </c>
      <c r="L231" s="34">
        <v>-4</v>
      </c>
      <c r="M231" s="37">
        <v>7152</v>
      </c>
      <c r="N231" s="34">
        <v>0</v>
      </c>
      <c r="O231" s="40">
        <v>0</v>
      </c>
    </row>
    <row r="232" spans="1:15">
      <c r="B232" s="55">
        <v>220</v>
      </c>
      <c r="C232" s="58">
        <v>51</v>
      </c>
      <c r="D232" s="58"/>
      <c r="E232" s="58" t="s">
        <v>403</v>
      </c>
      <c r="F232" s="58" t="s">
        <v>404</v>
      </c>
      <c r="G232" s="58" t="s">
        <v>414</v>
      </c>
      <c r="H232" s="58" t="s">
        <v>194</v>
      </c>
      <c r="I232" s="58" t="s">
        <v>179</v>
      </c>
      <c r="J232" s="34">
        <v>0</v>
      </c>
      <c r="K232" s="34">
        <v>0</v>
      </c>
      <c r="L232" s="34">
        <v>0</v>
      </c>
      <c r="M232" s="37">
        <v>0</v>
      </c>
      <c r="N232" s="34">
        <v>0</v>
      </c>
      <c r="O232" s="40">
        <v>0</v>
      </c>
    </row>
    <row r="233" spans="1:15">
      <c r="B233" s="55">
        <v>221</v>
      </c>
      <c r="C233" s="58">
        <v>51</v>
      </c>
      <c r="D233" s="58"/>
      <c r="E233" s="58" t="s">
        <v>403</v>
      </c>
      <c r="F233" s="58" t="s">
        <v>404</v>
      </c>
      <c r="G233" s="58" t="s">
        <v>415</v>
      </c>
      <c r="H233" s="58" t="s">
        <v>416</v>
      </c>
      <c r="I233" s="58" t="s">
        <v>188</v>
      </c>
      <c r="J233" s="34">
        <v>0</v>
      </c>
      <c r="K233" s="34">
        <v>0</v>
      </c>
      <c r="L233" s="34">
        <v>0</v>
      </c>
      <c r="M233" s="37">
        <v>0</v>
      </c>
      <c r="N233" s="34">
        <v>0</v>
      </c>
      <c r="O233" s="40">
        <v>0</v>
      </c>
    </row>
    <row r="234" spans="1:15">
      <c r="B234" s="55">
        <v>222</v>
      </c>
      <c r="C234" s="58">
        <v>51</v>
      </c>
      <c r="D234" s="58"/>
      <c r="E234" s="58" t="s">
        <v>403</v>
      </c>
      <c r="F234" s="58" t="s">
        <v>404</v>
      </c>
      <c r="G234" s="58" t="s">
        <v>417</v>
      </c>
      <c r="H234" s="58" t="s">
        <v>190</v>
      </c>
      <c r="I234" s="58" t="s">
        <v>188</v>
      </c>
      <c r="J234" s="34">
        <v>300</v>
      </c>
      <c r="K234" s="34">
        <v>299</v>
      </c>
      <c r="L234" s="34">
        <v>-1</v>
      </c>
      <c r="M234" s="37">
        <v>4455.1</v>
      </c>
      <c r="N234" s="34">
        <v>300</v>
      </c>
      <c r="O234" s="40">
        <v>4470</v>
      </c>
    </row>
    <row r="235" spans="1:15">
      <c r="B235" s="55">
        <v>223</v>
      </c>
      <c r="C235" s="58">
        <v>51</v>
      </c>
      <c r="D235" s="58"/>
      <c r="E235" s="58" t="s">
        <v>403</v>
      </c>
      <c r="F235" s="58" t="s">
        <v>404</v>
      </c>
      <c r="G235" s="58" t="s">
        <v>418</v>
      </c>
      <c r="H235" s="58" t="s">
        <v>194</v>
      </c>
      <c r="I235" s="58" t="s">
        <v>179</v>
      </c>
      <c r="J235" s="34">
        <v>0</v>
      </c>
      <c r="K235" s="34">
        <v>0</v>
      </c>
      <c r="L235" s="34">
        <v>0</v>
      </c>
      <c r="M235" s="37">
        <v>0</v>
      </c>
      <c r="N235" s="34">
        <v>0</v>
      </c>
      <c r="O235" s="40">
        <v>0</v>
      </c>
    </row>
    <row r="236" spans="1:15">
      <c r="B236" s="55">
        <v>224</v>
      </c>
      <c r="C236" s="58">
        <v>51</v>
      </c>
      <c r="D236" s="58"/>
      <c r="E236" s="58" t="s">
        <v>403</v>
      </c>
      <c r="F236" s="58" t="s">
        <v>404</v>
      </c>
      <c r="G236" s="58" t="s">
        <v>419</v>
      </c>
      <c r="H236" s="58" t="s">
        <v>183</v>
      </c>
      <c r="I236" s="58" t="s">
        <v>179</v>
      </c>
      <c r="J236" s="34">
        <v>100</v>
      </c>
      <c r="K236" s="34">
        <v>97</v>
      </c>
      <c r="L236" s="34">
        <v>-3</v>
      </c>
      <c r="M236" s="37">
        <v>1493.8</v>
      </c>
      <c r="N236" s="34">
        <v>0</v>
      </c>
      <c r="O236" s="40">
        <v>0</v>
      </c>
    </row>
    <row r="237" spans="1:15">
      <c r="B237" s="55">
        <v>225</v>
      </c>
      <c r="C237" s="58">
        <v>51</v>
      </c>
      <c r="D237" s="58"/>
      <c r="E237" s="58" t="s">
        <v>420</v>
      </c>
      <c r="F237" s="58" t="s">
        <v>421</v>
      </c>
      <c r="G237" s="58" t="s">
        <v>422</v>
      </c>
      <c r="H237" s="58" t="s">
        <v>423</v>
      </c>
      <c r="I237" s="58" t="s">
        <v>424</v>
      </c>
      <c r="J237" s="34">
        <v>0</v>
      </c>
      <c r="K237" s="34">
        <v>0</v>
      </c>
      <c r="L237" s="34">
        <v>0</v>
      </c>
      <c r="M237" s="37">
        <v>0</v>
      </c>
      <c r="N237" s="34">
        <v>0</v>
      </c>
      <c r="O237" s="40">
        <v>0</v>
      </c>
    </row>
    <row r="238" spans="1:15">
      <c r="B238" s="55">
        <v>226</v>
      </c>
      <c r="C238" s="58">
        <v>51</v>
      </c>
      <c r="D238" s="58"/>
      <c r="E238" s="58" t="s">
        <v>420</v>
      </c>
      <c r="F238" s="58" t="s">
        <v>421</v>
      </c>
      <c r="G238" s="58" t="s">
        <v>425</v>
      </c>
      <c r="H238" s="58" t="s">
        <v>426</v>
      </c>
      <c r="I238" s="58" t="s">
        <v>427</v>
      </c>
      <c r="J238" s="34">
        <v>0</v>
      </c>
      <c r="K238" s="34">
        <v>0</v>
      </c>
      <c r="L238" s="34">
        <v>0</v>
      </c>
      <c r="M238" s="37">
        <v>0</v>
      </c>
      <c r="N238" s="34">
        <v>0</v>
      </c>
      <c r="O238" s="40">
        <v>0</v>
      </c>
    </row>
    <row r="239" spans="1:15">
      <c r="B239" s="55">
        <v>227</v>
      </c>
      <c r="C239" s="58">
        <v>51</v>
      </c>
      <c r="D239" s="58"/>
      <c r="E239" s="58" t="s">
        <v>420</v>
      </c>
      <c r="F239" s="58" t="s">
        <v>421</v>
      </c>
      <c r="G239" s="58" t="s">
        <v>428</v>
      </c>
      <c r="H239" s="58" t="s">
        <v>429</v>
      </c>
      <c r="I239" s="58" t="s">
        <v>424</v>
      </c>
      <c r="J239" s="34">
        <v>0</v>
      </c>
      <c r="K239" s="34">
        <v>0</v>
      </c>
      <c r="L239" s="34">
        <v>0</v>
      </c>
      <c r="M239" s="37">
        <v>0</v>
      </c>
      <c r="N239" s="34">
        <v>0</v>
      </c>
      <c r="O239" s="40">
        <v>0</v>
      </c>
    </row>
    <row r="240" spans="1:15">
      <c r="B240" s="55">
        <v>228</v>
      </c>
      <c r="C240" s="58">
        <v>51</v>
      </c>
      <c r="D240" s="58"/>
      <c r="E240" s="58" t="s">
        <v>420</v>
      </c>
      <c r="F240" s="58" t="s">
        <v>421</v>
      </c>
      <c r="G240" s="58" t="s">
        <v>430</v>
      </c>
      <c r="H240" s="58" t="s">
        <v>431</v>
      </c>
      <c r="I240" s="58" t="s">
        <v>432</v>
      </c>
      <c r="J240" s="34">
        <v>1440</v>
      </c>
      <c r="K240" s="34">
        <v>1440</v>
      </c>
      <c r="L240" s="34">
        <v>0</v>
      </c>
      <c r="M240" s="37">
        <v>51019.2</v>
      </c>
      <c r="N240" s="34">
        <v>0</v>
      </c>
      <c r="O240" s="40">
        <v>0</v>
      </c>
    </row>
    <row r="241" spans="1:15">
      <c r="B241" s="55">
        <v>229</v>
      </c>
      <c r="C241" s="58">
        <v>51</v>
      </c>
      <c r="D241" s="58"/>
      <c r="E241" s="58" t="s">
        <v>420</v>
      </c>
      <c r="F241" s="58" t="s">
        <v>421</v>
      </c>
      <c r="G241" s="58" t="s">
        <v>433</v>
      </c>
      <c r="H241" s="58" t="s">
        <v>434</v>
      </c>
      <c r="I241" s="58" t="s">
        <v>88</v>
      </c>
      <c r="J241" s="34">
        <v>2520</v>
      </c>
      <c r="K241" s="34">
        <v>2520</v>
      </c>
      <c r="L241" s="34">
        <v>0</v>
      </c>
      <c r="M241" s="37">
        <v>59522.4</v>
      </c>
      <c r="N241" s="34">
        <v>840</v>
      </c>
      <c r="O241" s="40">
        <v>19840.8</v>
      </c>
    </row>
    <row r="242" spans="1:15">
      <c r="B242" s="55">
        <v>230</v>
      </c>
      <c r="C242" s="58">
        <v>51</v>
      </c>
      <c r="D242" s="58"/>
      <c r="E242" s="58" t="s">
        <v>420</v>
      </c>
      <c r="F242" s="58" t="s">
        <v>421</v>
      </c>
      <c r="G242" s="58" t="s">
        <v>435</v>
      </c>
      <c r="H242" s="58" t="s">
        <v>362</v>
      </c>
      <c r="I242" s="58" t="s">
        <v>436</v>
      </c>
      <c r="J242" s="34">
        <v>21888</v>
      </c>
      <c r="K242" s="34">
        <v>21888</v>
      </c>
      <c r="L242" s="34">
        <v>0</v>
      </c>
      <c r="M242" s="37">
        <v>588568.3199999999</v>
      </c>
      <c r="N242" s="34">
        <v>0</v>
      </c>
      <c r="O242" s="40">
        <v>0</v>
      </c>
    </row>
    <row r="243" spans="1:15">
      <c r="B243" s="55">
        <v>231</v>
      </c>
      <c r="C243" s="58">
        <v>51</v>
      </c>
      <c r="D243" s="58"/>
      <c r="E243" s="58" t="s">
        <v>420</v>
      </c>
      <c r="F243" s="58" t="s">
        <v>421</v>
      </c>
      <c r="G243" s="58" t="s">
        <v>437</v>
      </c>
      <c r="H243" s="58" t="s">
        <v>438</v>
      </c>
      <c r="I243" s="58" t="s">
        <v>439</v>
      </c>
      <c r="J243" s="34">
        <v>900</v>
      </c>
      <c r="K243" s="34">
        <v>900</v>
      </c>
      <c r="L243" s="34">
        <v>0</v>
      </c>
      <c r="M243" s="37">
        <v>30987</v>
      </c>
      <c r="N243" s="34">
        <v>0</v>
      </c>
      <c r="O243" s="40">
        <v>0</v>
      </c>
    </row>
    <row r="244" spans="1:15">
      <c r="B244" s="55">
        <v>232</v>
      </c>
      <c r="C244" s="58">
        <v>51</v>
      </c>
      <c r="D244" s="58"/>
      <c r="E244" s="58" t="s">
        <v>420</v>
      </c>
      <c r="F244" s="58" t="s">
        <v>421</v>
      </c>
      <c r="G244" s="58" t="s">
        <v>440</v>
      </c>
      <c r="H244" s="58" t="s">
        <v>362</v>
      </c>
      <c r="I244" s="58" t="s">
        <v>436</v>
      </c>
      <c r="J244" s="34">
        <v>210</v>
      </c>
      <c r="K244" s="34">
        <v>210</v>
      </c>
      <c r="L244" s="34">
        <v>0</v>
      </c>
      <c r="M244" s="37">
        <v>7140</v>
      </c>
      <c r="N244" s="34">
        <v>0</v>
      </c>
      <c r="O244" s="40">
        <v>0</v>
      </c>
    </row>
    <row r="245" spans="1:15">
      <c r="B245" s="55">
        <v>233</v>
      </c>
      <c r="C245" s="58">
        <v>51</v>
      </c>
      <c r="D245" s="58"/>
      <c r="E245" s="58" t="s">
        <v>441</v>
      </c>
      <c r="F245" s="58" t="s">
        <v>442</v>
      </c>
      <c r="G245" s="58" t="s">
        <v>443</v>
      </c>
      <c r="H245" s="58" t="s">
        <v>444</v>
      </c>
      <c r="I245" s="58" t="s">
        <v>445</v>
      </c>
      <c r="J245" s="34">
        <v>0</v>
      </c>
      <c r="K245" s="34">
        <v>0</v>
      </c>
      <c r="L245" s="34">
        <v>0</v>
      </c>
      <c r="M245" s="37">
        <v>0</v>
      </c>
      <c r="N245" s="34">
        <v>0</v>
      </c>
      <c r="O245" s="40">
        <v>0</v>
      </c>
    </row>
    <row r="246" spans="1:15">
      <c r="B246" s="55">
        <v>234</v>
      </c>
      <c r="C246" s="58">
        <v>51</v>
      </c>
      <c r="D246" s="58"/>
      <c r="E246" s="58" t="s">
        <v>441</v>
      </c>
      <c r="F246" s="58" t="s">
        <v>442</v>
      </c>
      <c r="G246" s="58" t="s">
        <v>446</v>
      </c>
      <c r="H246" s="58" t="s">
        <v>447</v>
      </c>
      <c r="I246" s="58" t="s">
        <v>225</v>
      </c>
      <c r="J246" s="34">
        <v>26000</v>
      </c>
      <c r="K246" s="34">
        <v>26000</v>
      </c>
      <c r="L246" s="34">
        <v>0</v>
      </c>
      <c r="M246" s="37">
        <v>221260</v>
      </c>
      <c r="N246" s="34">
        <v>2000</v>
      </c>
      <c r="O246" s="40">
        <v>17020</v>
      </c>
    </row>
    <row r="247" spans="1:15">
      <c r="B247" s="55">
        <v>235</v>
      </c>
      <c r="C247" s="58">
        <v>51</v>
      </c>
      <c r="D247" s="58"/>
      <c r="E247" s="58" t="s">
        <v>441</v>
      </c>
      <c r="F247" s="58" t="s">
        <v>442</v>
      </c>
      <c r="G247" s="58" t="s">
        <v>448</v>
      </c>
      <c r="H247" s="58" t="s">
        <v>426</v>
      </c>
      <c r="I247" s="58" t="s">
        <v>449</v>
      </c>
      <c r="J247" s="34">
        <v>600</v>
      </c>
      <c r="K247" s="34">
        <v>600</v>
      </c>
      <c r="L247" s="34">
        <v>0</v>
      </c>
      <c r="M247" s="37">
        <v>14862</v>
      </c>
      <c r="N247" s="34">
        <v>0</v>
      </c>
      <c r="O247" s="40">
        <v>0</v>
      </c>
    </row>
    <row r="248" spans="1:15">
      <c r="B248" s="55">
        <v>236</v>
      </c>
      <c r="C248" s="58">
        <v>51</v>
      </c>
      <c r="D248" s="58"/>
      <c r="E248" s="58" t="s">
        <v>441</v>
      </c>
      <c r="F248" s="58" t="s">
        <v>442</v>
      </c>
      <c r="G248" s="58" t="s">
        <v>450</v>
      </c>
      <c r="H248" s="58" t="s">
        <v>451</v>
      </c>
      <c r="I248" s="58" t="s">
        <v>452</v>
      </c>
      <c r="J248" s="34">
        <v>11720</v>
      </c>
      <c r="K248" s="34">
        <v>11720</v>
      </c>
      <c r="L248" s="34">
        <v>0</v>
      </c>
      <c r="M248" s="37">
        <v>192676.8</v>
      </c>
      <c r="N248" s="34">
        <v>600</v>
      </c>
      <c r="O248" s="40">
        <v>9864</v>
      </c>
    </row>
    <row r="249" spans="1:15">
      <c r="B249" s="55">
        <v>237</v>
      </c>
      <c r="C249" s="58">
        <v>51</v>
      </c>
      <c r="D249" s="58"/>
      <c r="E249" s="58" t="s">
        <v>441</v>
      </c>
      <c r="F249" s="58" t="s">
        <v>442</v>
      </c>
      <c r="G249" s="58" t="s">
        <v>453</v>
      </c>
      <c r="H249" s="58" t="s">
        <v>454</v>
      </c>
      <c r="I249" s="58" t="s">
        <v>455</v>
      </c>
      <c r="J249" s="34">
        <v>1840</v>
      </c>
      <c r="K249" s="34">
        <v>1840</v>
      </c>
      <c r="L249" s="34">
        <v>0</v>
      </c>
      <c r="M249" s="37">
        <v>72422.39999999999</v>
      </c>
      <c r="N249" s="34">
        <v>120</v>
      </c>
      <c r="O249" s="40">
        <v>4723.2</v>
      </c>
    </row>
    <row r="250" spans="1:15">
      <c r="B250" s="55">
        <v>238</v>
      </c>
      <c r="C250" s="58">
        <v>51</v>
      </c>
      <c r="D250" s="58"/>
      <c r="E250" s="58" t="s">
        <v>441</v>
      </c>
      <c r="F250" s="58" t="s">
        <v>442</v>
      </c>
      <c r="G250" s="58" t="s">
        <v>456</v>
      </c>
      <c r="H250" s="58" t="s">
        <v>457</v>
      </c>
      <c r="I250" s="58" t="s">
        <v>458</v>
      </c>
      <c r="J250" s="34">
        <v>1560</v>
      </c>
      <c r="K250" s="34">
        <v>1560</v>
      </c>
      <c r="L250" s="34">
        <v>0</v>
      </c>
      <c r="M250" s="37">
        <v>44366.4</v>
      </c>
      <c r="N250" s="34">
        <v>0</v>
      </c>
      <c r="O250" s="40">
        <v>0</v>
      </c>
    </row>
    <row r="251" spans="1:15">
      <c r="B251" s="55">
        <v>239</v>
      </c>
      <c r="C251" s="58">
        <v>51</v>
      </c>
      <c r="D251" s="58"/>
      <c r="E251" s="58" t="s">
        <v>441</v>
      </c>
      <c r="F251" s="58" t="s">
        <v>442</v>
      </c>
      <c r="G251" s="58" t="s">
        <v>459</v>
      </c>
      <c r="H251" s="58" t="s">
        <v>451</v>
      </c>
      <c r="I251" s="58" t="s">
        <v>460</v>
      </c>
      <c r="J251" s="34">
        <v>1600</v>
      </c>
      <c r="K251" s="34">
        <v>1600</v>
      </c>
      <c r="L251" s="34">
        <v>0</v>
      </c>
      <c r="M251" s="37">
        <v>33056</v>
      </c>
      <c r="N251" s="34">
        <v>300</v>
      </c>
      <c r="O251" s="40">
        <v>6198</v>
      </c>
    </row>
    <row r="252" spans="1:15">
      <c r="B252" s="55">
        <v>240</v>
      </c>
      <c r="C252" s="58">
        <v>51</v>
      </c>
      <c r="D252" s="58"/>
      <c r="E252" s="58" t="s">
        <v>441</v>
      </c>
      <c r="F252" s="58" t="s">
        <v>442</v>
      </c>
      <c r="G252" s="58" t="s">
        <v>461</v>
      </c>
      <c r="H252" s="58" t="s">
        <v>451</v>
      </c>
      <c r="I252" s="58" t="s">
        <v>351</v>
      </c>
      <c r="J252" s="34">
        <v>0</v>
      </c>
      <c r="K252" s="34">
        <v>0</v>
      </c>
      <c r="L252" s="34">
        <v>0</v>
      </c>
      <c r="M252" s="37">
        <v>0</v>
      </c>
      <c r="N252" s="34">
        <v>0</v>
      </c>
      <c r="O252" s="40">
        <v>0</v>
      </c>
    </row>
    <row r="253" spans="1:15">
      <c r="B253" s="55">
        <v>241</v>
      </c>
      <c r="C253" s="58">
        <v>51</v>
      </c>
      <c r="D253" s="58"/>
      <c r="E253" s="58" t="s">
        <v>441</v>
      </c>
      <c r="F253" s="58" t="s">
        <v>442</v>
      </c>
      <c r="G253" s="58" t="s">
        <v>462</v>
      </c>
      <c r="H253" s="58" t="s">
        <v>454</v>
      </c>
      <c r="I253" s="58" t="s">
        <v>455</v>
      </c>
      <c r="J253" s="34">
        <v>920</v>
      </c>
      <c r="K253" s="34">
        <v>920</v>
      </c>
      <c r="L253" s="34">
        <v>0</v>
      </c>
      <c r="M253" s="37">
        <v>33451.2</v>
      </c>
      <c r="N253" s="34">
        <v>120</v>
      </c>
      <c r="O253" s="40">
        <v>4363.2</v>
      </c>
    </row>
    <row r="254" spans="1:15">
      <c r="B254" s="55">
        <v>242</v>
      </c>
      <c r="C254" s="58">
        <v>51</v>
      </c>
      <c r="D254" s="58"/>
      <c r="E254" s="58" t="s">
        <v>441</v>
      </c>
      <c r="F254" s="58" t="s">
        <v>442</v>
      </c>
      <c r="G254" s="58" t="s">
        <v>463</v>
      </c>
      <c r="H254" s="58" t="s">
        <v>464</v>
      </c>
      <c r="I254" s="58" t="s">
        <v>290</v>
      </c>
      <c r="J254" s="34">
        <v>7360</v>
      </c>
      <c r="K254" s="34">
        <v>7360</v>
      </c>
      <c r="L254" s="34">
        <v>0</v>
      </c>
      <c r="M254" s="37">
        <v>135176</v>
      </c>
      <c r="N254" s="34">
        <v>800</v>
      </c>
      <c r="O254" s="40">
        <v>14680</v>
      </c>
    </row>
    <row r="255" spans="1:15">
      <c r="B255" s="55">
        <v>243</v>
      </c>
      <c r="C255" s="58">
        <v>51</v>
      </c>
      <c r="D255" s="58"/>
      <c r="E255" s="58" t="s">
        <v>441</v>
      </c>
      <c r="F255" s="58" t="s">
        <v>442</v>
      </c>
      <c r="G255" s="58" t="s">
        <v>465</v>
      </c>
      <c r="H255" s="58" t="s">
        <v>451</v>
      </c>
      <c r="I255" s="58" t="s">
        <v>351</v>
      </c>
      <c r="J255" s="34">
        <v>13560</v>
      </c>
      <c r="K255" s="34">
        <v>13560</v>
      </c>
      <c r="L255" s="34">
        <v>0</v>
      </c>
      <c r="M255" s="37">
        <v>177500.4</v>
      </c>
      <c r="N255" s="34">
        <v>3480</v>
      </c>
      <c r="O255" s="40">
        <v>45553.2</v>
      </c>
    </row>
    <row r="256" spans="1:15">
      <c r="B256" s="55">
        <v>244</v>
      </c>
      <c r="C256" s="58">
        <v>51</v>
      </c>
      <c r="D256" s="58"/>
      <c r="E256" s="58" t="s">
        <v>441</v>
      </c>
      <c r="F256" s="58" t="s">
        <v>442</v>
      </c>
      <c r="G256" s="58" t="s">
        <v>466</v>
      </c>
      <c r="H256" s="58" t="s">
        <v>451</v>
      </c>
      <c r="I256" s="58" t="s">
        <v>467</v>
      </c>
      <c r="J256" s="34">
        <v>0</v>
      </c>
      <c r="K256" s="34">
        <v>0</v>
      </c>
      <c r="L256" s="34">
        <v>0</v>
      </c>
      <c r="M256" s="37">
        <v>0</v>
      </c>
      <c r="N256" s="34">
        <v>0</v>
      </c>
      <c r="O256" s="40">
        <v>0</v>
      </c>
    </row>
    <row r="257" spans="1:15">
      <c r="B257" s="55">
        <v>245</v>
      </c>
      <c r="C257" s="58">
        <v>51</v>
      </c>
      <c r="D257" s="58"/>
      <c r="E257" s="58" t="s">
        <v>441</v>
      </c>
      <c r="F257" s="58" t="s">
        <v>442</v>
      </c>
      <c r="G257" s="58" t="s">
        <v>468</v>
      </c>
      <c r="H257" s="58" t="s">
        <v>426</v>
      </c>
      <c r="I257" s="58" t="s">
        <v>469</v>
      </c>
      <c r="J257" s="34">
        <v>540</v>
      </c>
      <c r="K257" s="34">
        <v>540</v>
      </c>
      <c r="L257" s="34">
        <v>0</v>
      </c>
      <c r="M257" s="37">
        <v>33706.8</v>
      </c>
      <c r="N257" s="34">
        <v>0</v>
      </c>
      <c r="O257" s="40">
        <v>0</v>
      </c>
    </row>
    <row r="258" spans="1:15">
      <c r="B258" s="55">
        <v>246</v>
      </c>
      <c r="C258" s="58">
        <v>51</v>
      </c>
      <c r="D258" s="58"/>
      <c r="E258" s="58" t="s">
        <v>441</v>
      </c>
      <c r="F258" s="58" t="s">
        <v>442</v>
      </c>
      <c r="G258" s="58" t="s">
        <v>470</v>
      </c>
      <c r="H258" s="58" t="s">
        <v>451</v>
      </c>
      <c r="I258" s="58" t="s">
        <v>471</v>
      </c>
      <c r="J258" s="34">
        <v>540</v>
      </c>
      <c r="K258" s="34">
        <v>540</v>
      </c>
      <c r="L258" s="34">
        <v>0</v>
      </c>
      <c r="M258" s="37">
        <v>18937.8</v>
      </c>
      <c r="N258" s="34">
        <v>0</v>
      </c>
      <c r="O258" s="40">
        <v>0</v>
      </c>
    </row>
    <row r="259" spans="1:15">
      <c r="B259" s="55">
        <v>247</v>
      </c>
      <c r="C259" s="58">
        <v>51</v>
      </c>
      <c r="D259" s="58"/>
      <c r="E259" s="58" t="s">
        <v>441</v>
      </c>
      <c r="F259" s="58" t="s">
        <v>442</v>
      </c>
      <c r="G259" s="58" t="s">
        <v>472</v>
      </c>
      <c r="H259" s="58" t="s">
        <v>451</v>
      </c>
      <c r="I259" s="58" t="s">
        <v>469</v>
      </c>
      <c r="J259" s="34">
        <v>0</v>
      </c>
      <c r="K259" s="34">
        <v>0</v>
      </c>
      <c r="L259" s="34">
        <v>0</v>
      </c>
      <c r="M259" s="37">
        <v>0</v>
      </c>
      <c r="N259" s="34">
        <v>0</v>
      </c>
      <c r="O259" s="40">
        <v>0</v>
      </c>
    </row>
    <row r="260" spans="1:15">
      <c r="B260" s="55">
        <v>248</v>
      </c>
      <c r="C260" s="58">
        <v>51</v>
      </c>
      <c r="D260" s="58"/>
      <c r="E260" s="58" t="s">
        <v>441</v>
      </c>
      <c r="F260" s="58" t="s">
        <v>442</v>
      </c>
      <c r="G260" s="58" t="s">
        <v>473</v>
      </c>
      <c r="H260" s="58" t="s">
        <v>447</v>
      </c>
      <c r="I260" s="58" t="s">
        <v>211</v>
      </c>
      <c r="J260" s="34">
        <v>3000</v>
      </c>
      <c r="K260" s="34">
        <v>3000</v>
      </c>
      <c r="L260" s="34">
        <v>0</v>
      </c>
      <c r="M260" s="37">
        <v>30546</v>
      </c>
      <c r="N260" s="34">
        <v>0</v>
      </c>
      <c r="O260" s="40">
        <v>0</v>
      </c>
    </row>
    <row r="261" spans="1:15">
      <c r="B261" s="55">
        <v>249</v>
      </c>
      <c r="C261" s="58">
        <v>51</v>
      </c>
      <c r="D261" s="58"/>
      <c r="E261" s="58" t="s">
        <v>441</v>
      </c>
      <c r="F261" s="58" t="s">
        <v>442</v>
      </c>
      <c r="G261" s="58" t="s">
        <v>474</v>
      </c>
      <c r="H261" s="58" t="s">
        <v>475</v>
      </c>
      <c r="I261" s="58" t="s">
        <v>55</v>
      </c>
      <c r="J261" s="34">
        <v>17450</v>
      </c>
      <c r="K261" s="34">
        <v>17450</v>
      </c>
      <c r="L261" s="34">
        <v>0</v>
      </c>
      <c r="M261" s="37">
        <v>662227.5</v>
      </c>
      <c r="N261" s="34">
        <v>1000</v>
      </c>
      <c r="O261" s="40">
        <v>0</v>
      </c>
    </row>
    <row r="262" spans="1:15">
      <c r="B262" s="55">
        <v>250</v>
      </c>
      <c r="C262" s="58">
        <v>51</v>
      </c>
      <c r="D262" s="58"/>
      <c r="E262" s="58" t="s">
        <v>441</v>
      </c>
      <c r="F262" s="58" t="s">
        <v>442</v>
      </c>
      <c r="G262" s="58" t="s">
        <v>476</v>
      </c>
      <c r="H262" s="58" t="s">
        <v>362</v>
      </c>
      <c r="I262" s="58" t="s">
        <v>280</v>
      </c>
      <c r="J262" s="34">
        <v>27360</v>
      </c>
      <c r="K262" s="34">
        <v>27360</v>
      </c>
      <c r="L262" s="34">
        <v>0</v>
      </c>
      <c r="M262" s="37">
        <v>594532.8</v>
      </c>
      <c r="N262" s="34">
        <v>2800</v>
      </c>
      <c r="O262" s="40">
        <v>0</v>
      </c>
    </row>
    <row r="263" spans="1:15">
      <c r="B263" s="55">
        <v>251</v>
      </c>
      <c r="C263" s="58">
        <v>51</v>
      </c>
      <c r="D263" s="58"/>
      <c r="E263" s="58" t="s">
        <v>441</v>
      </c>
      <c r="F263" s="58" t="s">
        <v>442</v>
      </c>
      <c r="G263" s="58" t="s">
        <v>477</v>
      </c>
      <c r="H263" s="58" t="s">
        <v>478</v>
      </c>
      <c r="I263" s="58" t="s">
        <v>479</v>
      </c>
      <c r="J263" s="34">
        <v>1200</v>
      </c>
      <c r="K263" s="34">
        <v>1200</v>
      </c>
      <c r="L263" s="34">
        <v>0</v>
      </c>
      <c r="M263" s="37">
        <v>15144</v>
      </c>
      <c r="N263" s="34">
        <v>0</v>
      </c>
      <c r="O263" s="40">
        <v>0</v>
      </c>
    </row>
    <row r="264" spans="1:15">
      <c r="B264" s="55">
        <v>252</v>
      </c>
      <c r="C264" s="58">
        <v>51</v>
      </c>
      <c r="D264" s="58"/>
      <c r="E264" s="58" t="s">
        <v>441</v>
      </c>
      <c r="F264" s="58" t="s">
        <v>442</v>
      </c>
      <c r="G264" s="58" t="s">
        <v>480</v>
      </c>
      <c r="H264" s="58" t="s">
        <v>481</v>
      </c>
      <c r="I264" s="58" t="s">
        <v>445</v>
      </c>
      <c r="J264" s="34">
        <v>0</v>
      </c>
      <c r="K264" s="34">
        <v>0</v>
      </c>
      <c r="L264" s="34">
        <v>0</v>
      </c>
      <c r="M264" s="37">
        <v>0</v>
      </c>
      <c r="N264" s="34">
        <v>0</v>
      </c>
      <c r="O264" s="40">
        <v>0</v>
      </c>
    </row>
    <row r="265" spans="1:15">
      <c r="B265" s="55">
        <v>253</v>
      </c>
      <c r="C265" s="58">
        <v>51</v>
      </c>
      <c r="D265" s="58"/>
      <c r="E265" s="58" t="s">
        <v>441</v>
      </c>
      <c r="F265" s="58" t="s">
        <v>442</v>
      </c>
      <c r="G265" s="58" t="s">
        <v>482</v>
      </c>
      <c r="H265" s="58" t="s">
        <v>475</v>
      </c>
      <c r="I265" s="58" t="s">
        <v>293</v>
      </c>
      <c r="J265" s="34">
        <v>22624</v>
      </c>
      <c r="K265" s="34">
        <v>22624</v>
      </c>
      <c r="L265" s="34">
        <v>0</v>
      </c>
      <c r="M265" s="37">
        <v>907448.64</v>
      </c>
      <c r="N265" s="34">
        <v>4396</v>
      </c>
      <c r="O265" s="40">
        <v>117923.4</v>
      </c>
    </row>
    <row r="266" spans="1:15">
      <c r="B266" s="55">
        <v>254</v>
      </c>
      <c r="C266" s="58">
        <v>51</v>
      </c>
      <c r="D266" s="58"/>
      <c r="E266" s="58" t="s">
        <v>441</v>
      </c>
      <c r="F266" s="58" t="s">
        <v>442</v>
      </c>
      <c r="G266" s="58" t="s">
        <v>483</v>
      </c>
      <c r="H266" s="58" t="s">
        <v>426</v>
      </c>
      <c r="I266" s="58" t="s">
        <v>484</v>
      </c>
      <c r="J266" s="34">
        <v>1575</v>
      </c>
      <c r="K266" s="34">
        <v>1575</v>
      </c>
      <c r="L266" s="34">
        <v>0</v>
      </c>
      <c r="M266" s="37">
        <v>67662</v>
      </c>
      <c r="N266" s="34">
        <v>225</v>
      </c>
      <c r="O266" s="40">
        <v>9666</v>
      </c>
    </row>
    <row r="267" spans="1:15">
      <c r="B267" s="55">
        <v>255</v>
      </c>
      <c r="C267" s="58">
        <v>51</v>
      </c>
      <c r="D267" s="58"/>
      <c r="E267" s="58" t="s">
        <v>441</v>
      </c>
      <c r="F267" s="58" t="s">
        <v>442</v>
      </c>
      <c r="G267" s="58" t="s">
        <v>485</v>
      </c>
      <c r="H267" s="58" t="s">
        <v>426</v>
      </c>
      <c r="I267" s="58" t="s">
        <v>486</v>
      </c>
      <c r="J267" s="34">
        <v>0</v>
      </c>
      <c r="K267" s="34">
        <v>0</v>
      </c>
      <c r="L267" s="34">
        <v>0</v>
      </c>
      <c r="M267" s="37">
        <v>0</v>
      </c>
      <c r="N267" s="34">
        <v>0</v>
      </c>
      <c r="O267" s="40">
        <v>0</v>
      </c>
    </row>
    <row r="268" spans="1:15">
      <c r="B268" s="55">
        <v>256</v>
      </c>
      <c r="C268" s="58">
        <v>51</v>
      </c>
      <c r="D268" s="58"/>
      <c r="E268" s="58" t="s">
        <v>441</v>
      </c>
      <c r="F268" s="58" t="s">
        <v>442</v>
      </c>
      <c r="G268" s="58" t="s">
        <v>487</v>
      </c>
      <c r="H268" s="58" t="s">
        <v>475</v>
      </c>
      <c r="I268" s="58" t="s">
        <v>225</v>
      </c>
      <c r="J268" s="34">
        <v>100</v>
      </c>
      <c r="K268" s="34">
        <v>100</v>
      </c>
      <c r="L268" s="34">
        <v>0</v>
      </c>
      <c r="M268" s="37">
        <v>2983</v>
      </c>
      <c r="N268" s="34">
        <v>0</v>
      </c>
      <c r="O268" s="40">
        <v>0</v>
      </c>
    </row>
    <row r="269" spans="1:15">
      <c r="B269" s="55">
        <v>257</v>
      </c>
      <c r="C269" s="58">
        <v>51</v>
      </c>
      <c r="D269" s="58"/>
      <c r="E269" s="58" t="s">
        <v>441</v>
      </c>
      <c r="F269" s="58" t="s">
        <v>442</v>
      </c>
      <c r="G269" s="58" t="s">
        <v>488</v>
      </c>
      <c r="H269" s="58" t="s">
        <v>489</v>
      </c>
      <c r="I269" s="58" t="s">
        <v>318</v>
      </c>
      <c r="J269" s="34">
        <v>3500</v>
      </c>
      <c r="K269" s="34">
        <v>3500</v>
      </c>
      <c r="L269" s="34">
        <v>0</v>
      </c>
      <c r="M269" s="37">
        <v>91105</v>
      </c>
      <c r="N269" s="34">
        <v>600</v>
      </c>
      <c r="O269" s="40">
        <v>15618</v>
      </c>
    </row>
    <row r="270" spans="1:15">
      <c r="B270" s="55">
        <v>258</v>
      </c>
      <c r="C270" s="58">
        <v>51</v>
      </c>
      <c r="D270" s="58"/>
      <c r="E270" s="58" t="s">
        <v>441</v>
      </c>
      <c r="F270" s="58" t="s">
        <v>442</v>
      </c>
      <c r="G270" s="58" t="s">
        <v>490</v>
      </c>
      <c r="H270" s="58" t="s">
        <v>451</v>
      </c>
      <c r="I270" s="58" t="s">
        <v>491</v>
      </c>
      <c r="J270" s="34">
        <v>0</v>
      </c>
      <c r="K270" s="34">
        <v>0</v>
      </c>
      <c r="L270" s="34">
        <v>0</v>
      </c>
      <c r="M270" s="37">
        <v>0</v>
      </c>
      <c r="N270" s="34">
        <v>0</v>
      </c>
      <c r="O270" s="40">
        <v>0</v>
      </c>
    </row>
    <row r="271" spans="1:15">
      <c r="B271" s="55">
        <v>259</v>
      </c>
      <c r="C271" s="58">
        <v>51</v>
      </c>
      <c r="D271" s="58"/>
      <c r="E271" s="58" t="s">
        <v>441</v>
      </c>
      <c r="F271" s="58" t="s">
        <v>442</v>
      </c>
      <c r="G271" s="58" t="s">
        <v>492</v>
      </c>
      <c r="H271" s="58" t="s">
        <v>451</v>
      </c>
      <c r="I271" s="58" t="s">
        <v>225</v>
      </c>
      <c r="J271" s="34">
        <v>80</v>
      </c>
      <c r="K271" s="34">
        <v>80</v>
      </c>
      <c r="L271" s="34">
        <v>0</v>
      </c>
      <c r="M271" s="37">
        <v>1640</v>
      </c>
      <c r="N271" s="34">
        <v>0</v>
      </c>
      <c r="O271" s="40">
        <v>0</v>
      </c>
    </row>
    <row r="272" spans="1:15">
      <c r="B272" s="55">
        <v>260</v>
      </c>
      <c r="C272" s="58">
        <v>51</v>
      </c>
      <c r="D272" s="58"/>
      <c r="E272" s="58" t="s">
        <v>441</v>
      </c>
      <c r="F272" s="58" t="s">
        <v>442</v>
      </c>
      <c r="G272" s="58" t="s">
        <v>493</v>
      </c>
      <c r="H272" s="58" t="s">
        <v>451</v>
      </c>
      <c r="I272" s="58" t="s">
        <v>471</v>
      </c>
      <c r="J272" s="34">
        <v>0</v>
      </c>
      <c r="K272" s="34">
        <v>0</v>
      </c>
      <c r="L272" s="34">
        <v>0</v>
      </c>
      <c r="M272" s="37">
        <v>0</v>
      </c>
      <c r="N272" s="34">
        <v>0</v>
      </c>
      <c r="O272" s="40">
        <v>0</v>
      </c>
    </row>
    <row r="273" spans="1:15">
      <c r="B273" s="55">
        <v>261</v>
      </c>
      <c r="C273" s="58">
        <v>51</v>
      </c>
      <c r="D273" s="58"/>
      <c r="E273" s="58" t="s">
        <v>441</v>
      </c>
      <c r="F273" s="58" t="s">
        <v>442</v>
      </c>
      <c r="G273" s="58" t="s">
        <v>494</v>
      </c>
      <c r="H273" s="58" t="s">
        <v>475</v>
      </c>
      <c r="I273" s="58" t="s">
        <v>228</v>
      </c>
      <c r="J273" s="34">
        <v>352</v>
      </c>
      <c r="K273" s="34">
        <v>352</v>
      </c>
      <c r="L273" s="34">
        <v>0</v>
      </c>
      <c r="M273" s="37">
        <v>26143.04</v>
      </c>
      <c r="N273" s="34">
        <v>0</v>
      </c>
      <c r="O273" s="40">
        <v>0</v>
      </c>
    </row>
    <row r="274" spans="1:15">
      <c r="B274" s="55">
        <v>262</v>
      </c>
      <c r="C274" s="58">
        <v>51</v>
      </c>
      <c r="D274" s="58"/>
      <c r="E274" s="58" t="s">
        <v>441</v>
      </c>
      <c r="F274" s="58" t="s">
        <v>442</v>
      </c>
      <c r="G274" s="58" t="s">
        <v>495</v>
      </c>
      <c r="H274" s="58" t="s">
        <v>451</v>
      </c>
      <c r="I274" s="58" t="s">
        <v>496</v>
      </c>
      <c r="J274" s="34">
        <v>0</v>
      </c>
      <c r="K274" s="34">
        <v>0</v>
      </c>
      <c r="L274" s="34">
        <v>0</v>
      </c>
      <c r="M274" s="37">
        <v>0</v>
      </c>
      <c r="N274" s="34">
        <v>0</v>
      </c>
      <c r="O274" s="40">
        <v>0</v>
      </c>
    </row>
    <row r="275" spans="1:15">
      <c r="B275" s="55">
        <v>263</v>
      </c>
      <c r="C275" s="58">
        <v>51</v>
      </c>
      <c r="D275" s="58"/>
      <c r="E275" s="58" t="s">
        <v>497</v>
      </c>
      <c r="F275" s="58" t="s">
        <v>498</v>
      </c>
      <c r="G275" s="58" t="s">
        <v>499</v>
      </c>
      <c r="H275" s="58" t="s">
        <v>500</v>
      </c>
      <c r="I275" s="58" t="s">
        <v>455</v>
      </c>
      <c r="J275" s="34">
        <v>560</v>
      </c>
      <c r="K275" s="34">
        <v>560</v>
      </c>
      <c r="L275" s="34">
        <v>0</v>
      </c>
      <c r="M275" s="37">
        <v>34529.6</v>
      </c>
      <c r="N275" s="34">
        <v>280</v>
      </c>
      <c r="O275" s="40">
        <v>17264.8</v>
      </c>
    </row>
    <row r="276" spans="1:15">
      <c r="B276" s="55">
        <v>264</v>
      </c>
      <c r="C276" s="58">
        <v>51</v>
      </c>
      <c r="D276" s="58"/>
      <c r="E276" s="58" t="s">
        <v>497</v>
      </c>
      <c r="F276" s="58" t="s">
        <v>498</v>
      </c>
      <c r="G276" s="58" t="s">
        <v>501</v>
      </c>
      <c r="H276" s="58" t="s">
        <v>502</v>
      </c>
      <c r="I276" s="58" t="s">
        <v>277</v>
      </c>
      <c r="J276" s="34">
        <v>27000</v>
      </c>
      <c r="K276" s="34">
        <v>27000</v>
      </c>
      <c r="L276" s="34">
        <v>0</v>
      </c>
      <c r="M276" s="37">
        <v>34020</v>
      </c>
      <c r="N276" s="34">
        <v>6000</v>
      </c>
      <c r="O276" s="40">
        <v>7560</v>
      </c>
    </row>
    <row r="277" spans="1:15">
      <c r="B277" s="55">
        <v>265</v>
      </c>
      <c r="C277" s="58">
        <v>51</v>
      </c>
      <c r="D277" s="58"/>
      <c r="E277" s="58" t="s">
        <v>497</v>
      </c>
      <c r="F277" s="58" t="s">
        <v>498</v>
      </c>
      <c r="G277" s="58" t="s">
        <v>503</v>
      </c>
      <c r="H277" s="58" t="s">
        <v>504</v>
      </c>
      <c r="I277" s="58" t="s">
        <v>285</v>
      </c>
      <c r="J277" s="34">
        <v>27000</v>
      </c>
      <c r="K277" s="34">
        <v>27000</v>
      </c>
      <c r="L277" s="34">
        <v>0</v>
      </c>
      <c r="M277" s="37">
        <v>172800</v>
      </c>
      <c r="N277" s="34">
        <v>6000</v>
      </c>
      <c r="O277" s="40">
        <v>8580</v>
      </c>
    </row>
    <row r="278" spans="1:15">
      <c r="B278" s="55">
        <v>266</v>
      </c>
      <c r="C278" s="58">
        <v>51</v>
      </c>
      <c r="D278" s="58"/>
      <c r="E278" s="58" t="s">
        <v>497</v>
      </c>
      <c r="F278" s="58" t="s">
        <v>498</v>
      </c>
      <c r="G278" s="58" t="s">
        <v>505</v>
      </c>
      <c r="H278" s="58" t="s">
        <v>506</v>
      </c>
      <c r="I278" s="58" t="s">
        <v>285</v>
      </c>
      <c r="J278" s="34">
        <v>14700</v>
      </c>
      <c r="K278" s="34">
        <v>14700</v>
      </c>
      <c r="L278" s="34">
        <v>0</v>
      </c>
      <c r="M278" s="37">
        <v>232260</v>
      </c>
      <c r="N278" s="34">
        <v>1960</v>
      </c>
      <c r="O278" s="40">
        <v>30968</v>
      </c>
    </row>
    <row r="279" spans="1:15">
      <c r="B279" s="55">
        <v>267</v>
      </c>
      <c r="C279" s="58">
        <v>51</v>
      </c>
      <c r="D279" s="58"/>
      <c r="E279" s="58" t="s">
        <v>497</v>
      </c>
      <c r="F279" s="58" t="s">
        <v>498</v>
      </c>
      <c r="G279" s="58" t="s">
        <v>507</v>
      </c>
      <c r="H279" s="58" t="s">
        <v>508</v>
      </c>
      <c r="I279" s="58" t="s">
        <v>323</v>
      </c>
      <c r="J279" s="34">
        <v>0</v>
      </c>
      <c r="K279" s="34">
        <v>0</v>
      </c>
      <c r="L279" s="34">
        <v>0</v>
      </c>
      <c r="M279" s="37">
        <v>0</v>
      </c>
      <c r="N279" s="34">
        <v>500</v>
      </c>
      <c r="O279" s="40">
        <v>3400</v>
      </c>
    </row>
    <row r="280" spans="1:15">
      <c r="B280" s="55">
        <v>268</v>
      </c>
      <c r="C280" s="58">
        <v>51</v>
      </c>
      <c r="D280" s="58"/>
      <c r="E280" s="58" t="s">
        <v>497</v>
      </c>
      <c r="F280" s="58" t="s">
        <v>498</v>
      </c>
      <c r="G280" s="58" t="s">
        <v>509</v>
      </c>
      <c r="H280" s="58" t="s">
        <v>510</v>
      </c>
      <c r="I280" s="58" t="s">
        <v>455</v>
      </c>
      <c r="J280" s="34">
        <v>560</v>
      </c>
      <c r="K280" s="34">
        <v>560</v>
      </c>
      <c r="L280" s="34">
        <v>0</v>
      </c>
      <c r="M280" s="37">
        <v>31550.4</v>
      </c>
      <c r="N280" s="34">
        <v>280</v>
      </c>
      <c r="O280" s="40">
        <v>15775.2</v>
      </c>
    </row>
    <row r="281" spans="1:15">
      <c r="B281" s="55">
        <v>269</v>
      </c>
      <c r="C281" s="58">
        <v>51</v>
      </c>
      <c r="D281" s="58"/>
      <c r="E281" s="58" t="s">
        <v>497</v>
      </c>
      <c r="F281" s="58" t="s">
        <v>498</v>
      </c>
      <c r="G281" s="58" t="s">
        <v>511</v>
      </c>
      <c r="H281" s="58" t="s">
        <v>512</v>
      </c>
      <c r="I281" s="58" t="s">
        <v>164</v>
      </c>
      <c r="J281" s="34">
        <v>26000</v>
      </c>
      <c r="K281" s="34">
        <v>26000</v>
      </c>
      <c r="L281" s="34">
        <v>0</v>
      </c>
      <c r="M281" s="37">
        <v>58500</v>
      </c>
      <c r="N281" s="34">
        <v>4000</v>
      </c>
      <c r="O281" s="40">
        <v>9000</v>
      </c>
    </row>
    <row r="282" spans="1:15">
      <c r="B282" s="55">
        <v>270</v>
      </c>
      <c r="C282" s="58">
        <v>51</v>
      </c>
      <c r="D282" s="58"/>
      <c r="E282" s="58" t="s">
        <v>497</v>
      </c>
      <c r="F282" s="58" t="s">
        <v>498</v>
      </c>
      <c r="G282" s="58" t="s">
        <v>513</v>
      </c>
      <c r="H282" s="58" t="s">
        <v>514</v>
      </c>
      <c r="I282" s="58" t="s">
        <v>240</v>
      </c>
      <c r="J282" s="34">
        <v>11200</v>
      </c>
      <c r="K282" s="34">
        <v>11200</v>
      </c>
      <c r="L282" s="34">
        <v>0</v>
      </c>
      <c r="M282" s="37">
        <v>170352</v>
      </c>
      <c r="N282" s="34">
        <v>3500</v>
      </c>
      <c r="O282" s="40">
        <v>53235</v>
      </c>
    </row>
    <row r="283" spans="1:15">
      <c r="B283" s="55">
        <v>271</v>
      </c>
      <c r="C283" s="58">
        <v>51</v>
      </c>
      <c r="D283" s="58"/>
      <c r="E283" s="58" t="s">
        <v>497</v>
      </c>
      <c r="F283" s="58" t="s">
        <v>498</v>
      </c>
      <c r="G283" s="58" t="s">
        <v>515</v>
      </c>
      <c r="H283" s="58" t="s">
        <v>516</v>
      </c>
      <c r="I283" s="58" t="s">
        <v>517</v>
      </c>
      <c r="J283" s="34">
        <v>42000</v>
      </c>
      <c r="K283" s="34">
        <v>42000</v>
      </c>
      <c r="L283" s="34">
        <v>0</v>
      </c>
      <c r="M283" s="37">
        <v>525420</v>
      </c>
      <c r="N283" s="34">
        <v>6160</v>
      </c>
      <c r="O283" s="40">
        <v>77061.60000000001</v>
      </c>
    </row>
    <row r="284" spans="1:15">
      <c r="B284" s="55">
        <v>272</v>
      </c>
      <c r="C284" s="58">
        <v>51</v>
      </c>
      <c r="D284" s="58"/>
      <c r="E284" s="58" t="s">
        <v>497</v>
      </c>
      <c r="F284" s="58" t="s">
        <v>498</v>
      </c>
      <c r="G284" s="58" t="s">
        <v>518</v>
      </c>
      <c r="H284" s="58" t="s">
        <v>519</v>
      </c>
      <c r="I284" s="58" t="s">
        <v>237</v>
      </c>
      <c r="J284" s="34">
        <v>0</v>
      </c>
      <c r="K284" s="34">
        <v>0</v>
      </c>
      <c r="L284" s="34">
        <v>0</v>
      </c>
      <c r="M284" s="37">
        <v>0</v>
      </c>
      <c r="N284" s="34">
        <v>0</v>
      </c>
      <c r="O284" s="40">
        <v>0</v>
      </c>
    </row>
    <row r="285" spans="1:15">
      <c r="B285" s="55">
        <v>273</v>
      </c>
      <c r="C285" s="58">
        <v>51</v>
      </c>
      <c r="D285" s="58"/>
      <c r="E285" s="58" t="s">
        <v>520</v>
      </c>
      <c r="F285" s="58" t="s">
        <v>521</v>
      </c>
      <c r="G285" s="58" t="s">
        <v>522</v>
      </c>
      <c r="H285" s="58" t="s">
        <v>523</v>
      </c>
      <c r="I285" s="58" t="s">
        <v>258</v>
      </c>
      <c r="J285" s="34">
        <v>500</v>
      </c>
      <c r="K285" s="34">
        <v>500</v>
      </c>
      <c r="L285" s="34">
        <v>0</v>
      </c>
      <c r="M285" s="37">
        <v>8555</v>
      </c>
      <c r="N285" s="34">
        <v>0</v>
      </c>
      <c r="O285" s="40">
        <v>0</v>
      </c>
    </row>
    <row r="286" spans="1:15">
      <c r="B286" s="55">
        <v>274</v>
      </c>
      <c r="C286" s="58">
        <v>51</v>
      </c>
      <c r="D286" s="58"/>
      <c r="E286" s="58" t="s">
        <v>520</v>
      </c>
      <c r="F286" s="58" t="s">
        <v>521</v>
      </c>
      <c r="G286" s="58" t="s">
        <v>524</v>
      </c>
      <c r="H286" s="58" t="s">
        <v>525</v>
      </c>
      <c r="I286" s="58" t="s">
        <v>258</v>
      </c>
      <c r="J286" s="34">
        <v>500</v>
      </c>
      <c r="K286" s="34">
        <v>500</v>
      </c>
      <c r="L286" s="34">
        <v>0</v>
      </c>
      <c r="M286" s="37">
        <v>6070</v>
      </c>
      <c r="N286" s="34">
        <v>0</v>
      </c>
      <c r="O286" s="40">
        <v>0</v>
      </c>
    </row>
    <row r="287" spans="1:15">
      <c r="B287" s="55">
        <v>275</v>
      </c>
      <c r="C287" s="58">
        <v>51</v>
      </c>
      <c r="D287" s="58"/>
      <c r="E287" s="58" t="s">
        <v>520</v>
      </c>
      <c r="F287" s="58" t="s">
        <v>521</v>
      </c>
      <c r="G287" s="58" t="s">
        <v>526</v>
      </c>
      <c r="H287" s="58" t="s">
        <v>527</v>
      </c>
      <c r="I287" s="58" t="s">
        <v>528</v>
      </c>
      <c r="J287" s="34">
        <v>0</v>
      </c>
      <c r="K287" s="34">
        <v>0</v>
      </c>
      <c r="L287" s="34">
        <v>0</v>
      </c>
      <c r="M287" s="37">
        <v>0</v>
      </c>
      <c r="N287" s="34">
        <v>0</v>
      </c>
      <c r="O287" s="40">
        <v>0</v>
      </c>
    </row>
    <row r="288" spans="1:15">
      <c r="B288" s="55">
        <v>276</v>
      </c>
      <c r="C288" s="58">
        <v>51</v>
      </c>
      <c r="D288" s="58"/>
      <c r="E288" s="58" t="s">
        <v>520</v>
      </c>
      <c r="F288" s="58" t="s">
        <v>521</v>
      </c>
      <c r="G288" s="58" t="s">
        <v>529</v>
      </c>
      <c r="H288" s="58" t="s">
        <v>289</v>
      </c>
      <c r="I288" s="58" t="s">
        <v>88</v>
      </c>
      <c r="J288" s="34">
        <v>20000</v>
      </c>
      <c r="K288" s="34">
        <v>20000</v>
      </c>
      <c r="L288" s="34">
        <v>0</v>
      </c>
      <c r="M288" s="37">
        <v>208200</v>
      </c>
      <c r="N288" s="34">
        <v>1000</v>
      </c>
      <c r="O288" s="40">
        <v>10410</v>
      </c>
    </row>
    <row r="289" spans="1:15">
      <c r="B289" s="55">
        <v>277</v>
      </c>
      <c r="C289" s="58">
        <v>51</v>
      </c>
      <c r="D289" s="58"/>
      <c r="E289" s="58" t="s">
        <v>520</v>
      </c>
      <c r="F289" s="58" t="s">
        <v>521</v>
      </c>
      <c r="G289" s="58" t="s">
        <v>530</v>
      </c>
      <c r="H289" s="58" t="s">
        <v>289</v>
      </c>
      <c r="I289" s="58" t="s">
        <v>258</v>
      </c>
      <c r="J289" s="34">
        <v>0</v>
      </c>
      <c r="K289" s="34">
        <v>0</v>
      </c>
      <c r="L289" s="34">
        <v>0</v>
      </c>
      <c r="M289" s="37">
        <v>0</v>
      </c>
      <c r="N289" s="34">
        <v>500</v>
      </c>
      <c r="O289" s="40">
        <v>1520</v>
      </c>
    </row>
    <row r="290" spans="1:15">
      <c r="B290" s="55">
        <v>278</v>
      </c>
      <c r="C290" s="58">
        <v>51</v>
      </c>
      <c r="D290" s="58"/>
      <c r="E290" s="58" t="s">
        <v>531</v>
      </c>
      <c r="F290" s="58" t="s">
        <v>532</v>
      </c>
      <c r="G290" s="58" t="s">
        <v>533</v>
      </c>
      <c r="H290" s="58" t="s">
        <v>87</v>
      </c>
      <c r="I290" s="58" t="s">
        <v>534</v>
      </c>
      <c r="J290" s="34">
        <v>0</v>
      </c>
      <c r="K290" s="34">
        <v>0</v>
      </c>
      <c r="L290" s="34">
        <v>0</v>
      </c>
      <c r="M290" s="37">
        <v>0</v>
      </c>
      <c r="N290" s="34">
        <v>0</v>
      </c>
      <c r="O290" s="40">
        <v>0</v>
      </c>
    </row>
    <row r="291" spans="1:15">
      <c r="B291" s="55">
        <v>279</v>
      </c>
      <c r="C291" s="58">
        <v>51</v>
      </c>
      <c r="D291" s="58"/>
      <c r="E291" s="58" t="s">
        <v>531</v>
      </c>
      <c r="F291" s="58" t="s">
        <v>532</v>
      </c>
      <c r="G291" s="58" t="s">
        <v>535</v>
      </c>
      <c r="H291" s="58" t="s">
        <v>536</v>
      </c>
      <c r="I291" s="58" t="s">
        <v>301</v>
      </c>
      <c r="J291" s="34">
        <v>0</v>
      </c>
      <c r="K291" s="34">
        <v>0</v>
      </c>
      <c r="L291" s="34">
        <v>0</v>
      </c>
      <c r="M291" s="37">
        <v>0</v>
      </c>
      <c r="N291" s="34">
        <v>0</v>
      </c>
      <c r="O291" s="40">
        <v>0</v>
      </c>
    </row>
    <row r="292" spans="1:15">
      <c r="B292" s="55">
        <v>280</v>
      </c>
      <c r="C292" s="58">
        <v>51</v>
      </c>
      <c r="D292" s="58"/>
      <c r="E292" s="58" t="s">
        <v>537</v>
      </c>
      <c r="F292" s="58" t="s">
        <v>538</v>
      </c>
      <c r="G292" s="58" t="s">
        <v>539</v>
      </c>
      <c r="H292" s="58" t="s">
        <v>540</v>
      </c>
      <c r="I292" s="58" t="s">
        <v>225</v>
      </c>
      <c r="J292" s="34">
        <v>0</v>
      </c>
      <c r="K292" s="34">
        <v>0</v>
      </c>
      <c r="L292" s="34">
        <v>0</v>
      </c>
      <c r="M292" s="37">
        <v>0</v>
      </c>
      <c r="N292" s="34">
        <v>500</v>
      </c>
      <c r="O292" s="40">
        <v>650</v>
      </c>
    </row>
    <row r="293" spans="1:15">
      <c r="B293" s="55">
        <v>281</v>
      </c>
      <c r="C293" s="58">
        <v>51</v>
      </c>
      <c r="D293" s="58"/>
      <c r="E293" s="58" t="s">
        <v>541</v>
      </c>
      <c r="F293" s="58" t="s">
        <v>542</v>
      </c>
      <c r="G293" s="58" t="s">
        <v>543</v>
      </c>
      <c r="H293" s="58" t="s">
        <v>544</v>
      </c>
      <c r="I293" s="58" t="s">
        <v>545</v>
      </c>
      <c r="J293" s="34">
        <v>456</v>
      </c>
      <c r="K293" s="34">
        <v>456</v>
      </c>
      <c r="L293" s="34">
        <v>0</v>
      </c>
      <c r="M293" s="37">
        <v>1172444.4</v>
      </c>
      <c r="N293" s="34">
        <v>60</v>
      </c>
      <c r="O293" s="40">
        <v>154269</v>
      </c>
    </row>
    <row r="294" spans="1:15">
      <c r="B294" s="55">
        <v>282</v>
      </c>
      <c r="C294" s="58">
        <v>51</v>
      </c>
      <c r="D294" s="58"/>
      <c r="E294" s="58" t="s">
        <v>541</v>
      </c>
      <c r="F294" s="58" t="s">
        <v>542</v>
      </c>
      <c r="G294" s="58" t="s">
        <v>546</v>
      </c>
      <c r="H294" s="58" t="s">
        <v>544</v>
      </c>
      <c r="I294" s="58" t="s">
        <v>545</v>
      </c>
      <c r="J294" s="34">
        <v>18</v>
      </c>
      <c r="K294" s="34">
        <v>18</v>
      </c>
      <c r="L294" s="34">
        <v>0</v>
      </c>
      <c r="M294" s="37">
        <v>65821.67999999999</v>
      </c>
      <c r="N294" s="34">
        <v>18</v>
      </c>
      <c r="O294" s="40">
        <v>65821.67999999999</v>
      </c>
    </row>
    <row r="295" spans="1:15">
      <c r="B295" s="55">
        <v>283</v>
      </c>
      <c r="C295" s="58">
        <v>51</v>
      </c>
      <c r="D295" s="58"/>
      <c r="E295" s="58" t="s">
        <v>541</v>
      </c>
      <c r="F295" s="58" t="s">
        <v>542</v>
      </c>
      <c r="G295" s="58" t="s">
        <v>547</v>
      </c>
      <c r="H295" s="58" t="s">
        <v>544</v>
      </c>
      <c r="I295" s="58" t="s">
        <v>548</v>
      </c>
      <c r="J295" s="34">
        <v>24</v>
      </c>
      <c r="K295" s="34">
        <v>24</v>
      </c>
      <c r="L295" s="34">
        <v>0</v>
      </c>
      <c r="M295" s="37">
        <v>30438.24</v>
      </c>
      <c r="N295" s="34">
        <v>0</v>
      </c>
      <c r="O295" s="40">
        <v>0</v>
      </c>
    </row>
    <row r="296" spans="1:15">
      <c r="B296" s="55">
        <v>284</v>
      </c>
      <c r="C296" s="58">
        <v>51</v>
      </c>
      <c r="D296" s="58"/>
      <c r="E296" s="58" t="s">
        <v>541</v>
      </c>
      <c r="F296" s="58" t="s">
        <v>542</v>
      </c>
      <c r="G296" s="58" t="s">
        <v>549</v>
      </c>
      <c r="H296" s="58" t="s">
        <v>544</v>
      </c>
      <c r="I296" s="58" t="s">
        <v>548</v>
      </c>
      <c r="J296" s="34">
        <v>456</v>
      </c>
      <c r="K296" s="34">
        <v>456</v>
      </c>
      <c r="L296" s="34">
        <v>0</v>
      </c>
      <c r="M296" s="37">
        <v>1172444.4</v>
      </c>
      <c r="N296" s="34">
        <v>60</v>
      </c>
      <c r="O296" s="40">
        <v>154269</v>
      </c>
    </row>
    <row r="297" spans="1:15">
      <c r="B297" s="55">
        <v>285</v>
      </c>
      <c r="C297" s="58">
        <v>51</v>
      </c>
      <c r="D297" s="58"/>
      <c r="E297" s="58" t="s">
        <v>541</v>
      </c>
      <c r="F297" s="58" t="s">
        <v>542</v>
      </c>
      <c r="G297" s="58" t="s">
        <v>550</v>
      </c>
      <c r="H297" s="58" t="s">
        <v>544</v>
      </c>
      <c r="I297" s="58" t="s">
        <v>545</v>
      </c>
      <c r="J297" s="34">
        <v>440</v>
      </c>
      <c r="K297" s="34">
        <v>440</v>
      </c>
      <c r="L297" s="34">
        <v>0</v>
      </c>
      <c r="M297" s="37">
        <v>536140</v>
      </c>
      <c r="N297" s="34">
        <v>64</v>
      </c>
      <c r="O297" s="40">
        <v>77984</v>
      </c>
    </row>
    <row r="298" spans="1:15">
      <c r="B298" s="55">
        <v>286</v>
      </c>
      <c r="C298" s="58">
        <v>51</v>
      </c>
      <c r="D298" s="58"/>
      <c r="E298" s="58" t="s">
        <v>541</v>
      </c>
      <c r="F298" s="58" t="s">
        <v>542</v>
      </c>
      <c r="G298" s="58" t="s">
        <v>551</v>
      </c>
      <c r="H298" s="58" t="s">
        <v>544</v>
      </c>
      <c r="I298" s="58" t="s">
        <v>548</v>
      </c>
      <c r="J298" s="34">
        <v>18</v>
      </c>
      <c r="K298" s="34">
        <v>18</v>
      </c>
      <c r="L298" s="34">
        <v>0</v>
      </c>
      <c r="M298" s="37">
        <v>65821.67999999999</v>
      </c>
      <c r="N298" s="34">
        <v>18</v>
      </c>
      <c r="O298" s="40">
        <v>65821.67999999999</v>
      </c>
    </row>
    <row r="299" spans="1:15">
      <c r="B299" s="55">
        <v>287</v>
      </c>
      <c r="C299" s="58">
        <v>51</v>
      </c>
      <c r="D299" s="58"/>
      <c r="E299" s="58" t="s">
        <v>552</v>
      </c>
      <c r="F299" s="58" t="s">
        <v>553</v>
      </c>
      <c r="G299" s="58" t="s">
        <v>554</v>
      </c>
      <c r="H299" s="58" t="s">
        <v>555</v>
      </c>
      <c r="I299" s="58" t="s">
        <v>455</v>
      </c>
      <c r="J299" s="34">
        <v>720</v>
      </c>
      <c r="K299" s="34">
        <v>720</v>
      </c>
      <c r="L299" s="34">
        <v>0</v>
      </c>
      <c r="M299" s="37">
        <v>26620.8</v>
      </c>
      <c r="N299" s="34">
        <v>160</v>
      </c>
      <c r="O299" s="40">
        <v>6236.8</v>
      </c>
    </row>
    <row r="300" spans="1:15">
      <c r="B300" s="55">
        <v>288</v>
      </c>
      <c r="C300" s="58">
        <v>51</v>
      </c>
      <c r="D300" s="58"/>
      <c r="E300" s="58" t="s">
        <v>552</v>
      </c>
      <c r="F300" s="58" t="s">
        <v>553</v>
      </c>
      <c r="G300" s="58" t="s">
        <v>556</v>
      </c>
      <c r="H300" s="58" t="s">
        <v>555</v>
      </c>
      <c r="I300" s="58" t="s">
        <v>455</v>
      </c>
      <c r="J300" s="34">
        <v>1080</v>
      </c>
      <c r="K300" s="34">
        <v>1080</v>
      </c>
      <c r="L300" s="34">
        <v>0</v>
      </c>
      <c r="M300" s="37">
        <v>49255.2</v>
      </c>
      <c r="N300" s="34">
        <v>180</v>
      </c>
      <c r="O300" s="40">
        <v>8681.4</v>
      </c>
    </row>
    <row r="301" spans="1:15">
      <c r="B301" s="55">
        <v>289</v>
      </c>
      <c r="C301" s="58">
        <v>51</v>
      </c>
      <c r="D301" s="58"/>
      <c r="E301" s="58" t="s">
        <v>552</v>
      </c>
      <c r="F301" s="58" t="s">
        <v>553</v>
      </c>
      <c r="G301" s="58" t="s">
        <v>261</v>
      </c>
      <c r="H301" s="58" t="s">
        <v>261</v>
      </c>
      <c r="I301" s="58" t="s">
        <v>88</v>
      </c>
      <c r="J301" s="34">
        <v>0</v>
      </c>
      <c r="K301" s="34">
        <v>0</v>
      </c>
      <c r="L301" s="34">
        <v>0</v>
      </c>
      <c r="M301" s="37">
        <v>0</v>
      </c>
      <c r="N301" s="34">
        <v>0</v>
      </c>
      <c r="O301" s="40">
        <v>0</v>
      </c>
    </row>
    <row r="302" spans="1:15">
      <c r="B302" s="55">
        <v>290</v>
      </c>
      <c r="C302" s="58">
        <v>51</v>
      </c>
      <c r="D302" s="58"/>
      <c r="E302" s="58" t="s">
        <v>552</v>
      </c>
      <c r="F302" s="58" t="s">
        <v>553</v>
      </c>
      <c r="G302" s="58" t="s">
        <v>557</v>
      </c>
      <c r="H302" s="58" t="s">
        <v>558</v>
      </c>
      <c r="I302" s="58" t="s">
        <v>277</v>
      </c>
      <c r="J302" s="34">
        <v>13950</v>
      </c>
      <c r="K302" s="34">
        <v>13950</v>
      </c>
      <c r="L302" s="34">
        <v>0</v>
      </c>
      <c r="M302" s="37">
        <v>509412</v>
      </c>
      <c r="N302" s="34">
        <v>1500</v>
      </c>
      <c r="O302" s="40">
        <v>54705</v>
      </c>
    </row>
    <row r="303" spans="1:15">
      <c r="B303" s="55">
        <v>291</v>
      </c>
      <c r="C303" s="58">
        <v>51</v>
      </c>
      <c r="D303" s="58"/>
      <c r="E303" s="58" t="s">
        <v>552</v>
      </c>
      <c r="F303" s="58" t="s">
        <v>553</v>
      </c>
      <c r="G303" s="58" t="s">
        <v>559</v>
      </c>
      <c r="H303" s="58" t="s">
        <v>265</v>
      </c>
      <c r="I303" s="58" t="s">
        <v>266</v>
      </c>
      <c r="J303" s="34">
        <v>0</v>
      </c>
      <c r="K303" s="34">
        <v>0</v>
      </c>
      <c r="L303" s="34">
        <v>0</v>
      </c>
      <c r="M303" s="37">
        <v>0</v>
      </c>
      <c r="N303" s="34">
        <v>0</v>
      </c>
      <c r="O303" s="40">
        <v>0</v>
      </c>
    </row>
    <row r="304" spans="1:15">
      <c r="B304" s="55">
        <v>292</v>
      </c>
      <c r="C304" s="58">
        <v>51</v>
      </c>
      <c r="D304" s="58"/>
      <c r="E304" s="58" t="s">
        <v>552</v>
      </c>
      <c r="F304" s="58" t="s">
        <v>553</v>
      </c>
      <c r="G304" s="58" t="s">
        <v>560</v>
      </c>
      <c r="H304" s="58" t="s">
        <v>519</v>
      </c>
      <c r="I304" s="58" t="s">
        <v>237</v>
      </c>
      <c r="J304" s="34">
        <v>0</v>
      </c>
      <c r="K304" s="34">
        <v>0</v>
      </c>
      <c r="L304" s="34">
        <v>0</v>
      </c>
      <c r="M304" s="37">
        <v>0</v>
      </c>
      <c r="N304" s="34">
        <v>0</v>
      </c>
      <c r="O304" s="40">
        <v>0</v>
      </c>
    </row>
    <row r="305" spans="1:15">
      <c r="B305" s="55">
        <v>293</v>
      </c>
      <c r="C305" s="58">
        <v>51</v>
      </c>
      <c r="D305" s="58"/>
      <c r="E305" s="58" t="s">
        <v>552</v>
      </c>
      <c r="F305" s="58" t="s">
        <v>553</v>
      </c>
      <c r="G305" s="58" t="s">
        <v>561</v>
      </c>
      <c r="H305" s="58" t="s">
        <v>562</v>
      </c>
      <c r="I305" s="58" t="s">
        <v>88</v>
      </c>
      <c r="J305" s="34">
        <v>2100</v>
      </c>
      <c r="K305" s="34">
        <v>2100</v>
      </c>
      <c r="L305" s="34">
        <v>0</v>
      </c>
      <c r="M305" s="37">
        <v>21483</v>
      </c>
      <c r="N305" s="34">
        <v>0</v>
      </c>
      <c r="O305" s="40">
        <v>0</v>
      </c>
    </row>
    <row r="306" spans="1:15">
      <c r="B306" s="55">
        <v>294</v>
      </c>
      <c r="C306" s="58">
        <v>51</v>
      </c>
      <c r="D306" s="58"/>
      <c r="E306" s="58" t="s">
        <v>552</v>
      </c>
      <c r="F306" s="58" t="s">
        <v>553</v>
      </c>
      <c r="G306" s="58" t="s">
        <v>563</v>
      </c>
      <c r="H306" s="58" t="s">
        <v>564</v>
      </c>
      <c r="I306" s="58" t="s">
        <v>351</v>
      </c>
      <c r="J306" s="34">
        <v>28170</v>
      </c>
      <c r="K306" s="34">
        <v>27930</v>
      </c>
      <c r="L306" s="34">
        <v>-240</v>
      </c>
      <c r="M306" s="37">
        <v>833798.1</v>
      </c>
      <c r="N306" s="34">
        <v>3300</v>
      </c>
      <c r="O306" s="40">
        <v>98340</v>
      </c>
    </row>
    <row r="307" spans="1:15">
      <c r="B307" s="55">
        <v>295</v>
      </c>
      <c r="C307" s="58">
        <v>51</v>
      </c>
      <c r="D307" s="58"/>
      <c r="E307" s="58" t="s">
        <v>565</v>
      </c>
      <c r="F307" s="58" t="s">
        <v>566</v>
      </c>
      <c r="G307" s="58" t="s">
        <v>567</v>
      </c>
      <c r="H307" s="58" t="s">
        <v>568</v>
      </c>
      <c r="I307" s="58" t="s">
        <v>88</v>
      </c>
      <c r="J307" s="34">
        <v>0</v>
      </c>
      <c r="K307" s="34">
        <v>0</v>
      </c>
      <c r="L307" s="34">
        <v>0</v>
      </c>
      <c r="M307" s="37">
        <v>0</v>
      </c>
      <c r="N307" s="34">
        <v>0</v>
      </c>
      <c r="O307" s="40">
        <v>0</v>
      </c>
    </row>
    <row r="308" spans="1:15">
      <c r="B308" s="55">
        <v>296</v>
      </c>
      <c r="C308" s="58">
        <v>51</v>
      </c>
      <c r="D308" s="58"/>
      <c r="E308" s="58" t="s">
        <v>565</v>
      </c>
      <c r="F308" s="58" t="s">
        <v>566</v>
      </c>
      <c r="G308" s="58" t="s">
        <v>569</v>
      </c>
      <c r="H308" s="58" t="s">
        <v>570</v>
      </c>
      <c r="I308" s="58" t="s">
        <v>571</v>
      </c>
      <c r="J308" s="34">
        <v>0</v>
      </c>
      <c r="K308" s="34">
        <v>0</v>
      </c>
      <c r="L308" s="34">
        <v>0</v>
      </c>
      <c r="M308" s="37">
        <v>0</v>
      </c>
      <c r="N308" s="34">
        <v>0</v>
      </c>
      <c r="O308" s="40">
        <v>0</v>
      </c>
    </row>
    <row r="309" spans="1:15">
      <c r="B309" s="55">
        <v>297</v>
      </c>
      <c r="C309" s="58">
        <v>51</v>
      </c>
      <c r="D309" s="58"/>
      <c r="E309" s="58" t="s">
        <v>565</v>
      </c>
      <c r="F309" s="58" t="s">
        <v>566</v>
      </c>
      <c r="G309" s="58" t="s">
        <v>572</v>
      </c>
      <c r="H309" s="58" t="s">
        <v>573</v>
      </c>
      <c r="I309" s="58" t="s">
        <v>571</v>
      </c>
      <c r="J309" s="34">
        <v>0</v>
      </c>
      <c r="K309" s="34">
        <v>0</v>
      </c>
      <c r="L309" s="34">
        <v>0</v>
      </c>
      <c r="M309" s="37">
        <v>0</v>
      </c>
      <c r="N309" s="34">
        <v>0</v>
      </c>
      <c r="O309" s="40">
        <v>0</v>
      </c>
    </row>
    <row r="310" spans="1:15">
      <c r="B310" s="55">
        <v>298</v>
      </c>
      <c r="C310" s="58">
        <v>51</v>
      </c>
      <c r="D310" s="58"/>
      <c r="E310" s="58" t="s">
        <v>565</v>
      </c>
      <c r="F310" s="58" t="s">
        <v>566</v>
      </c>
      <c r="G310" s="58" t="s">
        <v>574</v>
      </c>
      <c r="H310" s="58" t="s">
        <v>575</v>
      </c>
      <c r="I310" s="58" t="s">
        <v>455</v>
      </c>
      <c r="J310" s="34">
        <v>1200</v>
      </c>
      <c r="K310" s="34">
        <v>1200</v>
      </c>
      <c r="L310" s="34">
        <v>0</v>
      </c>
      <c r="M310" s="37">
        <v>8472</v>
      </c>
      <c r="N310" s="34">
        <v>0</v>
      </c>
      <c r="O310" s="40">
        <v>0</v>
      </c>
    </row>
    <row r="311" spans="1:15">
      <c r="B311" s="55">
        <v>299</v>
      </c>
      <c r="C311" s="58">
        <v>51</v>
      </c>
      <c r="D311" s="58"/>
      <c r="E311" s="58" t="s">
        <v>565</v>
      </c>
      <c r="F311" s="58" t="s">
        <v>566</v>
      </c>
      <c r="G311" s="58" t="s">
        <v>576</v>
      </c>
      <c r="H311" s="58" t="s">
        <v>577</v>
      </c>
      <c r="I311" s="58" t="s">
        <v>225</v>
      </c>
      <c r="J311" s="34">
        <v>0</v>
      </c>
      <c r="K311" s="34">
        <v>0</v>
      </c>
      <c r="L311" s="34">
        <v>0</v>
      </c>
      <c r="M311" s="37">
        <v>0</v>
      </c>
      <c r="N311" s="34">
        <v>0</v>
      </c>
      <c r="O311" s="40">
        <v>0</v>
      </c>
    </row>
    <row r="312" spans="1:15">
      <c r="B312" s="55">
        <v>300</v>
      </c>
      <c r="C312" s="58">
        <v>51</v>
      </c>
      <c r="D312" s="58"/>
      <c r="E312" s="58" t="s">
        <v>565</v>
      </c>
      <c r="F312" s="58" t="s">
        <v>566</v>
      </c>
      <c r="G312" s="58" t="s">
        <v>578</v>
      </c>
      <c r="H312" s="58" t="s">
        <v>577</v>
      </c>
      <c r="I312" s="58" t="s">
        <v>225</v>
      </c>
      <c r="J312" s="34">
        <v>0</v>
      </c>
      <c r="K312" s="34">
        <v>0</v>
      </c>
      <c r="L312" s="34">
        <v>0</v>
      </c>
      <c r="M312" s="37">
        <v>0</v>
      </c>
      <c r="N312" s="34">
        <v>0</v>
      </c>
      <c r="O312" s="40">
        <v>0</v>
      </c>
    </row>
    <row r="313" spans="1:15">
      <c r="B313" s="55">
        <v>301</v>
      </c>
      <c r="C313" s="58">
        <v>51</v>
      </c>
      <c r="D313" s="58"/>
      <c r="E313" s="58" t="s">
        <v>565</v>
      </c>
      <c r="F313" s="58" t="s">
        <v>566</v>
      </c>
      <c r="G313" s="58" t="s">
        <v>579</v>
      </c>
      <c r="H313" s="58" t="s">
        <v>580</v>
      </c>
      <c r="I313" s="58" t="s">
        <v>571</v>
      </c>
      <c r="J313" s="34">
        <v>0</v>
      </c>
      <c r="K313" s="34">
        <v>0</v>
      </c>
      <c r="L313" s="34">
        <v>0</v>
      </c>
      <c r="M313" s="37">
        <v>0</v>
      </c>
      <c r="N313" s="34">
        <v>0</v>
      </c>
      <c r="O313" s="40">
        <v>0</v>
      </c>
    </row>
    <row r="314" spans="1:15">
      <c r="B314" s="55">
        <v>302</v>
      </c>
      <c r="C314" s="58">
        <v>51</v>
      </c>
      <c r="D314" s="58"/>
      <c r="E314" s="58" t="s">
        <v>581</v>
      </c>
      <c r="F314" s="58" t="s">
        <v>582</v>
      </c>
      <c r="G314" s="58" t="s">
        <v>583</v>
      </c>
      <c r="H314" s="58" t="s">
        <v>336</v>
      </c>
      <c r="I314" s="58" t="s">
        <v>584</v>
      </c>
      <c r="J314" s="34">
        <v>0</v>
      </c>
      <c r="K314" s="34">
        <v>0</v>
      </c>
      <c r="L314" s="34">
        <v>0</v>
      </c>
      <c r="M314" s="37">
        <v>0</v>
      </c>
      <c r="N314" s="34">
        <v>0</v>
      </c>
      <c r="O314" s="40">
        <v>0</v>
      </c>
    </row>
    <row r="315" spans="1:15">
      <c r="B315" s="55">
        <v>303</v>
      </c>
      <c r="C315" s="58">
        <v>51</v>
      </c>
      <c r="D315" s="58"/>
      <c r="E315" s="58" t="s">
        <v>581</v>
      </c>
      <c r="F315" s="58" t="s">
        <v>582</v>
      </c>
      <c r="G315" s="58" t="s">
        <v>585</v>
      </c>
      <c r="H315" s="58" t="s">
        <v>336</v>
      </c>
      <c r="I315" s="58" t="s">
        <v>586</v>
      </c>
      <c r="J315" s="34">
        <v>0</v>
      </c>
      <c r="K315" s="34">
        <v>0</v>
      </c>
      <c r="L315" s="34">
        <v>0</v>
      </c>
      <c r="M315" s="37">
        <v>0</v>
      </c>
      <c r="N315" s="34">
        <v>0</v>
      </c>
      <c r="O315" s="40">
        <v>0</v>
      </c>
    </row>
    <row r="316" spans="1:15">
      <c r="B316" s="55">
        <v>304</v>
      </c>
      <c r="C316" s="58">
        <v>51</v>
      </c>
      <c r="D316" s="58"/>
      <c r="E316" s="58" t="s">
        <v>587</v>
      </c>
      <c r="F316" s="58" t="s">
        <v>588</v>
      </c>
      <c r="G316" s="58" t="s">
        <v>589</v>
      </c>
      <c r="H316" s="58" t="s">
        <v>590</v>
      </c>
      <c r="I316" s="58" t="s">
        <v>591</v>
      </c>
      <c r="J316" s="34">
        <v>0</v>
      </c>
      <c r="K316" s="34">
        <v>0</v>
      </c>
      <c r="L316" s="34">
        <v>0</v>
      </c>
      <c r="M316" s="37">
        <v>0</v>
      </c>
      <c r="N316" s="34">
        <v>0</v>
      </c>
      <c r="O316" s="40">
        <v>0</v>
      </c>
    </row>
    <row r="317" spans="1:15">
      <c r="B317" s="55">
        <v>305</v>
      </c>
      <c r="C317" s="58">
        <v>51</v>
      </c>
      <c r="D317" s="58"/>
      <c r="E317" s="58" t="s">
        <v>587</v>
      </c>
      <c r="F317" s="58" t="s">
        <v>588</v>
      </c>
      <c r="G317" s="58" t="s">
        <v>592</v>
      </c>
      <c r="H317" s="58" t="s">
        <v>590</v>
      </c>
      <c r="I317" s="58" t="s">
        <v>88</v>
      </c>
      <c r="J317" s="34">
        <v>3200</v>
      </c>
      <c r="K317" s="34">
        <v>3200</v>
      </c>
      <c r="L317" s="34">
        <v>0</v>
      </c>
      <c r="M317" s="37">
        <v>111740</v>
      </c>
      <c r="N317" s="34">
        <v>400</v>
      </c>
      <c r="O317" s="40">
        <v>13936</v>
      </c>
    </row>
    <row r="318" spans="1:15">
      <c r="B318" s="55">
        <v>306</v>
      </c>
      <c r="C318" s="58">
        <v>51</v>
      </c>
      <c r="D318" s="58"/>
      <c r="E318" s="58" t="s">
        <v>587</v>
      </c>
      <c r="F318" s="58" t="s">
        <v>588</v>
      </c>
      <c r="G318" s="58" t="s">
        <v>593</v>
      </c>
      <c r="H318" s="58" t="s">
        <v>590</v>
      </c>
      <c r="I318" s="58" t="s">
        <v>594</v>
      </c>
      <c r="J318" s="34">
        <v>0</v>
      </c>
      <c r="K318" s="34">
        <v>0</v>
      </c>
      <c r="L318" s="34">
        <v>0</v>
      </c>
      <c r="M318" s="37">
        <v>0</v>
      </c>
      <c r="N318" s="34">
        <v>0</v>
      </c>
      <c r="O318" s="40">
        <v>0</v>
      </c>
    </row>
    <row r="319" spans="1:15">
      <c r="B319" s="55">
        <v>307</v>
      </c>
      <c r="C319" s="58">
        <v>51</v>
      </c>
      <c r="D319" s="58"/>
      <c r="E319" s="58" t="s">
        <v>587</v>
      </c>
      <c r="F319" s="58" t="s">
        <v>588</v>
      </c>
      <c r="G319" s="58" t="s">
        <v>595</v>
      </c>
      <c r="H319" s="58" t="s">
        <v>596</v>
      </c>
      <c r="I319" s="58" t="s">
        <v>55</v>
      </c>
      <c r="J319" s="34">
        <v>13860</v>
      </c>
      <c r="K319" s="34">
        <v>13860</v>
      </c>
      <c r="L319" s="34">
        <v>0</v>
      </c>
      <c r="M319" s="37">
        <v>884084.4</v>
      </c>
      <c r="N319" s="34">
        <v>1800</v>
      </c>
      <c r="O319" s="40">
        <v>114534</v>
      </c>
    </row>
    <row r="320" spans="1:15">
      <c r="B320" s="55">
        <v>308</v>
      </c>
      <c r="C320" s="58">
        <v>51</v>
      </c>
      <c r="D320" s="58"/>
      <c r="E320" s="58" t="s">
        <v>587</v>
      </c>
      <c r="F320" s="58" t="s">
        <v>588</v>
      </c>
      <c r="G320" s="58" t="s">
        <v>597</v>
      </c>
      <c r="H320" s="58" t="s">
        <v>246</v>
      </c>
      <c r="I320" s="58" t="s">
        <v>351</v>
      </c>
      <c r="J320" s="34">
        <v>13200</v>
      </c>
      <c r="K320" s="34">
        <v>13200</v>
      </c>
      <c r="L320" s="34">
        <v>0</v>
      </c>
      <c r="M320" s="37">
        <v>144714</v>
      </c>
      <c r="N320" s="34">
        <v>4800</v>
      </c>
      <c r="O320" s="40">
        <v>52512</v>
      </c>
    </row>
    <row r="321" spans="1:15">
      <c r="B321" s="55">
        <v>309</v>
      </c>
      <c r="C321" s="58">
        <v>51</v>
      </c>
      <c r="D321" s="58"/>
      <c r="E321" s="58" t="s">
        <v>587</v>
      </c>
      <c r="F321" s="58" t="s">
        <v>588</v>
      </c>
      <c r="G321" s="58" t="s">
        <v>598</v>
      </c>
      <c r="H321" s="58" t="s">
        <v>590</v>
      </c>
      <c r="I321" s="58" t="s">
        <v>88</v>
      </c>
      <c r="J321" s="34">
        <v>3200</v>
      </c>
      <c r="K321" s="34">
        <v>3200</v>
      </c>
      <c r="L321" s="34">
        <v>0</v>
      </c>
      <c r="M321" s="37">
        <v>67216</v>
      </c>
      <c r="N321" s="34">
        <v>0</v>
      </c>
      <c r="O321" s="40">
        <v>0</v>
      </c>
    </row>
    <row r="322" spans="1:15">
      <c r="B322" s="55">
        <v>310</v>
      </c>
      <c r="C322" s="58">
        <v>51</v>
      </c>
      <c r="D322" s="58"/>
      <c r="E322" s="58" t="s">
        <v>587</v>
      </c>
      <c r="F322" s="58" t="s">
        <v>588</v>
      </c>
      <c r="G322" s="58" t="s">
        <v>599</v>
      </c>
      <c r="H322" s="58" t="s">
        <v>246</v>
      </c>
      <c r="I322" s="58" t="s">
        <v>424</v>
      </c>
      <c r="J322" s="34">
        <v>0</v>
      </c>
      <c r="K322" s="34">
        <v>0</v>
      </c>
      <c r="L322" s="34">
        <v>0</v>
      </c>
      <c r="M322" s="37">
        <v>0</v>
      </c>
      <c r="N322" s="34">
        <v>0</v>
      </c>
      <c r="O322" s="40">
        <v>0</v>
      </c>
    </row>
    <row r="323" spans="1:15">
      <c r="B323" s="55">
        <v>311</v>
      </c>
      <c r="C323" s="58">
        <v>51</v>
      </c>
      <c r="D323" s="58"/>
      <c r="E323" s="58" t="s">
        <v>587</v>
      </c>
      <c r="F323" s="58" t="s">
        <v>588</v>
      </c>
      <c r="G323" s="58" t="s">
        <v>600</v>
      </c>
      <c r="H323" s="58" t="s">
        <v>590</v>
      </c>
      <c r="I323" s="58" t="s">
        <v>491</v>
      </c>
      <c r="J323" s="34">
        <v>1500</v>
      </c>
      <c r="K323" s="34">
        <v>1500</v>
      </c>
      <c r="L323" s="34">
        <v>0</v>
      </c>
      <c r="M323" s="37">
        <v>43200</v>
      </c>
      <c r="N323" s="34">
        <v>0</v>
      </c>
      <c r="O323" s="40">
        <v>0</v>
      </c>
    </row>
    <row r="324" spans="1:15">
      <c r="B324" s="55">
        <v>312</v>
      </c>
      <c r="C324" s="58">
        <v>51</v>
      </c>
      <c r="D324" s="58"/>
      <c r="E324" s="58" t="s">
        <v>587</v>
      </c>
      <c r="F324" s="58" t="s">
        <v>588</v>
      </c>
      <c r="G324" s="58" t="s">
        <v>601</v>
      </c>
      <c r="H324" s="58" t="s">
        <v>590</v>
      </c>
      <c r="I324" s="58"/>
      <c r="J324" s="34">
        <v>0</v>
      </c>
      <c r="K324" s="34">
        <v>0</v>
      </c>
      <c r="L324" s="34">
        <v>0</v>
      </c>
      <c r="M324" s="37">
        <v>0</v>
      </c>
      <c r="N324" s="34">
        <v>0</v>
      </c>
      <c r="O324" s="40">
        <v>0</v>
      </c>
    </row>
    <row r="325" spans="1:15">
      <c r="B325" s="55">
        <v>313</v>
      </c>
      <c r="C325" s="58">
        <v>51</v>
      </c>
      <c r="D325" s="58"/>
      <c r="E325" s="58" t="s">
        <v>602</v>
      </c>
      <c r="F325" s="58" t="s">
        <v>603</v>
      </c>
      <c r="G325" s="58" t="s">
        <v>604</v>
      </c>
      <c r="H325" s="58" t="s">
        <v>605</v>
      </c>
      <c r="I325" s="58" t="s">
        <v>318</v>
      </c>
      <c r="J325" s="34">
        <v>4000</v>
      </c>
      <c r="K325" s="34">
        <v>4000</v>
      </c>
      <c r="L325" s="34">
        <v>0</v>
      </c>
      <c r="M325" s="37">
        <v>2200</v>
      </c>
      <c r="N325" s="34">
        <v>0</v>
      </c>
      <c r="O325" s="40">
        <v>0</v>
      </c>
    </row>
    <row r="326" spans="1:15">
      <c r="B326" s="55">
        <v>314</v>
      </c>
      <c r="C326" s="58">
        <v>51</v>
      </c>
      <c r="D326" s="58"/>
      <c r="E326" s="58" t="s">
        <v>602</v>
      </c>
      <c r="F326" s="58" t="s">
        <v>603</v>
      </c>
      <c r="G326" s="58" t="s">
        <v>606</v>
      </c>
      <c r="H326" s="58" t="s">
        <v>381</v>
      </c>
      <c r="I326" s="58" t="s">
        <v>607</v>
      </c>
      <c r="J326" s="34">
        <v>0</v>
      </c>
      <c r="K326" s="34">
        <v>0</v>
      </c>
      <c r="L326" s="34">
        <v>0</v>
      </c>
      <c r="M326" s="37">
        <v>0</v>
      </c>
      <c r="N326" s="34">
        <v>0</v>
      </c>
      <c r="O326" s="40">
        <v>0</v>
      </c>
    </row>
    <row r="327" spans="1:15">
      <c r="B327" s="55">
        <v>315</v>
      </c>
      <c r="C327" s="58">
        <v>51</v>
      </c>
      <c r="D327" s="58"/>
      <c r="E327" s="58" t="s">
        <v>602</v>
      </c>
      <c r="F327" s="58" t="s">
        <v>603</v>
      </c>
      <c r="G327" s="58" t="s">
        <v>608</v>
      </c>
      <c r="H327" s="58" t="s">
        <v>381</v>
      </c>
      <c r="I327" s="58" t="s">
        <v>609</v>
      </c>
      <c r="J327" s="34">
        <v>6768</v>
      </c>
      <c r="K327" s="34">
        <v>6768</v>
      </c>
      <c r="L327" s="34">
        <v>0</v>
      </c>
      <c r="M327" s="37">
        <v>1222561.44</v>
      </c>
      <c r="N327" s="34">
        <v>1104</v>
      </c>
      <c r="O327" s="40">
        <v>198311.52</v>
      </c>
    </row>
    <row r="328" spans="1:15">
      <c r="B328" s="55">
        <v>316</v>
      </c>
      <c r="C328" s="58">
        <v>51</v>
      </c>
      <c r="D328" s="58"/>
      <c r="E328" s="58" t="s">
        <v>602</v>
      </c>
      <c r="F328" s="58" t="s">
        <v>603</v>
      </c>
      <c r="G328" s="58" t="s">
        <v>610</v>
      </c>
      <c r="H328" s="58" t="s">
        <v>381</v>
      </c>
      <c r="I328" s="58" t="s">
        <v>611</v>
      </c>
      <c r="J328" s="34">
        <v>1344</v>
      </c>
      <c r="K328" s="34">
        <v>1344</v>
      </c>
      <c r="L328" s="34">
        <v>0</v>
      </c>
      <c r="M328" s="37">
        <v>377273.28</v>
      </c>
      <c r="N328" s="34">
        <v>0</v>
      </c>
      <c r="O328" s="40">
        <v>0</v>
      </c>
    </row>
    <row r="329" spans="1:15">
      <c r="B329" s="55">
        <v>317</v>
      </c>
      <c r="C329" s="58">
        <v>51</v>
      </c>
      <c r="D329" s="58"/>
      <c r="E329" s="58" t="s">
        <v>602</v>
      </c>
      <c r="F329" s="58" t="s">
        <v>603</v>
      </c>
      <c r="G329" s="58" t="s">
        <v>612</v>
      </c>
      <c r="H329" s="58" t="s">
        <v>381</v>
      </c>
      <c r="I329" s="58" t="s">
        <v>225</v>
      </c>
      <c r="J329" s="34">
        <v>84</v>
      </c>
      <c r="K329" s="34">
        <v>84</v>
      </c>
      <c r="L329" s="34">
        <v>0</v>
      </c>
      <c r="M329" s="37">
        <v>18414.48</v>
      </c>
      <c r="N329" s="34">
        <v>0</v>
      </c>
      <c r="O329" s="40">
        <v>0</v>
      </c>
    </row>
    <row r="330" spans="1:15">
      <c r="B330" s="55">
        <v>318</v>
      </c>
      <c r="C330" s="58">
        <v>51</v>
      </c>
      <c r="D330" s="58"/>
      <c r="E330" s="58" t="s">
        <v>602</v>
      </c>
      <c r="F330" s="58" t="s">
        <v>603</v>
      </c>
      <c r="G330" s="58" t="s">
        <v>613</v>
      </c>
      <c r="H330" s="58" t="s">
        <v>381</v>
      </c>
      <c r="I330" s="58" t="s">
        <v>164</v>
      </c>
      <c r="J330" s="34">
        <v>14600</v>
      </c>
      <c r="K330" s="34">
        <v>14600</v>
      </c>
      <c r="L330" s="34">
        <v>0</v>
      </c>
      <c r="M330" s="37">
        <v>2858077.75</v>
      </c>
      <c r="N330" s="34">
        <v>1450</v>
      </c>
      <c r="O330" s="40">
        <v>282561.5</v>
      </c>
    </row>
    <row r="331" spans="1:15">
      <c r="B331" s="55">
        <v>319</v>
      </c>
      <c r="C331" s="58">
        <v>51</v>
      </c>
      <c r="D331" s="58"/>
      <c r="E331" s="58" t="s">
        <v>602</v>
      </c>
      <c r="F331" s="58" t="s">
        <v>603</v>
      </c>
      <c r="G331" s="58" t="s">
        <v>614</v>
      </c>
      <c r="H331" s="58" t="s">
        <v>381</v>
      </c>
      <c r="I331" s="58" t="s">
        <v>351</v>
      </c>
      <c r="J331" s="34">
        <v>360</v>
      </c>
      <c r="K331" s="34">
        <v>360</v>
      </c>
      <c r="L331" s="34">
        <v>0</v>
      </c>
      <c r="M331" s="37">
        <v>54000</v>
      </c>
      <c r="N331" s="34">
        <v>0</v>
      </c>
      <c r="O331" s="40">
        <v>0</v>
      </c>
    </row>
    <row r="332" spans="1:15">
      <c r="B332" s="55">
        <v>320</v>
      </c>
      <c r="C332" s="58">
        <v>51</v>
      </c>
      <c r="D332" s="58"/>
      <c r="E332" s="58" t="s">
        <v>602</v>
      </c>
      <c r="F332" s="58" t="s">
        <v>603</v>
      </c>
      <c r="G332" s="58" t="s">
        <v>615</v>
      </c>
      <c r="H332" s="58" t="s">
        <v>381</v>
      </c>
      <c r="I332" s="58" t="s">
        <v>149</v>
      </c>
      <c r="J332" s="34">
        <v>2090</v>
      </c>
      <c r="K332" s="34">
        <v>2090</v>
      </c>
      <c r="L332" s="34">
        <v>0</v>
      </c>
      <c r="M332" s="37">
        <v>449683.3</v>
      </c>
      <c r="N332" s="34">
        <v>418</v>
      </c>
      <c r="O332" s="40">
        <v>89832.38</v>
      </c>
    </row>
    <row r="333" spans="1:15">
      <c r="B333" s="55">
        <v>321</v>
      </c>
      <c r="C333" s="58">
        <v>51</v>
      </c>
      <c r="D333" s="58"/>
      <c r="E333" s="58" t="s">
        <v>602</v>
      </c>
      <c r="F333" s="58" t="s">
        <v>603</v>
      </c>
      <c r="G333" s="58" t="s">
        <v>616</v>
      </c>
      <c r="H333" s="58" t="s">
        <v>381</v>
      </c>
      <c r="I333" s="58" t="s">
        <v>149</v>
      </c>
      <c r="J333" s="34">
        <v>1584</v>
      </c>
      <c r="K333" s="34">
        <v>1584</v>
      </c>
      <c r="L333" s="34">
        <v>0</v>
      </c>
      <c r="M333" s="37">
        <v>333780.48</v>
      </c>
      <c r="N333" s="34">
        <v>330</v>
      </c>
      <c r="O333" s="40">
        <v>69537.60000000001</v>
      </c>
    </row>
    <row r="334" spans="1:15">
      <c r="B334" s="55">
        <v>322</v>
      </c>
      <c r="C334" s="58">
        <v>51</v>
      </c>
      <c r="D334" s="58"/>
      <c r="E334" s="58" t="s">
        <v>617</v>
      </c>
      <c r="F334" s="58" t="s">
        <v>618</v>
      </c>
      <c r="G334" s="58" t="s">
        <v>619</v>
      </c>
      <c r="H334" s="58" t="s">
        <v>620</v>
      </c>
      <c r="I334" s="58" t="s">
        <v>455</v>
      </c>
      <c r="J334" s="34">
        <v>24</v>
      </c>
      <c r="K334" s="34">
        <v>24</v>
      </c>
      <c r="L334" s="34">
        <v>0</v>
      </c>
      <c r="M334" s="37">
        <v>9294</v>
      </c>
      <c r="N334" s="34">
        <v>0</v>
      </c>
      <c r="O334" s="40">
        <v>0</v>
      </c>
    </row>
    <row r="335" spans="1:15">
      <c r="B335" s="55">
        <v>323</v>
      </c>
      <c r="C335" s="58">
        <v>51</v>
      </c>
      <c r="D335" s="58"/>
      <c r="E335" s="58" t="s">
        <v>617</v>
      </c>
      <c r="F335" s="58" t="s">
        <v>618</v>
      </c>
      <c r="G335" s="58" t="s">
        <v>621</v>
      </c>
      <c r="H335" s="58" t="s">
        <v>622</v>
      </c>
      <c r="I335" s="58" t="s">
        <v>623</v>
      </c>
      <c r="J335" s="34">
        <v>486</v>
      </c>
      <c r="K335" s="34">
        <v>486</v>
      </c>
      <c r="L335" s="34">
        <v>0</v>
      </c>
      <c r="M335" s="37">
        <v>107017.2</v>
      </c>
      <c r="N335" s="34">
        <v>48</v>
      </c>
      <c r="O335" s="40">
        <v>10569.6</v>
      </c>
    </row>
    <row r="336" spans="1:15">
      <c r="B336" s="55">
        <v>324</v>
      </c>
      <c r="C336" s="58">
        <v>51</v>
      </c>
      <c r="D336" s="58"/>
      <c r="E336" s="58" t="s">
        <v>617</v>
      </c>
      <c r="F336" s="58" t="s">
        <v>618</v>
      </c>
      <c r="G336" s="58" t="s">
        <v>624</v>
      </c>
      <c r="H336" s="58" t="s">
        <v>620</v>
      </c>
      <c r="I336" s="58" t="s">
        <v>455</v>
      </c>
      <c r="J336" s="34">
        <v>60</v>
      </c>
      <c r="K336" s="34">
        <v>60</v>
      </c>
      <c r="L336" s="34">
        <v>0</v>
      </c>
      <c r="M336" s="37">
        <v>23749.8</v>
      </c>
      <c r="N336" s="34">
        <v>12</v>
      </c>
      <c r="O336" s="40">
        <v>4749.96</v>
      </c>
    </row>
    <row r="337" spans="1:15">
      <c r="B337" s="55">
        <v>325</v>
      </c>
      <c r="C337" s="58">
        <v>51</v>
      </c>
      <c r="D337" s="58"/>
      <c r="E337" s="58" t="s">
        <v>617</v>
      </c>
      <c r="F337" s="58" t="s">
        <v>618</v>
      </c>
      <c r="G337" s="58" t="s">
        <v>625</v>
      </c>
      <c r="H337" s="58" t="s">
        <v>620</v>
      </c>
      <c r="I337" s="58" t="s">
        <v>455</v>
      </c>
      <c r="J337" s="34">
        <v>60</v>
      </c>
      <c r="K337" s="34">
        <v>60</v>
      </c>
      <c r="L337" s="34">
        <v>0</v>
      </c>
      <c r="M337" s="37">
        <v>23749.8</v>
      </c>
      <c r="N337" s="34">
        <v>12</v>
      </c>
      <c r="O337" s="40">
        <v>4749.96</v>
      </c>
    </row>
    <row r="338" spans="1:15">
      <c r="B338" s="55">
        <v>326</v>
      </c>
      <c r="C338" s="58">
        <v>51</v>
      </c>
      <c r="D338" s="58"/>
      <c r="E338" s="58" t="s">
        <v>617</v>
      </c>
      <c r="F338" s="58" t="s">
        <v>618</v>
      </c>
      <c r="G338" s="58" t="s">
        <v>626</v>
      </c>
      <c r="H338" s="58" t="s">
        <v>627</v>
      </c>
      <c r="I338" s="58" t="s">
        <v>455</v>
      </c>
      <c r="J338" s="34">
        <v>144</v>
      </c>
      <c r="K338" s="34">
        <v>144</v>
      </c>
      <c r="L338" s="34">
        <v>0</v>
      </c>
      <c r="M338" s="37">
        <v>32346.72</v>
      </c>
      <c r="N338" s="34">
        <v>12</v>
      </c>
      <c r="O338" s="40">
        <v>2695.56</v>
      </c>
    </row>
    <row r="339" spans="1:15">
      <c r="B339" s="55">
        <v>327</v>
      </c>
      <c r="C339" s="58">
        <v>51</v>
      </c>
      <c r="D339" s="58"/>
      <c r="E339" s="58" t="s">
        <v>617</v>
      </c>
      <c r="F339" s="58" t="s">
        <v>618</v>
      </c>
      <c r="G339" s="58" t="s">
        <v>628</v>
      </c>
      <c r="H339" s="58" t="s">
        <v>629</v>
      </c>
      <c r="I339" s="58" t="s">
        <v>623</v>
      </c>
      <c r="J339" s="34">
        <v>12</v>
      </c>
      <c r="K339" s="34">
        <v>12</v>
      </c>
      <c r="L339" s="34">
        <v>0</v>
      </c>
      <c r="M339" s="37">
        <v>5299.08</v>
      </c>
      <c r="N339" s="34">
        <v>0</v>
      </c>
      <c r="O339" s="40">
        <v>0</v>
      </c>
    </row>
    <row r="340" spans="1:15">
      <c r="B340" s="55">
        <v>328</v>
      </c>
      <c r="C340" s="58">
        <v>51</v>
      </c>
      <c r="D340" s="58"/>
      <c r="E340" s="58" t="s">
        <v>617</v>
      </c>
      <c r="F340" s="58" t="s">
        <v>618</v>
      </c>
      <c r="G340" s="58" t="s">
        <v>630</v>
      </c>
      <c r="H340" s="58" t="s">
        <v>631</v>
      </c>
      <c r="I340" s="58" t="s">
        <v>455</v>
      </c>
      <c r="J340" s="34">
        <v>12</v>
      </c>
      <c r="K340" s="34">
        <v>12</v>
      </c>
      <c r="L340" s="34">
        <v>0</v>
      </c>
      <c r="M340" s="37">
        <v>4647</v>
      </c>
      <c r="N340" s="34">
        <v>0</v>
      </c>
      <c r="O340" s="40">
        <v>0</v>
      </c>
    </row>
    <row r="341" spans="1:15">
      <c r="B341" s="55">
        <v>329</v>
      </c>
      <c r="C341" s="58">
        <v>51</v>
      </c>
      <c r="D341" s="58"/>
      <c r="E341" s="58" t="s">
        <v>617</v>
      </c>
      <c r="F341" s="58" t="s">
        <v>618</v>
      </c>
      <c r="G341" s="58" t="s">
        <v>632</v>
      </c>
      <c r="H341" s="58" t="s">
        <v>629</v>
      </c>
      <c r="I341" s="58" t="s">
        <v>623</v>
      </c>
      <c r="J341" s="34">
        <v>12</v>
      </c>
      <c r="K341" s="34">
        <v>12</v>
      </c>
      <c r="L341" s="34">
        <v>0</v>
      </c>
      <c r="M341" s="37">
        <v>5299.08</v>
      </c>
      <c r="N341" s="34">
        <v>0</v>
      </c>
      <c r="O341" s="40">
        <v>0</v>
      </c>
    </row>
    <row r="342" spans="1:15">
      <c r="B342" s="55">
        <v>330</v>
      </c>
      <c r="C342" s="58">
        <v>51</v>
      </c>
      <c r="D342" s="58"/>
      <c r="E342" s="58" t="s">
        <v>617</v>
      </c>
      <c r="F342" s="58" t="s">
        <v>618</v>
      </c>
      <c r="G342" s="58" t="s">
        <v>633</v>
      </c>
      <c r="H342" s="58" t="s">
        <v>629</v>
      </c>
      <c r="I342" s="58" t="s">
        <v>623</v>
      </c>
      <c r="J342" s="34">
        <v>326</v>
      </c>
      <c r="K342" s="34">
        <v>326</v>
      </c>
      <c r="L342" s="34">
        <v>0</v>
      </c>
      <c r="M342" s="37">
        <v>89193.60000000001</v>
      </c>
      <c r="N342" s="34">
        <v>48</v>
      </c>
      <c r="O342" s="40">
        <v>13132.8</v>
      </c>
    </row>
    <row r="343" spans="1:15">
      <c r="B343" s="55">
        <v>331</v>
      </c>
      <c r="C343" s="58">
        <v>51</v>
      </c>
      <c r="D343" s="58"/>
      <c r="E343" s="58" t="s">
        <v>617</v>
      </c>
      <c r="F343" s="58" t="s">
        <v>618</v>
      </c>
      <c r="G343" s="58" t="s">
        <v>634</v>
      </c>
      <c r="H343" s="58" t="s">
        <v>629</v>
      </c>
      <c r="I343" s="58" t="s">
        <v>623</v>
      </c>
      <c r="J343" s="34">
        <v>60</v>
      </c>
      <c r="K343" s="34">
        <v>60</v>
      </c>
      <c r="L343" s="34">
        <v>0</v>
      </c>
      <c r="M343" s="37">
        <v>26242.8</v>
      </c>
      <c r="N343" s="34">
        <v>0</v>
      </c>
      <c r="O343" s="40">
        <v>0</v>
      </c>
    </row>
    <row r="344" spans="1:15">
      <c r="B344" s="55">
        <v>332</v>
      </c>
      <c r="C344" s="58">
        <v>51</v>
      </c>
      <c r="D344" s="58"/>
      <c r="E344" s="58" t="s">
        <v>617</v>
      </c>
      <c r="F344" s="58" t="s">
        <v>618</v>
      </c>
      <c r="G344" s="58" t="s">
        <v>635</v>
      </c>
      <c r="H344" s="58" t="s">
        <v>622</v>
      </c>
      <c r="I344" s="58" t="s">
        <v>623</v>
      </c>
      <c r="J344" s="34">
        <v>486</v>
      </c>
      <c r="K344" s="34">
        <v>486</v>
      </c>
      <c r="L344" s="34">
        <v>0</v>
      </c>
      <c r="M344" s="37">
        <v>107017.2</v>
      </c>
      <c r="N344" s="34">
        <v>48</v>
      </c>
      <c r="O344" s="40">
        <v>10569.6</v>
      </c>
    </row>
    <row r="345" spans="1:15">
      <c r="B345" s="55">
        <v>333</v>
      </c>
      <c r="C345" s="58">
        <v>51</v>
      </c>
      <c r="D345" s="58"/>
      <c r="E345" s="58" t="s">
        <v>617</v>
      </c>
      <c r="F345" s="58" t="s">
        <v>618</v>
      </c>
      <c r="G345" s="58" t="s">
        <v>636</v>
      </c>
      <c r="H345" s="58" t="s">
        <v>637</v>
      </c>
      <c r="I345" s="58" t="s">
        <v>164</v>
      </c>
      <c r="J345" s="34">
        <v>15840</v>
      </c>
      <c r="K345" s="34">
        <v>15840</v>
      </c>
      <c r="L345" s="34">
        <v>0</v>
      </c>
      <c r="M345" s="37">
        <v>2064902.4</v>
      </c>
      <c r="N345" s="34">
        <v>1920</v>
      </c>
      <c r="O345" s="40">
        <v>250291.2</v>
      </c>
    </row>
    <row r="346" spans="1:15">
      <c r="B346" s="55">
        <v>334</v>
      </c>
      <c r="C346" s="58">
        <v>51</v>
      </c>
      <c r="D346" s="58"/>
      <c r="E346" s="58" t="s">
        <v>617</v>
      </c>
      <c r="F346" s="58" t="s">
        <v>618</v>
      </c>
      <c r="G346" s="58" t="s">
        <v>638</v>
      </c>
      <c r="H346" s="58" t="s">
        <v>629</v>
      </c>
      <c r="I346" s="58" t="s">
        <v>623</v>
      </c>
      <c r="J346" s="34">
        <v>60</v>
      </c>
      <c r="K346" s="34">
        <v>60</v>
      </c>
      <c r="L346" s="34">
        <v>0</v>
      </c>
      <c r="M346" s="37">
        <v>26242.8</v>
      </c>
      <c r="N346" s="34">
        <v>0</v>
      </c>
      <c r="O346" s="40">
        <v>0</v>
      </c>
    </row>
    <row r="347" spans="1:15">
      <c r="B347" s="55">
        <v>335</v>
      </c>
      <c r="C347" s="58">
        <v>51</v>
      </c>
      <c r="D347" s="58"/>
      <c r="E347" s="58" t="s">
        <v>617</v>
      </c>
      <c r="F347" s="58" t="s">
        <v>618</v>
      </c>
      <c r="G347" s="58" t="s">
        <v>639</v>
      </c>
      <c r="H347" s="58" t="s">
        <v>640</v>
      </c>
      <c r="I347" s="58" t="s">
        <v>455</v>
      </c>
      <c r="J347" s="34">
        <v>144</v>
      </c>
      <c r="K347" s="34">
        <v>144</v>
      </c>
      <c r="L347" s="34">
        <v>0</v>
      </c>
      <c r="M347" s="37">
        <v>32346.72</v>
      </c>
      <c r="N347" s="34">
        <v>12</v>
      </c>
      <c r="O347" s="40">
        <v>2695.56</v>
      </c>
    </row>
    <row r="348" spans="1:15">
      <c r="B348" s="55">
        <v>336</v>
      </c>
      <c r="C348" s="58">
        <v>51</v>
      </c>
      <c r="D348" s="58"/>
      <c r="E348" s="58" t="s">
        <v>617</v>
      </c>
      <c r="F348" s="58" t="s">
        <v>618</v>
      </c>
      <c r="G348" s="58" t="s">
        <v>641</v>
      </c>
      <c r="H348" s="58" t="s">
        <v>620</v>
      </c>
      <c r="I348" s="58" t="s">
        <v>455</v>
      </c>
      <c r="J348" s="34">
        <v>128</v>
      </c>
      <c r="K348" s="34">
        <v>128</v>
      </c>
      <c r="L348" s="34">
        <v>0</v>
      </c>
      <c r="M348" s="37">
        <v>35112.96</v>
      </c>
      <c r="N348" s="34">
        <v>12</v>
      </c>
      <c r="O348" s="40">
        <v>3291.84</v>
      </c>
    </row>
    <row r="349" spans="1:15">
      <c r="B349" s="55">
        <v>337</v>
      </c>
      <c r="C349" s="58">
        <v>51</v>
      </c>
      <c r="D349" s="58"/>
      <c r="E349" s="58" t="s">
        <v>617</v>
      </c>
      <c r="F349" s="58" t="s">
        <v>618</v>
      </c>
      <c r="G349" s="58" t="s">
        <v>642</v>
      </c>
      <c r="H349" s="58" t="s">
        <v>629</v>
      </c>
      <c r="I349" s="58" t="s">
        <v>623</v>
      </c>
      <c r="J349" s="34">
        <v>294</v>
      </c>
      <c r="K349" s="34">
        <v>294</v>
      </c>
      <c r="L349" s="34">
        <v>0</v>
      </c>
      <c r="M349" s="37">
        <v>80438.39999999999</v>
      </c>
      <c r="N349" s="34">
        <v>48</v>
      </c>
      <c r="O349" s="40">
        <v>13132.8</v>
      </c>
    </row>
    <row r="350" spans="1:15">
      <c r="B350" s="55">
        <v>338</v>
      </c>
      <c r="C350" s="58">
        <v>51</v>
      </c>
      <c r="D350" s="58"/>
      <c r="E350" s="58" t="s">
        <v>617</v>
      </c>
      <c r="F350" s="58" t="s">
        <v>618</v>
      </c>
      <c r="G350" s="58" t="s">
        <v>643</v>
      </c>
      <c r="H350" s="58" t="s">
        <v>620</v>
      </c>
      <c r="I350" s="58" t="s">
        <v>455</v>
      </c>
      <c r="J350" s="34">
        <v>126</v>
      </c>
      <c r="K350" s="34">
        <v>126</v>
      </c>
      <c r="L350" s="34">
        <v>0</v>
      </c>
      <c r="M350" s="37">
        <v>34564.32</v>
      </c>
      <c r="N350" s="34">
        <v>12</v>
      </c>
      <c r="O350" s="40">
        <v>3291.84</v>
      </c>
    </row>
    <row r="351" spans="1:15">
      <c r="B351" s="55">
        <v>339</v>
      </c>
      <c r="C351" s="58">
        <v>51</v>
      </c>
      <c r="D351" s="58"/>
      <c r="E351" s="58" t="s">
        <v>644</v>
      </c>
      <c r="F351" s="58" t="s">
        <v>645</v>
      </c>
      <c r="G351" s="58" t="s">
        <v>646</v>
      </c>
      <c r="H351" s="58" t="s">
        <v>647</v>
      </c>
      <c r="I351" s="58" t="s">
        <v>88</v>
      </c>
      <c r="J351" s="34">
        <v>0</v>
      </c>
      <c r="K351" s="34">
        <v>0</v>
      </c>
      <c r="L351" s="34">
        <v>0</v>
      </c>
      <c r="M351" s="37">
        <v>0</v>
      </c>
      <c r="N351" s="34">
        <v>0</v>
      </c>
      <c r="O351" s="40">
        <v>0</v>
      </c>
    </row>
    <row r="352" spans="1:15">
      <c r="B352" s="55">
        <v>340</v>
      </c>
      <c r="C352" s="58">
        <v>51</v>
      </c>
      <c r="D352" s="58"/>
      <c r="E352" s="58" t="s">
        <v>648</v>
      </c>
      <c r="F352" s="58" t="s">
        <v>649</v>
      </c>
      <c r="G352" s="58" t="s">
        <v>650</v>
      </c>
      <c r="H352" s="58" t="s">
        <v>651</v>
      </c>
      <c r="I352" s="58" t="s">
        <v>455</v>
      </c>
      <c r="J352" s="34">
        <v>2000</v>
      </c>
      <c r="K352" s="34">
        <v>2000</v>
      </c>
      <c r="L352" s="34">
        <v>0</v>
      </c>
      <c r="M352" s="37">
        <v>23000</v>
      </c>
      <c r="N352" s="34">
        <v>800</v>
      </c>
      <c r="O352" s="40">
        <v>9200</v>
      </c>
    </row>
    <row r="353" spans="1:15">
      <c r="B353" s="55">
        <v>341</v>
      </c>
      <c r="C353" s="58">
        <v>51</v>
      </c>
      <c r="D353" s="58"/>
      <c r="E353" s="58" t="s">
        <v>648</v>
      </c>
      <c r="F353" s="58" t="s">
        <v>649</v>
      </c>
      <c r="G353" s="58" t="s">
        <v>652</v>
      </c>
      <c r="H353" s="58" t="s">
        <v>502</v>
      </c>
      <c r="I353" s="58" t="s">
        <v>653</v>
      </c>
      <c r="J353" s="34">
        <v>6000</v>
      </c>
      <c r="K353" s="34">
        <v>6000</v>
      </c>
      <c r="L353" s="34">
        <v>0</v>
      </c>
      <c r="M353" s="37">
        <v>15900</v>
      </c>
      <c r="N353" s="34">
        <v>3000</v>
      </c>
      <c r="O353" s="40">
        <v>7950</v>
      </c>
    </row>
    <row r="354" spans="1:15">
      <c r="B354" s="55">
        <v>342</v>
      </c>
      <c r="C354" s="58">
        <v>51</v>
      </c>
      <c r="D354" s="58"/>
      <c r="E354" s="58" t="s">
        <v>648</v>
      </c>
      <c r="F354" s="58" t="s">
        <v>649</v>
      </c>
      <c r="G354" s="58" t="s">
        <v>654</v>
      </c>
      <c r="H354" s="58" t="s">
        <v>655</v>
      </c>
      <c r="I354" s="58" t="s">
        <v>211</v>
      </c>
      <c r="J354" s="34">
        <v>0</v>
      </c>
      <c r="K354" s="34">
        <v>0</v>
      </c>
      <c r="L354" s="34">
        <v>0</v>
      </c>
      <c r="M354" s="37">
        <v>0</v>
      </c>
      <c r="N354" s="34">
        <v>0</v>
      </c>
      <c r="O354" s="40">
        <v>0</v>
      </c>
    </row>
    <row r="355" spans="1:15">
      <c r="B355" s="55">
        <v>343</v>
      </c>
      <c r="C355" s="58">
        <v>51</v>
      </c>
      <c r="D355" s="58"/>
      <c r="E355" s="58" t="s">
        <v>648</v>
      </c>
      <c r="F355" s="58" t="s">
        <v>649</v>
      </c>
      <c r="G355" s="58" t="s">
        <v>656</v>
      </c>
      <c r="H355" s="58" t="s">
        <v>657</v>
      </c>
      <c r="I355" s="58" t="s">
        <v>280</v>
      </c>
      <c r="J355" s="34">
        <v>129000</v>
      </c>
      <c r="K355" s="34">
        <v>129000</v>
      </c>
      <c r="L355" s="34">
        <v>0</v>
      </c>
      <c r="M355" s="37">
        <v>219300</v>
      </c>
      <c r="N355" s="34">
        <v>24000</v>
      </c>
      <c r="O355" s="40">
        <v>40800</v>
      </c>
    </row>
    <row r="356" spans="1:15">
      <c r="B356" s="55">
        <v>344</v>
      </c>
      <c r="C356" s="58">
        <v>51</v>
      </c>
      <c r="D356" s="58"/>
      <c r="E356" s="58" t="s">
        <v>648</v>
      </c>
      <c r="F356" s="58" t="s">
        <v>649</v>
      </c>
      <c r="G356" s="58" t="s">
        <v>658</v>
      </c>
      <c r="H356" s="58" t="s">
        <v>659</v>
      </c>
      <c r="I356" s="58" t="s">
        <v>455</v>
      </c>
      <c r="J356" s="34">
        <v>0</v>
      </c>
      <c r="K356" s="34">
        <v>0</v>
      </c>
      <c r="L356" s="34">
        <v>0</v>
      </c>
      <c r="M356" s="37">
        <v>0</v>
      </c>
      <c r="N356" s="34">
        <v>0</v>
      </c>
      <c r="O356" s="40">
        <v>0</v>
      </c>
    </row>
    <row r="357" spans="1:15">
      <c r="B357" s="55">
        <v>345</v>
      </c>
      <c r="C357" s="58">
        <v>51</v>
      </c>
      <c r="D357" s="58"/>
      <c r="E357" s="58" t="s">
        <v>648</v>
      </c>
      <c r="F357" s="58" t="s">
        <v>649</v>
      </c>
      <c r="G357" s="58" t="s">
        <v>660</v>
      </c>
      <c r="H357" s="58" t="s">
        <v>659</v>
      </c>
      <c r="I357" s="58" t="s">
        <v>455</v>
      </c>
      <c r="J357" s="34">
        <v>0</v>
      </c>
      <c r="K357" s="34">
        <v>0</v>
      </c>
      <c r="L357" s="34">
        <v>0</v>
      </c>
      <c r="M357" s="37">
        <v>0</v>
      </c>
      <c r="N357" s="34">
        <v>0</v>
      </c>
      <c r="O357" s="40">
        <v>0</v>
      </c>
    </row>
    <row r="358" spans="1:15">
      <c r="B358" s="55">
        <v>346</v>
      </c>
      <c r="C358" s="58">
        <v>51</v>
      </c>
      <c r="D358" s="58"/>
      <c r="E358" s="58" t="s">
        <v>648</v>
      </c>
      <c r="F358" s="58" t="s">
        <v>649</v>
      </c>
      <c r="G358" s="58" t="s">
        <v>661</v>
      </c>
      <c r="H358" s="58" t="s">
        <v>662</v>
      </c>
      <c r="I358" s="58" t="s">
        <v>439</v>
      </c>
      <c r="J358" s="34">
        <v>900</v>
      </c>
      <c r="K358" s="34">
        <v>900</v>
      </c>
      <c r="L358" s="34">
        <v>0</v>
      </c>
      <c r="M358" s="37">
        <v>24003</v>
      </c>
      <c r="N358" s="34">
        <v>0</v>
      </c>
      <c r="O358" s="40">
        <v>0</v>
      </c>
    </row>
    <row r="359" spans="1:15">
      <c r="B359" s="55">
        <v>347</v>
      </c>
      <c r="C359" s="58">
        <v>51</v>
      </c>
      <c r="D359" s="58"/>
      <c r="E359" s="58" t="s">
        <v>663</v>
      </c>
      <c r="F359" s="58" t="s">
        <v>664</v>
      </c>
      <c r="G359" s="58" t="s">
        <v>665</v>
      </c>
      <c r="H359" s="58" t="s">
        <v>426</v>
      </c>
      <c r="I359" s="58" t="s">
        <v>467</v>
      </c>
      <c r="J359" s="34">
        <v>0</v>
      </c>
      <c r="K359" s="34">
        <v>0</v>
      </c>
      <c r="L359" s="34">
        <v>0</v>
      </c>
      <c r="M359" s="37">
        <v>0</v>
      </c>
      <c r="N359" s="34">
        <v>0</v>
      </c>
      <c r="O359" s="40">
        <v>0</v>
      </c>
    </row>
    <row r="360" spans="1:15">
      <c r="B360" s="55">
        <v>348</v>
      </c>
      <c r="C360" s="58">
        <v>51</v>
      </c>
      <c r="D360" s="58"/>
      <c r="E360" s="58" t="s">
        <v>666</v>
      </c>
      <c r="F360" s="58" t="s">
        <v>667</v>
      </c>
      <c r="G360" s="58" t="s">
        <v>668</v>
      </c>
      <c r="H360" s="58" t="s">
        <v>669</v>
      </c>
      <c r="I360" s="58" t="s">
        <v>670</v>
      </c>
      <c r="J360" s="34">
        <v>1096</v>
      </c>
      <c r="K360" s="34">
        <v>1043</v>
      </c>
      <c r="L360" s="34">
        <v>-53</v>
      </c>
      <c r="M360" s="37">
        <v>43806</v>
      </c>
      <c r="N360" s="34">
        <v>575</v>
      </c>
      <c r="O360" s="40">
        <v>24150</v>
      </c>
    </row>
    <row r="361" spans="1:15">
      <c r="B361" s="55">
        <v>349</v>
      </c>
      <c r="C361" s="58">
        <v>51</v>
      </c>
      <c r="D361" s="58"/>
      <c r="E361" s="58" t="s">
        <v>666</v>
      </c>
      <c r="F361" s="58" t="s">
        <v>667</v>
      </c>
      <c r="G361" s="58" t="s">
        <v>671</v>
      </c>
      <c r="H361" s="58" t="s">
        <v>672</v>
      </c>
      <c r="I361" s="58" t="s">
        <v>673</v>
      </c>
      <c r="J361" s="34">
        <v>0</v>
      </c>
      <c r="K361" s="34">
        <v>0</v>
      </c>
      <c r="L361" s="34">
        <v>0</v>
      </c>
      <c r="M361" s="37">
        <v>0</v>
      </c>
      <c r="N361" s="34">
        <v>0</v>
      </c>
      <c r="O361" s="40">
        <v>0</v>
      </c>
    </row>
    <row r="362" spans="1:15">
      <c r="B362" s="55">
        <v>350</v>
      </c>
      <c r="C362" s="58">
        <v>51</v>
      </c>
      <c r="D362" s="58"/>
      <c r="E362" s="58" t="s">
        <v>666</v>
      </c>
      <c r="F362" s="58" t="s">
        <v>667</v>
      </c>
      <c r="G362" s="58" t="s">
        <v>674</v>
      </c>
      <c r="H362" s="58" t="s">
        <v>669</v>
      </c>
      <c r="I362" s="58" t="s">
        <v>188</v>
      </c>
      <c r="J362" s="34">
        <v>1703</v>
      </c>
      <c r="K362" s="34">
        <v>2244</v>
      </c>
      <c r="L362" s="34">
        <v>541</v>
      </c>
      <c r="M362" s="37">
        <v>62832</v>
      </c>
      <c r="N362" s="34">
        <v>0</v>
      </c>
      <c r="O362" s="40">
        <v>0</v>
      </c>
    </row>
    <row r="363" spans="1:15">
      <c r="B363" s="55">
        <v>351</v>
      </c>
      <c r="C363" s="58">
        <v>51</v>
      </c>
      <c r="D363" s="58"/>
      <c r="E363" s="58" t="s">
        <v>666</v>
      </c>
      <c r="F363" s="58" t="s">
        <v>667</v>
      </c>
      <c r="G363" s="58" t="s">
        <v>675</v>
      </c>
      <c r="H363" s="58" t="s">
        <v>676</v>
      </c>
      <c r="I363" s="58" t="s">
        <v>673</v>
      </c>
      <c r="J363" s="34">
        <v>1151</v>
      </c>
      <c r="K363" s="34">
        <v>1151</v>
      </c>
      <c r="L363" s="34">
        <v>0</v>
      </c>
      <c r="M363" s="37">
        <v>36832</v>
      </c>
      <c r="N363" s="34">
        <v>0</v>
      </c>
      <c r="O363" s="40">
        <v>0</v>
      </c>
    </row>
    <row r="364" spans="1:15">
      <c r="B364" s="55">
        <v>352</v>
      </c>
      <c r="C364" s="58">
        <v>51</v>
      </c>
      <c r="D364" s="58"/>
      <c r="E364" s="58" t="s">
        <v>666</v>
      </c>
      <c r="F364" s="58" t="s">
        <v>667</v>
      </c>
      <c r="G364" s="58" t="s">
        <v>677</v>
      </c>
      <c r="H364" s="58" t="s">
        <v>678</v>
      </c>
      <c r="I364" s="58" t="s">
        <v>673</v>
      </c>
      <c r="J364" s="34">
        <v>1709</v>
      </c>
      <c r="K364" s="34">
        <v>1692</v>
      </c>
      <c r="L364" s="34">
        <v>-17</v>
      </c>
      <c r="M364" s="37">
        <v>54144</v>
      </c>
      <c r="N364" s="34">
        <v>0</v>
      </c>
      <c r="O364" s="40">
        <v>0</v>
      </c>
    </row>
    <row r="365" spans="1:15">
      <c r="B365" s="55">
        <v>353</v>
      </c>
      <c r="C365" s="58">
        <v>51</v>
      </c>
      <c r="D365" s="58"/>
      <c r="E365" s="58" t="s">
        <v>666</v>
      </c>
      <c r="F365" s="58" t="s">
        <v>667</v>
      </c>
      <c r="G365" s="58" t="s">
        <v>679</v>
      </c>
      <c r="H365" s="58" t="s">
        <v>672</v>
      </c>
      <c r="I365" s="58" t="s">
        <v>680</v>
      </c>
      <c r="J365" s="34">
        <v>0</v>
      </c>
      <c r="K365" s="34">
        <v>0</v>
      </c>
      <c r="L365" s="34">
        <v>0</v>
      </c>
      <c r="M365" s="37">
        <v>0</v>
      </c>
      <c r="N365" s="34">
        <v>0</v>
      </c>
      <c r="O365" s="40">
        <v>0</v>
      </c>
    </row>
    <row r="366" spans="1:15">
      <c r="B366" s="55">
        <v>354</v>
      </c>
      <c r="C366" s="58">
        <v>51</v>
      </c>
      <c r="D366" s="58"/>
      <c r="E366" s="58" t="s">
        <v>666</v>
      </c>
      <c r="F366" s="58" t="s">
        <v>667</v>
      </c>
      <c r="G366" s="58" t="s">
        <v>681</v>
      </c>
      <c r="H366" s="58" t="s">
        <v>669</v>
      </c>
      <c r="I366" s="58" t="s">
        <v>188</v>
      </c>
      <c r="J366" s="34">
        <v>0</v>
      </c>
      <c r="K366" s="34">
        <v>0</v>
      </c>
      <c r="L366" s="34">
        <v>0</v>
      </c>
      <c r="M366" s="37">
        <v>0</v>
      </c>
      <c r="N366" s="34">
        <v>0</v>
      </c>
      <c r="O366" s="40">
        <v>0</v>
      </c>
    </row>
    <row r="367" spans="1:15">
      <c r="B367" s="55">
        <v>355</v>
      </c>
      <c r="C367" s="58">
        <v>51</v>
      </c>
      <c r="D367" s="58"/>
      <c r="E367" s="58" t="s">
        <v>666</v>
      </c>
      <c r="F367" s="58" t="s">
        <v>667</v>
      </c>
      <c r="G367" s="58" t="s">
        <v>682</v>
      </c>
      <c r="H367" s="58" t="s">
        <v>683</v>
      </c>
      <c r="I367" s="58" t="s">
        <v>673</v>
      </c>
      <c r="J367" s="34">
        <v>1737</v>
      </c>
      <c r="K367" s="34">
        <v>1737</v>
      </c>
      <c r="L367" s="34">
        <v>0</v>
      </c>
      <c r="M367" s="37">
        <v>55584</v>
      </c>
      <c r="N367" s="34">
        <v>0</v>
      </c>
      <c r="O367" s="40">
        <v>0</v>
      </c>
    </row>
    <row r="368" spans="1:15">
      <c r="B368" s="55">
        <v>356</v>
      </c>
      <c r="C368" s="58">
        <v>51</v>
      </c>
      <c r="D368" s="58"/>
      <c r="E368" s="58" t="s">
        <v>684</v>
      </c>
      <c r="F368" s="58" t="s">
        <v>685</v>
      </c>
      <c r="G368" s="58" t="s">
        <v>686</v>
      </c>
      <c r="H368" s="58" t="s">
        <v>687</v>
      </c>
      <c r="I368" s="58" t="s">
        <v>688</v>
      </c>
      <c r="J368" s="34">
        <v>3000</v>
      </c>
      <c r="K368" s="34">
        <v>3000</v>
      </c>
      <c r="L368" s="34">
        <v>0</v>
      </c>
      <c r="M368" s="37">
        <v>9510</v>
      </c>
      <c r="N368" s="34">
        <v>0</v>
      </c>
      <c r="O368" s="40">
        <v>0</v>
      </c>
    </row>
    <row r="369" spans="1:15">
      <c r="B369" s="55">
        <v>357</v>
      </c>
      <c r="C369" s="58">
        <v>51</v>
      </c>
      <c r="D369" s="58"/>
      <c r="E369" s="58" t="s">
        <v>684</v>
      </c>
      <c r="F369" s="58" t="s">
        <v>685</v>
      </c>
      <c r="G369" s="58" t="s">
        <v>689</v>
      </c>
      <c r="H369" s="58" t="s">
        <v>289</v>
      </c>
      <c r="I369" s="58" t="s">
        <v>690</v>
      </c>
      <c r="J369" s="34">
        <v>27000</v>
      </c>
      <c r="K369" s="34">
        <v>27000</v>
      </c>
      <c r="L369" s="34">
        <v>0</v>
      </c>
      <c r="M369" s="37">
        <v>11610</v>
      </c>
      <c r="N369" s="34">
        <v>12000</v>
      </c>
      <c r="O369" s="40">
        <v>5160</v>
      </c>
    </row>
    <row r="370" spans="1:15">
      <c r="B370" s="55">
        <v>358</v>
      </c>
      <c r="C370" s="58">
        <v>51</v>
      </c>
      <c r="D370" s="58"/>
      <c r="E370" s="58" t="s">
        <v>691</v>
      </c>
      <c r="F370" s="58" t="s">
        <v>692</v>
      </c>
      <c r="G370" s="58" t="s">
        <v>693</v>
      </c>
      <c r="H370" s="58" t="s">
        <v>694</v>
      </c>
      <c r="I370" s="58" t="s">
        <v>695</v>
      </c>
      <c r="J370" s="34">
        <v>168</v>
      </c>
      <c r="K370" s="34">
        <v>168</v>
      </c>
      <c r="L370" s="34">
        <v>0</v>
      </c>
      <c r="M370" s="37">
        <v>16521.12</v>
      </c>
      <c r="N370" s="34">
        <v>192</v>
      </c>
      <c r="O370" s="40">
        <v>18881.28</v>
      </c>
    </row>
    <row r="371" spans="1:15">
      <c r="B371" s="55">
        <v>359</v>
      </c>
      <c r="C371" s="58">
        <v>51</v>
      </c>
      <c r="D371" s="58"/>
      <c r="E371" s="58" t="s">
        <v>691</v>
      </c>
      <c r="F371" s="58" t="s">
        <v>692</v>
      </c>
      <c r="G371" s="58" t="s">
        <v>696</v>
      </c>
      <c r="H371" s="58" t="s">
        <v>694</v>
      </c>
      <c r="I371" s="58" t="s">
        <v>697</v>
      </c>
      <c r="J371" s="34">
        <v>0</v>
      </c>
      <c r="K371" s="34">
        <v>0</v>
      </c>
      <c r="L371" s="34">
        <v>0</v>
      </c>
      <c r="M371" s="37">
        <v>0</v>
      </c>
      <c r="N371" s="34">
        <v>48</v>
      </c>
      <c r="O371" s="40">
        <v>4948.8</v>
      </c>
    </row>
    <row r="372" spans="1:15">
      <c r="B372" s="55">
        <v>360</v>
      </c>
      <c r="C372" s="58">
        <v>51</v>
      </c>
      <c r="D372" s="58"/>
      <c r="E372" s="58" t="s">
        <v>691</v>
      </c>
      <c r="F372" s="58" t="s">
        <v>692</v>
      </c>
      <c r="G372" s="58" t="s">
        <v>698</v>
      </c>
      <c r="H372" s="58" t="s">
        <v>699</v>
      </c>
      <c r="I372" s="58" t="s">
        <v>55</v>
      </c>
      <c r="J372" s="34">
        <v>16000</v>
      </c>
      <c r="K372" s="34">
        <v>16000</v>
      </c>
      <c r="L372" s="34">
        <v>0</v>
      </c>
      <c r="M372" s="37">
        <v>32320</v>
      </c>
      <c r="N372" s="34">
        <v>800</v>
      </c>
      <c r="O372" s="40">
        <v>1616</v>
      </c>
    </row>
    <row r="373" spans="1:15">
      <c r="B373" s="55">
        <v>361</v>
      </c>
      <c r="C373" s="58">
        <v>51</v>
      </c>
      <c r="D373" s="58"/>
      <c r="E373" s="58" t="s">
        <v>691</v>
      </c>
      <c r="F373" s="58" t="s">
        <v>692</v>
      </c>
      <c r="G373" s="58" t="s">
        <v>700</v>
      </c>
      <c r="H373" s="58" t="s">
        <v>577</v>
      </c>
      <c r="I373" s="58" t="s">
        <v>285</v>
      </c>
      <c r="J373" s="34">
        <v>12300</v>
      </c>
      <c r="K373" s="34">
        <v>12300</v>
      </c>
      <c r="L373" s="34">
        <v>0</v>
      </c>
      <c r="M373" s="37">
        <v>45387</v>
      </c>
      <c r="N373" s="34">
        <v>2100</v>
      </c>
      <c r="O373" s="40">
        <v>7749</v>
      </c>
    </row>
    <row r="374" spans="1:15">
      <c r="B374" s="55">
        <v>362</v>
      </c>
      <c r="C374" s="58">
        <v>51</v>
      </c>
      <c r="D374" s="58"/>
      <c r="E374" s="58" t="s">
        <v>691</v>
      </c>
      <c r="F374" s="58" t="s">
        <v>692</v>
      </c>
      <c r="G374" s="58" t="s">
        <v>701</v>
      </c>
      <c r="H374" s="58" t="s">
        <v>577</v>
      </c>
      <c r="I374" s="58" t="s">
        <v>293</v>
      </c>
      <c r="J374" s="34">
        <v>8000</v>
      </c>
      <c r="K374" s="34">
        <v>8000</v>
      </c>
      <c r="L374" s="34">
        <v>0</v>
      </c>
      <c r="M374" s="37">
        <v>14400</v>
      </c>
      <c r="N374" s="34">
        <v>1600</v>
      </c>
      <c r="O374" s="40">
        <v>2880</v>
      </c>
    </row>
    <row r="375" spans="1:15">
      <c r="B375" s="55">
        <v>363</v>
      </c>
      <c r="C375" s="58">
        <v>51</v>
      </c>
      <c r="D375" s="58"/>
      <c r="E375" s="58" t="s">
        <v>691</v>
      </c>
      <c r="F375" s="58" t="s">
        <v>692</v>
      </c>
      <c r="G375" s="58" t="s">
        <v>702</v>
      </c>
      <c r="H375" s="58" t="s">
        <v>577</v>
      </c>
      <c r="I375" s="58" t="s">
        <v>703</v>
      </c>
      <c r="J375" s="34">
        <v>800</v>
      </c>
      <c r="K375" s="34">
        <v>800</v>
      </c>
      <c r="L375" s="34">
        <v>0</v>
      </c>
      <c r="M375" s="37">
        <v>1472</v>
      </c>
      <c r="N375" s="34">
        <v>0</v>
      </c>
      <c r="O375" s="40">
        <v>0</v>
      </c>
    </row>
    <row r="376" spans="1:15">
      <c r="B376" s="55">
        <v>364</v>
      </c>
      <c r="C376" s="58">
        <v>51</v>
      </c>
      <c r="D376" s="58"/>
      <c r="E376" s="58" t="s">
        <v>691</v>
      </c>
      <c r="F376" s="58" t="s">
        <v>692</v>
      </c>
      <c r="G376" s="58" t="s">
        <v>704</v>
      </c>
      <c r="H376" s="58" t="s">
        <v>577</v>
      </c>
      <c r="I376" s="58" t="s">
        <v>293</v>
      </c>
      <c r="J376" s="34">
        <v>6400</v>
      </c>
      <c r="K376" s="34">
        <v>6400</v>
      </c>
      <c r="L376" s="34">
        <v>0</v>
      </c>
      <c r="M376" s="37">
        <v>7616</v>
      </c>
      <c r="N376" s="34">
        <v>1600</v>
      </c>
      <c r="O376" s="40">
        <v>1904</v>
      </c>
    </row>
    <row r="377" spans="1:15">
      <c r="B377" s="55">
        <v>365</v>
      </c>
      <c r="C377" s="58">
        <v>51</v>
      </c>
      <c r="D377" s="58"/>
      <c r="E377" s="58" t="s">
        <v>691</v>
      </c>
      <c r="F377" s="58" t="s">
        <v>692</v>
      </c>
      <c r="G377" s="58" t="s">
        <v>705</v>
      </c>
      <c r="H377" s="58" t="s">
        <v>706</v>
      </c>
      <c r="I377" s="58" t="s">
        <v>240</v>
      </c>
      <c r="J377" s="34">
        <v>28800</v>
      </c>
      <c r="K377" s="34">
        <v>28800</v>
      </c>
      <c r="L377" s="34">
        <v>0</v>
      </c>
      <c r="M377" s="37">
        <v>23616</v>
      </c>
      <c r="N377" s="34">
        <v>2700</v>
      </c>
      <c r="O377" s="40">
        <v>2214</v>
      </c>
    </row>
    <row r="378" spans="1:15">
      <c r="B378" s="55">
        <v>366</v>
      </c>
      <c r="C378" s="58">
        <v>51</v>
      </c>
      <c r="D378" s="58"/>
      <c r="E378" s="58" t="s">
        <v>691</v>
      </c>
      <c r="F378" s="58" t="s">
        <v>692</v>
      </c>
      <c r="G378" s="58" t="s">
        <v>707</v>
      </c>
      <c r="H378" s="58" t="s">
        <v>577</v>
      </c>
      <c r="I378" s="58" t="s">
        <v>491</v>
      </c>
      <c r="J378" s="34">
        <v>800</v>
      </c>
      <c r="K378" s="34">
        <v>800</v>
      </c>
      <c r="L378" s="34">
        <v>0</v>
      </c>
      <c r="M378" s="37">
        <v>1896</v>
      </c>
      <c r="N378" s="34">
        <v>0</v>
      </c>
      <c r="O378" s="40">
        <v>0</v>
      </c>
    </row>
    <row r="379" spans="1:15">
      <c r="B379" s="55">
        <v>367</v>
      </c>
      <c r="C379" s="58">
        <v>51</v>
      </c>
      <c r="D379" s="58"/>
      <c r="E379" s="58" t="s">
        <v>691</v>
      </c>
      <c r="F379" s="58" t="s">
        <v>692</v>
      </c>
      <c r="G379" s="58" t="s">
        <v>708</v>
      </c>
      <c r="H379" s="58" t="s">
        <v>699</v>
      </c>
      <c r="I379" s="60" t="s">
        <v>209</v>
      </c>
      <c r="J379" s="34">
        <v>2400</v>
      </c>
      <c r="K379" s="34">
        <v>2400</v>
      </c>
      <c r="L379" s="34">
        <v>0</v>
      </c>
      <c r="M379" s="37">
        <v>3888</v>
      </c>
      <c r="N379" s="34">
        <v>800</v>
      </c>
      <c r="O379" s="40">
        <v>1296</v>
      </c>
    </row>
    <row r="380" spans="1:15">
      <c r="B380" s="55">
        <v>368</v>
      </c>
      <c r="C380" s="58">
        <v>51</v>
      </c>
      <c r="D380" s="58"/>
      <c r="E380" s="58" t="s">
        <v>691</v>
      </c>
      <c r="F380" s="58" t="s">
        <v>692</v>
      </c>
      <c r="G380" s="58" t="s">
        <v>709</v>
      </c>
      <c r="H380" s="58" t="s">
        <v>577</v>
      </c>
      <c r="I380" s="58" t="s">
        <v>710</v>
      </c>
      <c r="J380" s="34">
        <v>800</v>
      </c>
      <c r="K380" s="34">
        <v>800</v>
      </c>
      <c r="L380" s="34">
        <v>0</v>
      </c>
      <c r="M380" s="37">
        <v>2464</v>
      </c>
      <c r="N380" s="34">
        <v>800</v>
      </c>
      <c r="O380" s="40">
        <v>2464</v>
      </c>
    </row>
    <row r="381" spans="1:15">
      <c r="B381" s="55">
        <v>369</v>
      </c>
      <c r="C381" s="58">
        <v>51</v>
      </c>
      <c r="D381" s="58"/>
      <c r="E381" s="58" t="s">
        <v>711</v>
      </c>
      <c r="F381" s="58" t="s">
        <v>712</v>
      </c>
      <c r="G381" s="58" t="s">
        <v>713</v>
      </c>
      <c r="H381" s="58" t="s">
        <v>426</v>
      </c>
      <c r="I381" s="58" t="s">
        <v>714</v>
      </c>
      <c r="J381" s="34">
        <v>0</v>
      </c>
      <c r="K381" s="34">
        <v>0</v>
      </c>
      <c r="L381" s="34">
        <v>0</v>
      </c>
      <c r="M381" s="37">
        <v>0</v>
      </c>
      <c r="N381" s="34">
        <v>0</v>
      </c>
      <c r="O381" s="40">
        <v>0</v>
      </c>
    </row>
    <row r="382" spans="1:15">
      <c r="B382" s="55">
        <v>370</v>
      </c>
      <c r="C382" s="58">
        <v>51</v>
      </c>
      <c r="D382" s="58"/>
      <c r="E382" s="58" t="s">
        <v>711</v>
      </c>
      <c r="F382" s="58" t="s">
        <v>712</v>
      </c>
      <c r="G382" s="58" t="s">
        <v>715</v>
      </c>
      <c r="H382" s="58" t="s">
        <v>426</v>
      </c>
      <c r="I382" s="58" t="s">
        <v>716</v>
      </c>
      <c r="J382" s="34">
        <v>1280</v>
      </c>
      <c r="K382" s="34">
        <v>1280</v>
      </c>
      <c r="L382" s="34">
        <v>0</v>
      </c>
      <c r="M382" s="37">
        <v>95923.2</v>
      </c>
      <c r="N382" s="34">
        <v>0</v>
      </c>
      <c r="O382" s="40">
        <v>0</v>
      </c>
    </row>
    <row r="383" spans="1:15">
      <c r="B383" s="55">
        <v>371</v>
      </c>
      <c r="C383" s="58">
        <v>51</v>
      </c>
      <c r="D383" s="58"/>
      <c r="E383" s="58" t="s">
        <v>711</v>
      </c>
      <c r="F383" s="58" t="s">
        <v>712</v>
      </c>
      <c r="G383" s="58" t="s">
        <v>717</v>
      </c>
      <c r="H383" s="58" t="s">
        <v>718</v>
      </c>
      <c r="I383" s="58" t="s">
        <v>301</v>
      </c>
      <c r="J383" s="34">
        <v>4280</v>
      </c>
      <c r="K383" s="34">
        <v>4280</v>
      </c>
      <c r="L383" s="34">
        <v>0</v>
      </c>
      <c r="M383" s="37">
        <v>178904</v>
      </c>
      <c r="N383" s="34">
        <v>1280</v>
      </c>
      <c r="O383" s="40">
        <v>53504</v>
      </c>
    </row>
    <row r="384" spans="1:15">
      <c r="B384" s="55">
        <v>372</v>
      </c>
      <c r="C384" s="58">
        <v>51</v>
      </c>
      <c r="D384" s="58"/>
      <c r="E384" s="58" t="s">
        <v>711</v>
      </c>
      <c r="F384" s="58" t="s">
        <v>712</v>
      </c>
      <c r="G384" s="58" t="s">
        <v>646</v>
      </c>
      <c r="H384" s="58" t="s">
        <v>647</v>
      </c>
      <c r="I384" s="58" t="s">
        <v>88</v>
      </c>
      <c r="J384" s="34">
        <v>2100</v>
      </c>
      <c r="K384" s="34">
        <v>2100</v>
      </c>
      <c r="L384" s="34">
        <v>0</v>
      </c>
      <c r="M384" s="37">
        <v>105756</v>
      </c>
      <c r="N384" s="34">
        <v>0</v>
      </c>
      <c r="O384" s="40">
        <v>0</v>
      </c>
    </row>
    <row r="385" spans="1:15">
      <c r="B385" s="55">
        <v>373</v>
      </c>
      <c r="C385" s="58">
        <v>51</v>
      </c>
      <c r="D385" s="58"/>
      <c r="E385" s="58" t="s">
        <v>711</v>
      </c>
      <c r="F385" s="58" t="s">
        <v>712</v>
      </c>
      <c r="G385" s="58" t="s">
        <v>719</v>
      </c>
      <c r="H385" s="58" t="s">
        <v>426</v>
      </c>
      <c r="I385" s="58" t="s">
        <v>164</v>
      </c>
      <c r="J385" s="34">
        <v>15300</v>
      </c>
      <c r="K385" s="34">
        <v>15300</v>
      </c>
      <c r="L385" s="34">
        <v>0</v>
      </c>
      <c r="M385" s="37">
        <v>644283</v>
      </c>
      <c r="N385" s="34">
        <v>720</v>
      </c>
      <c r="O385" s="40">
        <v>30319.2</v>
      </c>
    </row>
    <row r="386" spans="1:15">
      <c r="B386" s="55">
        <v>374</v>
      </c>
      <c r="C386" s="58">
        <v>51</v>
      </c>
      <c r="D386" s="58"/>
      <c r="E386" s="58" t="s">
        <v>720</v>
      </c>
      <c r="F386" s="58" t="s">
        <v>721</v>
      </c>
      <c r="G386" s="58" t="s">
        <v>722</v>
      </c>
      <c r="H386" s="58" t="s">
        <v>475</v>
      </c>
      <c r="I386" s="58" t="s">
        <v>225</v>
      </c>
      <c r="J386" s="34">
        <v>813</v>
      </c>
      <c r="K386" s="34">
        <v>813</v>
      </c>
      <c r="L386" s="34">
        <v>0</v>
      </c>
      <c r="M386" s="37">
        <v>11845.41</v>
      </c>
      <c r="N386" s="34">
        <v>0</v>
      </c>
      <c r="O386" s="40">
        <v>0</v>
      </c>
    </row>
    <row r="387" spans="1:15">
      <c r="B387" s="55">
        <v>375</v>
      </c>
      <c r="C387" s="58">
        <v>51</v>
      </c>
      <c r="D387" s="58"/>
      <c r="E387" s="58" t="s">
        <v>720</v>
      </c>
      <c r="F387" s="58" t="s">
        <v>721</v>
      </c>
      <c r="G387" s="58" t="s">
        <v>723</v>
      </c>
      <c r="H387" s="58" t="s">
        <v>190</v>
      </c>
      <c r="I387" s="58" t="s">
        <v>680</v>
      </c>
      <c r="J387" s="34">
        <v>1600</v>
      </c>
      <c r="K387" s="34">
        <v>1600</v>
      </c>
      <c r="L387" s="34">
        <v>0</v>
      </c>
      <c r="M387" s="37">
        <v>114608</v>
      </c>
      <c r="N387" s="34">
        <v>200</v>
      </c>
      <c r="O387" s="40">
        <v>14404</v>
      </c>
    </row>
    <row r="388" spans="1:15">
      <c r="B388" s="55">
        <v>376</v>
      </c>
      <c r="C388" s="58">
        <v>51</v>
      </c>
      <c r="D388" s="58"/>
      <c r="E388" s="58" t="s">
        <v>720</v>
      </c>
      <c r="F388" s="58" t="s">
        <v>721</v>
      </c>
      <c r="G388" s="58" t="s">
        <v>724</v>
      </c>
      <c r="H388" s="58" t="s">
        <v>725</v>
      </c>
      <c r="I388" s="58" t="s">
        <v>680</v>
      </c>
      <c r="J388" s="34">
        <v>600</v>
      </c>
      <c r="K388" s="34">
        <v>600</v>
      </c>
      <c r="L388" s="34">
        <v>0</v>
      </c>
      <c r="M388" s="37">
        <v>25812</v>
      </c>
      <c r="N388" s="34">
        <v>240</v>
      </c>
      <c r="O388" s="40">
        <v>10370.4</v>
      </c>
    </row>
    <row r="389" spans="1:15">
      <c r="B389" s="55">
        <v>377</v>
      </c>
      <c r="C389" s="58">
        <v>51</v>
      </c>
      <c r="D389" s="58"/>
      <c r="E389" s="58" t="s">
        <v>720</v>
      </c>
      <c r="F389" s="58" t="s">
        <v>721</v>
      </c>
      <c r="G389" s="58" t="s">
        <v>726</v>
      </c>
      <c r="H389" s="58" t="s">
        <v>416</v>
      </c>
      <c r="I389" s="58" t="s">
        <v>680</v>
      </c>
      <c r="J389" s="34">
        <v>0</v>
      </c>
      <c r="K389" s="34">
        <v>0</v>
      </c>
      <c r="L389" s="34">
        <v>0</v>
      </c>
      <c r="M389" s="37">
        <v>0</v>
      </c>
      <c r="N389" s="34">
        <v>0</v>
      </c>
      <c r="O389" s="40">
        <v>0</v>
      </c>
    </row>
    <row r="390" spans="1:15">
      <c r="B390" s="55">
        <v>378</v>
      </c>
      <c r="C390" s="58">
        <v>51</v>
      </c>
      <c r="D390" s="58"/>
      <c r="E390" s="58" t="s">
        <v>720</v>
      </c>
      <c r="F390" s="58" t="s">
        <v>721</v>
      </c>
      <c r="G390" s="58" t="s">
        <v>727</v>
      </c>
      <c r="H390" s="58" t="s">
        <v>728</v>
      </c>
      <c r="I390" s="58" t="s">
        <v>729</v>
      </c>
      <c r="J390" s="34">
        <v>1600</v>
      </c>
      <c r="K390" s="34">
        <v>1600</v>
      </c>
      <c r="L390" s="34">
        <v>0</v>
      </c>
      <c r="M390" s="37">
        <v>93760</v>
      </c>
      <c r="N390" s="34">
        <v>600</v>
      </c>
      <c r="O390" s="40">
        <v>35334</v>
      </c>
    </row>
    <row r="391" spans="1:15">
      <c r="B391" s="55">
        <v>379</v>
      </c>
      <c r="C391" s="58">
        <v>51</v>
      </c>
      <c r="D391" s="58"/>
      <c r="E391" s="58" t="s">
        <v>720</v>
      </c>
      <c r="F391" s="58" t="s">
        <v>721</v>
      </c>
      <c r="G391" s="58" t="s">
        <v>730</v>
      </c>
      <c r="H391" s="58" t="s">
        <v>731</v>
      </c>
      <c r="I391" s="58" t="s">
        <v>680</v>
      </c>
      <c r="J391" s="34">
        <v>0</v>
      </c>
      <c r="K391" s="34">
        <v>0</v>
      </c>
      <c r="L391" s="34">
        <v>0</v>
      </c>
      <c r="M391" s="37">
        <v>0</v>
      </c>
      <c r="N391" s="34">
        <v>0</v>
      </c>
      <c r="O391" s="40">
        <v>0</v>
      </c>
    </row>
    <row r="392" spans="1:15">
      <c r="B392" s="55">
        <v>380</v>
      </c>
      <c r="C392" s="58">
        <v>51</v>
      </c>
      <c r="D392" s="58"/>
      <c r="E392" s="58" t="s">
        <v>720</v>
      </c>
      <c r="F392" s="58" t="s">
        <v>721</v>
      </c>
      <c r="G392" s="58" t="s">
        <v>732</v>
      </c>
      <c r="H392" s="58" t="s">
        <v>733</v>
      </c>
      <c r="I392" s="58" t="s">
        <v>734</v>
      </c>
      <c r="J392" s="34">
        <v>0</v>
      </c>
      <c r="K392" s="34">
        <v>0</v>
      </c>
      <c r="L392" s="34">
        <v>0</v>
      </c>
      <c r="M392" s="37">
        <v>0</v>
      </c>
      <c r="N392" s="34">
        <v>0</v>
      </c>
      <c r="O392" s="40">
        <v>0</v>
      </c>
    </row>
    <row r="393" spans="1:15">
      <c r="B393" s="55">
        <v>381</v>
      </c>
      <c r="C393" s="58">
        <v>51</v>
      </c>
      <c r="D393" s="58"/>
      <c r="E393" s="58" t="s">
        <v>720</v>
      </c>
      <c r="F393" s="58" t="s">
        <v>721</v>
      </c>
      <c r="G393" s="58" t="s">
        <v>735</v>
      </c>
      <c r="H393" s="58" t="s">
        <v>736</v>
      </c>
      <c r="I393" s="58" t="s">
        <v>680</v>
      </c>
      <c r="J393" s="34">
        <v>0</v>
      </c>
      <c r="K393" s="34">
        <v>0</v>
      </c>
      <c r="L393" s="34">
        <v>0</v>
      </c>
      <c r="M393" s="37">
        <v>0</v>
      </c>
      <c r="N393" s="34">
        <v>0</v>
      </c>
      <c r="O393" s="40">
        <v>0</v>
      </c>
    </row>
    <row r="394" spans="1:15">
      <c r="B394" s="55">
        <v>382</v>
      </c>
      <c r="C394" s="58">
        <v>51</v>
      </c>
      <c r="D394" s="58"/>
      <c r="E394" s="58" t="s">
        <v>720</v>
      </c>
      <c r="F394" s="58" t="s">
        <v>721</v>
      </c>
      <c r="G394" s="58" t="s">
        <v>737</v>
      </c>
      <c r="H394" s="58" t="s">
        <v>738</v>
      </c>
      <c r="I394" s="58" t="s">
        <v>680</v>
      </c>
      <c r="J394" s="34">
        <v>1640</v>
      </c>
      <c r="K394" s="34">
        <v>1640</v>
      </c>
      <c r="L394" s="34">
        <v>0</v>
      </c>
      <c r="M394" s="37">
        <v>93430.8</v>
      </c>
      <c r="N394" s="34">
        <v>200</v>
      </c>
      <c r="O394" s="40">
        <v>11458</v>
      </c>
    </row>
    <row r="395" spans="1:15">
      <c r="B395" s="55">
        <v>383</v>
      </c>
      <c r="C395" s="58">
        <v>51</v>
      </c>
      <c r="D395" s="58"/>
      <c r="E395" s="58" t="s">
        <v>720</v>
      </c>
      <c r="F395" s="58" t="s">
        <v>721</v>
      </c>
      <c r="G395" s="58" t="s">
        <v>739</v>
      </c>
      <c r="H395" s="58" t="s">
        <v>416</v>
      </c>
      <c r="I395" s="58" t="s">
        <v>729</v>
      </c>
      <c r="J395" s="34">
        <v>1000</v>
      </c>
      <c r="K395" s="34">
        <v>1000</v>
      </c>
      <c r="L395" s="34">
        <v>0</v>
      </c>
      <c r="M395" s="37">
        <v>53250</v>
      </c>
      <c r="N395" s="34">
        <v>0</v>
      </c>
      <c r="O395" s="40">
        <v>0</v>
      </c>
    </row>
    <row r="396" spans="1:15">
      <c r="B396" s="55">
        <v>384</v>
      </c>
      <c r="C396" s="58">
        <v>51</v>
      </c>
      <c r="D396" s="58"/>
      <c r="E396" s="58" t="s">
        <v>720</v>
      </c>
      <c r="F396" s="58" t="s">
        <v>721</v>
      </c>
      <c r="G396" s="58" t="s">
        <v>740</v>
      </c>
      <c r="H396" s="58" t="s">
        <v>678</v>
      </c>
      <c r="I396" s="58" t="s">
        <v>673</v>
      </c>
      <c r="J396" s="34">
        <v>600</v>
      </c>
      <c r="K396" s="34">
        <v>600</v>
      </c>
      <c r="L396" s="34">
        <v>0</v>
      </c>
      <c r="M396" s="37">
        <v>37362</v>
      </c>
      <c r="N396" s="34">
        <v>200</v>
      </c>
      <c r="O396" s="40">
        <v>12508</v>
      </c>
    </row>
    <row r="397" spans="1:15">
      <c r="B397" s="55">
        <v>385</v>
      </c>
      <c r="C397" s="58">
        <v>51</v>
      </c>
      <c r="D397" s="58"/>
      <c r="E397" s="58" t="s">
        <v>720</v>
      </c>
      <c r="F397" s="58" t="s">
        <v>721</v>
      </c>
      <c r="G397" s="58" t="s">
        <v>741</v>
      </c>
      <c r="H397" s="58" t="s">
        <v>725</v>
      </c>
      <c r="I397" s="58" t="s">
        <v>673</v>
      </c>
      <c r="J397" s="34">
        <v>1200</v>
      </c>
      <c r="K397" s="34">
        <v>1200</v>
      </c>
      <c r="L397" s="34">
        <v>0</v>
      </c>
      <c r="M397" s="37">
        <v>75036</v>
      </c>
      <c r="N397" s="34">
        <v>200</v>
      </c>
      <c r="O397" s="40">
        <v>12576</v>
      </c>
    </row>
    <row r="398" spans="1:15">
      <c r="B398" s="55">
        <v>386</v>
      </c>
      <c r="C398" s="58">
        <v>51</v>
      </c>
      <c r="D398" s="58"/>
      <c r="E398" s="58" t="s">
        <v>720</v>
      </c>
      <c r="F398" s="58" t="s">
        <v>721</v>
      </c>
      <c r="G398" s="58" t="s">
        <v>742</v>
      </c>
      <c r="H398" s="58" t="s">
        <v>187</v>
      </c>
      <c r="I398" s="58" t="s">
        <v>729</v>
      </c>
      <c r="J398" s="34">
        <v>1400</v>
      </c>
      <c r="K398" s="34">
        <v>1400</v>
      </c>
      <c r="L398" s="34">
        <v>0</v>
      </c>
      <c r="M398" s="37">
        <v>62608</v>
      </c>
      <c r="N398" s="34">
        <v>0</v>
      </c>
      <c r="O398" s="40">
        <v>0</v>
      </c>
    </row>
    <row r="399" spans="1:15">
      <c r="B399" s="55">
        <v>387</v>
      </c>
      <c r="C399" s="58">
        <v>51</v>
      </c>
      <c r="D399" s="58"/>
      <c r="E399" s="58" t="s">
        <v>720</v>
      </c>
      <c r="F399" s="58" t="s">
        <v>721</v>
      </c>
      <c r="G399" s="58" t="s">
        <v>743</v>
      </c>
      <c r="H399" s="58" t="s">
        <v>733</v>
      </c>
      <c r="I399" s="58" t="s">
        <v>670</v>
      </c>
      <c r="J399" s="34">
        <v>1200</v>
      </c>
      <c r="K399" s="34">
        <v>1200</v>
      </c>
      <c r="L399" s="34">
        <v>0</v>
      </c>
      <c r="M399" s="37">
        <v>60936</v>
      </c>
      <c r="N399" s="34">
        <v>200</v>
      </c>
      <c r="O399" s="40">
        <v>10210</v>
      </c>
    </row>
    <row r="400" spans="1:15">
      <c r="B400" s="55">
        <v>388</v>
      </c>
      <c r="C400" s="58">
        <v>51</v>
      </c>
      <c r="D400" s="58"/>
      <c r="E400" s="58" t="s">
        <v>720</v>
      </c>
      <c r="F400" s="58" t="s">
        <v>721</v>
      </c>
      <c r="G400" s="58" t="s">
        <v>744</v>
      </c>
      <c r="H400" s="58" t="s">
        <v>676</v>
      </c>
      <c r="I400" s="58" t="s">
        <v>673</v>
      </c>
      <c r="J400" s="34">
        <v>1050</v>
      </c>
      <c r="K400" s="34">
        <v>1050</v>
      </c>
      <c r="L400" s="34">
        <v>0</v>
      </c>
      <c r="M400" s="37">
        <v>40404</v>
      </c>
      <c r="N400" s="34">
        <v>0</v>
      </c>
      <c r="O400" s="40">
        <v>0</v>
      </c>
    </row>
    <row r="401" spans="1:15">
      <c r="B401" s="55">
        <v>389</v>
      </c>
      <c r="C401" s="58">
        <v>51</v>
      </c>
      <c r="D401" s="58"/>
      <c r="E401" s="58" t="s">
        <v>720</v>
      </c>
      <c r="F401" s="58" t="s">
        <v>721</v>
      </c>
      <c r="G401" s="58" t="s">
        <v>745</v>
      </c>
      <c r="H401" s="58" t="s">
        <v>190</v>
      </c>
      <c r="I401" s="58" t="s">
        <v>188</v>
      </c>
      <c r="J401" s="34">
        <v>0</v>
      </c>
      <c r="K401" s="34">
        <v>0</v>
      </c>
      <c r="L401" s="34">
        <v>0</v>
      </c>
      <c r="M401" s="37">
        <v>0</v>
      </c>
      <c r="N401" s="34">
        <v>0</v>
      </c>
      <c r="O401" s="40">
        <v>0</v>
      </c>
    </row>
    <row r="402" spans="1:15">
      <c r="B402" s="55">
        <v>390</v>
      </c>
      <c r="C402" s="58">
        <v>51</v>
      </c>
      <c r="D402" s="58"/>
      <c r="E402" s="58" t="s">
        <v>720</v>
      </c>
      <c r="F402" s="58" t="s">
        <v>721</v>
      </c>
      <c r="G402" s="58" t="s">
        <v>746</v>
      </c>
      <c r="H402" s="58" t="s">
        <v>747</v>
      </c>
      <c r="I402" s="58" t="s">
        <v>680</v>
      </c>
      <c r="J402" s="34">
        <v>3600</v>
      </c>
      <c r="K402" s="34">
        <v>3600</v>
      </c>
      <c r="L402" s="34">
        <v>0</v>
      </c>
      <c r="M402" s="37">
        <v>265392</v>
      </c>
      <c r="N402" s="34">
        <v>900</v>
      </c>
      <c r="O402" s="40">
        <v>66618</v>
      </c>
    </row>
    <row r="403" spans="1:15">
      <c r="B403" s="55">
        <v>391</v>
      </c>
      <c r="C403" s="58">
        <v>51</v>
      </c>
      <c r="D403" s="58"/>
      <c r="E403" s="58" t="s">
        <v>720</v>
      </c>
      <c r="F403" s="58" t="s">
        <v>721</v>
      </c>
      <c r="G403" s="58" t="s">
        <v>748</v>
      </c>
      <c r="H403" s="58" t="s">
        <v>683</v>
      </c>
      <c r="I403" s="58" t="s">
        <v>673</v>
      </c>
      <c r="J403" s="34">
        <v>2000</v>
      </c>
      <c r="K403" s="34">
        <v>2000</v>
      </c>
      <c r="L403" s="34">
        <v>0</v>
      </c>
      <c r="M403" s="37">
        <v>125500</v>
      </c>
      <c r="N403" s="34">
        <v>400</v>
      </c>
      <c r="O403" s="40">
        <v>25220</v>
      </c>
    </row>
    <row r="404" spans="1:15">
      <c r="B404" s="55">
        <v>392</v>
      </c>
      <c r="C404" s="58">
        <v>51</v>
      </c>
      <c r="D404" s="58"/>
      <c r="E404" s="58" t="s">
        <v>720</v>
      </c>
      <c r="F404" s="58" t="s">
        <v>721</v>
      </c>
      <c r="G404" s="58" t="s">
        <v>749</v>
      </c>
      <c r="H404" s="58" t="s">
        <v>669</v>
      </c>
      <c r="I404" s="58" t="s">
        <v>680</v>
      </c>
      <c r="J404" s="34">
        <v>1470</v>
      </c>
      <c r="K404" s="34">
        <v>1470</v>
      </c>
      <c r="L404" s="34">
        <v>0</v>
      </c>
      <c r="M404" s="37">
        <v>75028.8</v>
      </c>
      <c r="N404" s="34">
        <v>420</v>
      </c>
      <c r="O404" s="40">
        <v>21516.6</v>
      </c>
    </row>
    <row r="405" spans="1:15">
      <c r="B405" s="55">
        <v>393</v>
      </c>
      <c r="C405" s="58">
        <v>51</v>
      </c>
      <c r="D405" s="58"/>
      <c r="E405" s="58" t="s">
        <v>720</v>
      </c>
      <c r="F405" s="58" t="s">
        <v>721</v>
      </c>
      <c r="G405" s="58" t="s">
        <v>750</v>
      </c>
      <c r="H405" s="58" t="s">
        <v>678</v>
      </c>
      <c r="I405" s="58" t="s">
        <v>680</v>
      </c>
      <c r="J405" s="34">
        <v>0</v>
      </c>
      <c r="K405" s="34">
        <v>0</v>
      </c>
      <c r="L405" s="34">
        <v>0</v>
      </c>
      <c r="M405" s="37">
        <v>0</v>
      </c>
      <c r="N405" s="34">
        <v>300</v>
      </c>
      <c r="O405" s="40">
        <v>16242</v>
      </c>
    </row>
    <row r="406" spans="1:15">
      <c r="B406" s="55">
        <v>394</v>
      </c>
      <c r="C406" s="58">
        <v>51</v>
      </c>
      <c r="D406" s="58"/>
      <c r="E406" s="58" t="s">
        <v>720</v>
      </c>
      <c r="F406" s="58" t="s">
        <v>721</v>
      </c>
      <c r="G406" s="58" t="s">
        <v>751</v>
      </c>
      <c r="H406" s="58" t="s">
        <v>752</v>
      </c>
      <c r="I406" s="58" t="s">
        <v>673</v>
      </c>
      <c r="J406" s="34">
        <v>1260</v>
      </c>
      <c r="K406" s="34">
        <v>1260</v>
      </c>
      <c r="L406" s="34">
        <v>0</v>
      </c>
      <c r="M406" s="37">
        <v>46027.8</v>
      </c>
      <c r="N406" s="34">
        <v>0</v>
      </c>
      <c r="O406" s="40">
        <v>0</v>
      </c>
    </row>
    <row r="407" spans="1:15">
      <c r="B407" s="55">
        <v>395</v>
      </c>
      <c r="C407" s="58">
        <v>51</v>
      </c>
      <c r="D407" s="58"/>
      <c r="E407" s="58" t="s">
        <v>753</v>
      </c>
      <c r="F407" s="58" t="s">
        <v>754</v>
      </c>
      <c r="G407" s="58" t="s">
        <v>755</v>
      </c>
      <c r="H407" s="58" t="s">
        <v>756</v>
      </c>
      <c r="I407" s="58" t="s">
        <v>757</v>
      </c>
      <c r="J407" s="34">
        <v>3600</v>
      </c>
      <c r="K407" s="34">
        <v>3600</v>
      </c>
      <c r="L407" s="34">
        <v>0</v>
      </c>
      <c r="M407" s="37">
        <v>17136</v>
      </c>
      <c r="N407" s="34">
        <v>0</v>
      </c>
      <c r="O407" s="40">
        <v>0</v>
      </c>
    </row>
    <row r="408" spans="1:15">
      <c r="B408" s="55">
        <v>396</v>
      </c>
      <c r="C408" s="58">
        <v>51</v>
      </c>
      <c r="D408" s="58"/>
      <c r="E408" s="58" t="s">
        <v>753</v>
      </c>
      <c r="F408" s="58" t="s">
        <v>754</v>
      </c>
      <c r="G408" s="58" t="s">
        <v>758</v>
      </c>
      <c r="H408" s="58" t="s">
        <v>434</v>
      </c>
      <c r="I408" s="58" t="s">
        <v>759</v>
      </c>
      <c r="J408" s="34">
        <v>0</v>
      </c>
      <c r="K408" s="34">
        <v>0</v>
      </c>
      <c r="L408" s="34">
        <v>0</v>
      </c>
      <c r="M408" s="37">
        <v>0</v>
      </c>
      <c r="N408" s="34">
        <v>0</v>
      </c>
      <c r="O408" s="40">
        <v>0</v>
      </c>
    </row>
    <row r="409" spans="1:15">
      <c r="B409" s="55">
        <v>397</v>
      </c>
      <c r="C409" s="58">
        <v>51</v>
      </c>
      <c r="D409" s="58"/>
      <c r="E409" s="58" t="s">
        <v>760</v>
      </c>
      <c r="F409" s="58" t="s">
        <v>761</v>
      </c>
      <c r="G409" s="58" t="s">
        <v>762</v>
      </c>
      <c r="H409" s="58" t="s">
        <v>426</v>
      </c>
      <c r="I409" s="60" t="s">
        <v>763</v>
      </c>
      <c r="J409" s="34">
        <v>5100</v>
      </c>
      <c r="K409" s="34">
        <v>5100</v>
      </c>
      <c r="L409" s="34">
        <v>0</v>
      </c>
      <c r="M409" s="37">
        <v>202572</v>
      </c>
      <c r="N409" s="34">
        <v>720</v>
      </c>
      <c r="O409" s="40">
        <v>28598.4</v>
      </c>
    </row>
    <row r="410" spans="1:15">
      <c r="B410" s="55">
        <v>398</v>
      </c>
      <c r="C410" s="58">
        <v>51</v>
      </c>
      <c r="D410" s="58"/>
      <c r="E410" s="58" t="s">
        <v>760</v>
      </c>
      <c r="F410" s="58" t="s">
        <v>761</v>
      </c>
      <c r="G410" s="58" t="s">
        <v>764</v>
      </c>
      <c r="H410" s="58" t="s">
        <v>765</v>
      </c>
      <c r="I410" s="58" t="s">
        <v>439</v>
      </c>
      <c r="J410" s="34">
        <v>1000</v>
      </c>
      <c r="K410" s="34">
        <v>1000</v>
      </c>
      <c r="L410" s="34">
        <v>0</v>
      </c>
      <c r="M410" s="37">
        <v>48280</v>
      </c>
      <c r="N410" s="34">
        <v>0</v>
      </c>
      <c r="O410" s="40">
        <v>0</v>
      </c>
    </row>
    <row r="411" spans="1:15">
      <c r="B411" s="55">
        <v>399</v>
      </c>
      <c r="C411" s="58">
        <v>51</v>
      </c>
      <c r="D411" s="58"/>
      <c r="E411" s="58" t="s">
        <v>766</v>
      </c>
      <c r="F411" s="58" t="s">
        <v>767</v>
      </c>
      <c r="G411" s="58" t="s">
        <v>768</v>
      </c>
      <c r="H411" s="58" t="s">
        <v>381</v>
      </c>
      <c r="I411" s="58" t="s">
        <v>164</v>
      </c>
      <c r="J411" s="34">
        <v>15984</v>
      </c>
      <c r="K411" s="34">
        <v>15984</v>
      </c>
      <c r="L411" s="34">
        <v>0</v>
      </c>
      <c r="M411" s="37">
        <v>1938060</v>
      </c>
      <c r="N411" s="34">
        <v>1440</v>
      </c>
      <c r="O411" s="40">
        <v>174600</v>
      </c>
    </row>
    <row r="412" spans="1:15">
      <c r="B412" s="55">
        <v>400</v>
      </c>
      <c r="C412" s="58">
        <v>51</v>
      </c>
      <c r="D412" s="58"/>
      <c r="E412" s="58" t="s">
        <v>766</v>
      </c>
      <c r="F412" s="58" t="s">
        <v>767</v>
      </c>
      <c r="G412" s="58" t="s">
        <v>769</v>
      </c>
      <c r="H412" s="58" t="s">
        <v>770</v>
      </c>
      <c r="I412" s="58" t="s">
        <v>771</v>
      </c>
      <c r="J412" s="34">
        <v>2928</v>
      </c>
      <c r="K412" s="34">
        <v>2928</v>
      </c>
      <c r="L412" s="34">
        <v>0</v>
      </c>
      <c r="M412" s="37">
        <v>334641.12</v>
      </c>
      <c r="N412" s="34">
        <v>816</v>
      </c>
      <c r="O412" s="40">
        <v>93260.64</v>
      </c>
    </row>
    <row r="413" spans="1:15">
      <c r="B413" s="55">
        <v>401</v>
      </c>
      <c r="C413" s="58">
        <v>51</v>
      </c>
      <c r="D413" s="58"/>
      <c r="E413" s="58" t="s">
        <v>766</v>
      </c>
      <c r="F413" s="58" t="s">
        <v>767</v>
      </c>
      <c r="G413" s="58" t="s">
        <v>772</v>
      </c>
      <c r="H413" s="58" t="s">
        <v>381</v>
      </c>
      <c r="I413" s="60" t="s">
        <v>763</v>
      </c>
      <c r="J413" s="34">
        <v>5360</v>
      </c>
      <c r="K413" s="34">
        <v>5360</v>
      </c>
      <c r="L413" s="34">
        <v>0</v>
      </c>
      <c r="M413" s="37">
        <v>583972</v>
      </c>
      <c r="N413" s="34">
        <v>360</v>
      </c>
      <c r="O413" s="40">
        <v>39222</v>
      </c>
    </row>
    <row r="414" spans="1:15">
      <c r="B414" s="55">
        <v>402</v>
      </c>
      <c r="C414" s="58">
        <v>51</v>
      </c>
      <c r="D414" s="58"/>
      <c r="E414" s="58" t="s">
        <v>766</v>
      </c>
      <c r="F414" s="58" t="s">
        <v>767</v>
      </c>
      <c r="G414" s="58" t="s">
        <v>606</v>
      </c>
      <c r="H414" s="58" t="s">
        <v>381</v>
      </c>
      <c r="I414" s="58" t="s">
        <v>607</v>
      </c>
      <c r="J414" s="34">
        <v>9880</v>
      </c>
      <c r="K414" s="34">
        <v>9880</v>
      </c>
      <c r="L414" s="34">
        <v>0</v>
      </c>
      <c r="M414" s="37">
        <v>1727913.2</v>
      </c>
      <c r="N414" s="34">
        <v>1160</v>
      </c>
      <c r="O414" s="40">
        <v>202872.4</v>
      </c>
    </row>
    <row r="415" spans="1:15">
      <c r="B415" s="55">
        <v>403</v>
      </c>
      <c r="C415" s="58">
        <v>51</v>
      </c>
      <c r="D415" s="58"/>
      <c r="E415" s="58" t="s">
        <v>766</v>
      </c>
      <c r="F415" s="58" t="s">
        <v>767</v>
      </c>
      <c r="G415" s="58" t="s">
        <v>773</v>
      </c>
      <c r="H415" s="58" t="s">
        <v>381</v>
      </c>
      <c r="I415" s="58" t="s">
        <v>774</v>
      </c>
      <c r="J415" s="34">
        <v>120</v>
      </c>
      <c r="K415" s="34">
        <v>120</v>
      </c>
      <c r="L415" s="34">
        <v>0</v>
      </c>
      <c r="M415" s="37">
        <v>25306.8</v>
      </c>
      <c r="N415" s="34">
        <v>0</v>
      </c>
      <c r="O415" s="40">
        <v>0</v>
      </c>
    </row>
    <row r="416" spans="1:15">
      <c r="B416" s="55">
        <v>404</v>
      </c>
      <c r="C416" s="58">
        <v>51</v>
      </c>
      <c r="D416" s="58"/>
      <c r="E416" s="58" t="s">
        <v>775</v>
      </c>
      <c r="F416" s="58" t="s">
        <v>776</v>
      </c>
      <c r="G416" s="58" t="s">
        <v>777</v>
      </c>
      <c r="H416" s="58" t="s">
        <v>778</v>
      </c>
      <c r="I416" s="58">
        <v>270</v>
      </c>
      <c r="J416" s="34">
        <v>0</v>
      </c>
      <c r="K416" s="34">
        <v>0</v>
      </c>
      <c r="L416" s="34">
        <v>0</v>
      </c>
      <c r="M416" s="37">
        <v>0</v>
      </c>
      <c r="N416" s="34">
        <v>0</v>
      </c>
      <c r="O416" s="40">
        <v>0</v>
      </c>
    </row>
    <row r="417" spans="1:15">
      <c r="B417" s="55">
        <v>405</v>
      </c>
      <c r="C417" s="58">
        <v>51</v>
      </c>
      <c r="D417" s="58"/>
      <c r="E417" s="58" t="s">
        <v>775</v>
      </c>
      <c r="F417" s="58" t="s">
        <v>776</v>
      </c>
      <c r="G417" s="58" t="s">
        <v>779</v>
      </c>
      <c r="H417" s="58" t="s">
        <v>780</v>
      </c>
      <c r="I417" s="58" t="s">
        <v>258</v>
      </c>
      <c r="J417" s="34">
        <v>0</v>
      </c>
      <c r="K417" s="34">
        <v>0</v>
      </c>
      <c r="L417" s="34">
        <v>0</v>
      </c>
      <c r="M417" s="37">
        <v>0</v>
      </c>
      <c r="N417" s="34">
        <v>16</v>
      </c>
      <c r="O417" s="40">
        <v>1265.12</v>
      </c>
    </row>
    <row r="418" spans="1:15">
      <c r="B418" s="55">
        <v>406</v>
      </c>
      <c r="C418" s="58">
        <v>51</v>
      </c>
      <c r="D418" s="58"/>
      <c r="E418" s="58" t="s">
        <v>775</v>
      </c>
      <c r="F418" s="58" t="s">
        <v>776</v>
      </c>
      <c r="G418" s="58" t="s">
        <v>781</v>
      </c>
      <c r="H418" s="58" t="s">
        <v>782</v>
      </c>
      <c r="I418" s="58" t="s">
        <v>783</v>
      </c>
      <c r="J418" s="34">
        <v>544</v>
      </c>
      <c r="K418" s="34">
        <v>544</v>
      </c>
      <c r="L418" s="34">
        <v>0</v>
      </c>
      <c r="M418" s="37">
        <v>44553.6</v>
      </c>
      <c r="N418" s="34">
        <v>80</v>
      </c>
      <c r="O418" s="40">
        <v>6552</v>
      </c>
    </row>
    <row r="419" spans="1:15">
      <c r="B419" s="55">
        <v>407</v>
      </c>
      <c r="C419" s="58">
        <v>51</v>
      </c>
      <c r="D419" s="58"/>
      <c r="E419" s="58" t="s">
        <v>775</v>
      </c>
      <c r="F419" s="58" t="s">
        <v>776</v>
      </c>
      <c r="G419" s="58" t="s">
        <v>784</v>
      </c>
      <c r="H419" s="58" t="s">
        <v>785</v>
      </c>
      <c r="I419" s="58" t="s">
        <v>237</v>
      </c>
      <c r="J419" s="34">
        <v>0</v>
      </c>
      <c r="K419" s="34">
        <v>0</v>
      </c>
      <c r="L419" s="34">
        <v>0</v>
      </c>
      <c r="M419" s="37">
        <v>0</v>
      </c>
      <c r="N419" s="34">
        <v>0</v>
      </c>
      <c r="O419" s="40">
        <v>0</v>
      </c>
    </row>
    <row r="420" spans="1:15">
      <c r="B420" s="55">
        <v>408</v>
      </c>
      <c r="C420" s="58">
        <v>51</v>
      </c>
      <c r="D420" s="58"/>
      <c r="E420" s="58" t="s">
        <v>775</v>
      </c>
      <c r="F420" s="58" t="s">
        <v>776</v>
      </c>
      <c r="G420" s="58" t="s">
        <v>786</v>
      </c>
      <c r="H420" s="58" t="s">
        <v>787</v>
      </c>
      <c r="I420" s="58" t="s">
        <v>258</v>
      </c>
      <c r="J420" s="34">
        <v>2000</v>
      </c>
      <c r="K420" s="34">
        <v>2000</v>
      </c>
      <c r="L420" s="34">
        <v>0</v>
      </c>
      <c r="M420" s="37">
        <v>4160</v>
      </c>
      <c r="N420" s="34">
        <v>0</v>
      </c>
      <c r="O420" s="40">
        <v>0</v>
      </c>
    </row>
    <row r="421" spans="1:15">
      <c r="B421" s="55">
        <v>409</v>
      </c>
      <c r="C421" s="58">
        <v>51</v>
      </c>
      <c r="D421" s="58"/>
      <c r="E421" s="58" t="s">
        <v>775</v>
      </c>
      <c r="F421" s="58" t="s">
        <v>776</v>
      </c>
      <c r="G421" s="58" t="s">
        <v>788</v>
      </c>
      <c r="H421" s="58" t="s">
        <v>87</v>
      </c>
      <c r="I421" s="60" t="s">
        <v>209</v>
      </c>
      <c r="J421" s="34">
        <v>2700</v>
      </c>
      <c r="K421" s="34">
        <v>2700</v>
      </c>
      <c r="L421" s="34">
        <v>0</v>
      </c>
      <c r="M421" s="37">
        <v>53838</v>
      </c>
      <c r="N421" s="34">
        <v>420</v>
      </c>
      <c r="O421" s="40">
        <v>8374.799999999999</v>
      </c>
    </row>
    <row r="422" spans="1:15">
      <c r="B422" s="55">
        <v>410</v>
      </c>
      <c r="C422" s="58">
        <v>51</v>
      </c>
      <c r="D422" s="58"/>
      <c r="E422" s="58" t="s">
        <v>775</v>
      </c>
      <c r="F422" s="58" t="s">
        <v>776</v>
      </c>
      <c r="G422" s="58" t="s">
        <v>789</v>
      </c>
      <c r="H422" s="58" t="s">
        <v>790</v>
      </c>
      <c r="I422" s="58" t="s">
        <v>341</v>
      </c>
      <c r="J422" s="34">
        <v>0</v>
      </c>
      <c r="K422" s="34">
        <v>0</v>
      </c>
      <c r="L422" s="34">
        <v>0</v>
      </c>
      <c r="M422" s="37">
        <v>0</v>
      </c>
      <c r="N422" s="34">
        <v>0</v>
      </c>
      <c r="O422" s="40">
        <v>0</v>
      </c>
    </row>
    <row r="423" spans="1:15">
      <c r="B423" s="55">
        <v>411</v>
      </c>
      <c r="C423" s="58">
        <v>51</v>
      </c>
      <c r="D423" s="58"/>
      <c r="E423" s="58" t="s">
        <v>775</v>
      </c>
      <c r="F423" s="58" t="s">
        <v>776</v>
      </c>
      <c r="G423" s="58" t="s">
        <v>791</v>
      </c>
      <c r="H423" s="58" t="s">
        <v>792</v>
      </c>
      <c r="I423" s="58" t="s">
        <v>258</v>
      </c>
      <c r="J423" s="34">
        <v>0</v>
      </c>
      <c r="K423" s="34">
        <v>0</v>
      </c>
      <c r="L423" s="34">
        <v>0</v>
      </c>
      <c r="M423" s="37">
        <v>0</v>
      </c>
      <c r="N423" s="34">
        <v>16</v>
      </c>
      <c r="O423" s="40">
        <v>1265.12</v>
      </c>
    </row>
    <row r="424" spans="1:15">
      <c r="B424" s="55">
        <v>412</v>
      </c>
      <c r="C424" s="58">
        <v>51</v>
      </c>
      <c r="D424" s="58"/>
      <c r="E424" s="58" t="s">
        <v>775</v>
      </c>
      <c r="F424" s="58" t="s">
        <v>776</v>
      </c>
      <c r="G424" s="58" t="s">
        <v>793</v>
      </c>
      <c r="H424" s="58" t="s">
        <v>794</v>
      </c>
      <c r="I424" s="58" t="s">
        <v>285</v>
      </c>
      <c r="J424" s="34">
        <v>0</v>
      </c>
      <c r="K424" s="34">
        <v>0</v>
      </c>
      <c r="L424" s="34">
        <v>0</v>
      </c>
      <c r="M424" s="37">
        <v>0</v>
      </c>
      <c r="N424" s="34">
        <v>0</v>
      </c>
      <c r="O424" s="40">
        <v>0</v>
      </c>
    </row>
    <row r="425" spans="1:15">
      <c r="B425" s="55">
        <v>413</v>
      </c>
      <c r="C425" s="58">
        <v>51</v>
      </c>
      <c r="D425" s="58"/>
      <c r="E425" s="58" t="s">
        <v>775</v>
      </c>
      <c r="F425" s="58" t="s">
        <v>776</v>
      </c>
      <c r="G425" s="58" t="s">
        <v>795</v>
      </c>
      <c r="H425" s="58" t="s">
        <v>451</v>
      </c>
      <c r="I425" s="58" t="s">
        <v>55</v>
      </c>
      <c r="J425" s="34">
        <v>15120</v>
      </c>
      <c r="K425" s="34">
        <v>15120</v>
      </c>
      <c r="L425" s="34">
        <v>0</v>
      </c>
      <c r="M425" s="37">
        <v>301644</v>
      </c>
      <c r="N425" s="34">
        <v>675</v>
      </c>
      <c r="O425" s="40">
        <v>13466.25</v>
      </c>
    </row>
    <row r="426" spans="1:15">
      <c r="B426" s="55">
        <v>414</v>
      </c>
      <c r="C426" s="58">
        <v>51</v>
      </c>
      <c r="D426" s="58"/>
      <c r="E426" s="58" t="s">
        <v>775</v>
      </c>
      <c r="F426" s="58" t="s">
        <v>776</v>
      </c>
      <c r="G426" s="58" t="s">
        <v>796</v>
      </c>
      <c r="H426" s="58" t="s">
        <v>797</v>
      </c>
      <c r="I426" s="58" t="s">
        <v>258</v>
      </c>
      <c r="J426" s="34">
        <v>2000</v>
      </c>
      <c r="K426" s="34">
        <v>2000</v>
      </c>
      <c r="L426" s="34">
        <v>0</v>
      </c>
      <c r="M426" s="37">
        <v>4060</v>
      </c>
      <c r="N426" s="34">
        <v>0</v>
      </c>
      <c r="O426" s="40">
        <v>0</v>
      </c>
    </row>
    <row r="427" spans="1:15">
      <c r="B427" s="55">
        <v>415</v>
      </c>
      <c r="C427" s="58">
        <v>51</v>
      </c>
      <c r="D427" s="58"/>
      <c r="E427" s="58" t="s">
        <v>775</v>
      </c>
      <c r="F427" s="58" t="s">
        <v>776</v>
      </c>
      <c r="G427" s="58" t="s">
        <v>798</v>
      </c>
      <c r="H427" s="58" t="s">
        <v>799</v>
      </c>
      <c r="I427" s="58" t="s">
        <v>258</v>
      </c>
      <c r="J427" s="34">
        <v>1440</v>
      </c>
      <c r="K427" s="34">
        <v>1440</v>
      </c>
      <c r="L427" s="34">
        <v>0</v>
      </c>
      <c r="M427" s="37">
        <v>62035.2</v>
      </c>
      <c r="N427" s="34">
        <v>280</v>
      </c>
      <c r="O427" s="40">
        <v>12062.4</v>
      </c>
    </row>
    <row r="428" spans="1:15">
      <c r="B428" s="55">
        <v>416</v>
      </c>
      <c r="C428" s="58">
        <v>51</v>
      </c>
      <c r="D428" s="58"/>
      <c r="E428" s="58" t="s">
        <v>775</v>
      </c>
      <c r="F428" s="58" t="s">
        <v>776</v>
      </c>
      <c r="G428" s="58" t="s">
        <v>800</v>
      </c>
      <c r="H428" s="58" t="s">
        <v>801</v>
      </c>
      <c r="I428" s="58" t="s">
        <v>802</v>
      </c>
      <c r="J428" s="34">
        <v>1200</v>
      </c>
      <c r="K428" s="34">
        <v>1200</v>
      </c>
      <c r="L428" s="34">
        <v>0</v>
      </c>
      <c r="M428" s="37">
        <v>3828</v>
      </c>
      <c r="N428" s="34">
        <v>600</v>
      </c>
      <c r="O428" s="40">
        <v>1914</v>
      </c>
    </row>
    <row r="429" spans="1:15">
      <c r="B429" s="55">
        <v>417</v>
      </c>
      <c r="C429" s="58">
        <v>51</v>
      </c>
      <c r="D429" s="58"/>
      <c r="E429" s="58" t="s">
        <v>775</v>
      </c>
      <c r="F429" s="58" t="s">
        <v>776</v>
      </c>
      <c r="G429" s="58" t="s">
        <v>803</v>
      </c>
      <c r="H429" s="58" t="s">
        <v>804</v>
      </c>
      <c r="I429" s="58" t="s">
        <v>445</v>
      </c>
      <c r="J429" s="34">
        <v>1000</v>
      </c>
      <c r="K429" s="34">
        <v>1000</v>
      </c>
      <c r="L429" s="34">
        <v>0</v>
      </c>
      <c r="M429" s="37">
        <v>2280</v>
      </c>
      <c r="N429" s="34">
        <v>1000</v>
      </c>
      <c r="O429" s="40">
        <v>2280</v>
      </c>
    </row>
    <row r="430" spans="1:15">
      <c r="B430" s="55">
        <v>418</v>
      </c>
      <c r="C430" s="58">
        <v>51</v>
      </c>
      <c r="D430" s="58"/>
      <c r="E430" s="58" t="s">
        <v>775</v>
      </c>
      <c r="F430" s="58" t="s">
        <v>776</v>
      </c>
      <c r="G430" s="58" t="s">
        <v>805</v>
      </c>
      <c r="H430" s="58" t="s">
        <v>87</v>
      </c>
      <c r="I430" s="58" t="s">
        <v>301</v>
      </c>
      <c r="J430" s="34">
        <v>2760</v>
      </c>
      <c r="K430" s="34">
        <v>2760</v>
      </c>
      <c r="L430" s="34">
        <v>0</v>
      </c>
      <c r="M430" s="37">
        <v>56828.4</v>
      </c>
      <c r="N430" s="34">
        <v>0</v>
      </c>
      <c r="O430" s="40">
        <v>0</v>
      </c>
    </row>
    <row r="431" spans="1:15">
      <c r="B431" s="55">
        <v>419</v>
      </c>
      <c r="C431" s="58">
        <v>51</v>
      </c>
      <c r="D431" s="58"/>
      <c r="E431" s="58" t="s">
        <v>775</v>
      </c>
      <c r="F431" s="58" t="s">
        <v>776</v>
      </c>
      <c r="G431" s="58" t="s">
        <v>806</v>
      </c>
      <c r="H431" s="58" t="s">
        <v>451</v>
      </c>
      <c r="I431" s="60">
        <v>3</v>
      </c>
      <c r="J431" s="34">
        <v>3100</v>
      </c>
      <c r="K431" s="34">
        <v>3100</v>
      </c>
      <c r="L431" s="34">
        <v>0</v>
      </c>
      <c r="M431" s="37">
        <v>65379</v>
      </c>
      <c r="N431" s="34">
        <v>500</v>
      </c>
      <c r="O431" s="40">
        <v>10545</v>
      </c>
    </row>
    <row r="432" spans="1:15">
      <c r="B432" s="55">
        <v>420</v>
      </c>
      <c r="C432" s="58">
        <v>51</v>
      </c>
      <c r="D432" s="58"/>
      <c r="E432" s="58" t="s">
        <v>775</v>
      </c>
      <c r="F432" s="58" t="s">
        <v>776</v>
      </c>
      <c r="G432" s="58" t="s">
        <v>807</v>
      </c>
      <c r="H432" s="58" t="s">
        <v>808</v>
      </c>
      <c r="I432" s="58" t="s">
        <v>339</v>
      </c>
      <c r="J432" s="34">
        <v>0</v>
      </c>
      <c r="K432" s="34">
        <v>0</v>
      </c>
      <c r="L432" s="34">
        <v>0</v>
      </c>
      <c r="M432" s="37">
        <v>0</v>
      </c>
      <c r="N432" s="34">
        <v>0</v>
      </c>
      <c r="O432" s="40">
        <v>0</v>
      </c>
    </row>
    <row r="433" spans="1:15">
      <c r="B433" s="55">
        <v>421</v>
      </c>
      <c r="C433" s="58">
        <v>51</v>
      </c>
      <c r="D433" s="58"/>
      <c r="E433" s="58" t="s">
        <v>775</v>
      </c>
      <c r="F433" s="58" t="s">
        <v>776</v>
      </c>
      <c r="G433" s="58" t="s">
        <v>809</v>
      </c>
      <c r="H433" s="58" t="s">
        <v>787</v>
      </c>
      <c r="I433" s="58" t="s">
        <v>301</v>
      </c>
      <c r="J433" s="34">
        <v>0</v>
      </c>
      <c r="K433" s="34">
        <v>0</v>
      </c>
      <c r="L433" s="34">
        <v>0</v>
      </c>
      <c r="M433" s="37">
        <v>0</v>
      </c>
      <c r="N433" s="34">
        <v>0</v>
      </c>
      <c r="O433" s="40">
        <v>0</v>
      </c>
    </row>
    <row r="434" spans="1:15">
      <c r="B434" s="55">
        <v>422</v>
      </c>
      <c r="C434" s="58">
        <v>51</v>
      </c>
      <c r="D434" s="58"/>
      <c r="E434" s="58" t="s">
        <v>775</v>
      </c>
      <c r="F434" s="58" t="s">
        <v>776</v>
      </c>
      <c r="G434" s="58" t="s">
        <v>810</v>
      </c>
      <c r="H434" s="58" t="s">
        <v>451</v>
      </c>
      <c r="I434" s="58" t="s">
        <v>811</v>
      </c>
      <c r="J434" s="34">
        <v>5400</v>
      </c>
      <c r="K434" s="34">
        <v>5400</v>
      </c>
      <c r="L434" s="34">
        <v>0</v>
      </c>
      <c r="M434" s="37">
        <v>94662</v>
      </c>
      <c r="N434" s="34">
        <v>600</v>
      </c>
      <c r="O434" s="40">
        <v>10518</v>
      </c>
    </row>
    <row r="435" spans="1:15">
      <c r="B435" s="55">
        <v>423</v>
      </c>
      <c r="C435" s="58">
        <v>51</v>
      </c>
      <c r="D435" s="58"/>
      <c r="E435" s="58" t="s">
        <v>775</v>
      </c>
      <c r="F435" s="58" t="s">
        <v>776</v>
      </c>
      <c r="G435" s="58" t="s">
        <v>812</v>
      </c>
      <c r="H435" s="58" t="s">
        <v>289</v>
      </c>
      <c r="I435" s="58" t="s">
        <v>813</v>
      </c>
      <c r="J435" s="34">
        <v>30000</v>
      </c>
      <c r="K435" s="34">
        <v>30000</v>
      </c>
      <c r="L435" s="34">
        <v>0</v>
      </c>
      <c r="M435" s="37">
        <v>40200</v>
      </c>
      <c r="N435" s="34">
        <v>0</v>
      </c>
      <c r="O435" s="40">
        <v>0</v>
      </c>
    </row>
    <row r="436" spans="1:15">
      <c r="B436" s="55">
        <v>424</v>
      </c>
      <c r="C436" s="58">
        <v>51</v>
      </c>
      <c r="D436" s="58"/>
      <c r="E436" s="58" t="s">
        <v>775</v>
      </c>
      <c r="F436" s="58" t="s">
        <v>776</v>
      </c>
      <c r="G436" s="58" t="s">
        <v>814</v>
      </c>
      <c r="H436" s="58" t="s">
        <v>815</v>
      </c>
      <c r="I436" s="58" t="s">
        <v>816</v>
      </c>
      <c r="J436" s="34">
        <v>5000</v>
      </c>
      <c r="K436" s="34">
        <v>5000</v>
      </c>
      <c r="L436" s="34">
        <v>0</v>
      </c>
      <c r="M436" s="37">
        <v>10780</v>
      </c>
      <c r="N436" s="34">
        <v>1000</v>
      </c>
      <c r="O436" s="40">
        <v>2420</v>
      </c>
    </row>
    <row r="437" spans="1:15">
      <c r="B437" s="55">
        <v>425</v>
      </c>
      <c r="C437" s="58">
        <v>51</v>
      </c>
      <c r="D437" s="58"/>
      <c r="E437" s="58" t="s">
        <v>775</v>
      </c>
      <c r="F437" s="58" t="s">
        <v>776</v>
      </c>
      <c r="G437" s="58" t="s">
        <v>817</v>
      </c>
      <c r="H437" s="58" t="s">
        <v>818</v>
      </c>
      <c r="I437" s="58" t="s">
        <v>548</v>
      </c>
      <c r="J437" s="34">
        <v>1440</v>
      </c>
      <c r="K437" s="34">
        <v>1440</v>
      </c>
      <c r="L437" s="34">
        <v>0</v>
      </c>
      <c r="M437" s="37">
        <v>11462.4</v>
      </c>
      <c r="N437" s="34">
        <v>240</v>
      </c>
      <c r="O437" s="40">
        <v>2160</v>
      </c>
    </row>
    <row r="438" spans="1:15">
      <c r="B438" s="55">
        <v>426</v>
      </c>
      <c r="C438" s="58">
        <v>51</v>
      </c>
      <c r="D438" s="58"/>
      <c r="E438" s="58" t="s">
        <v>775</v>
      </c>
      <c r="F438" s="58" t="s">
        <v>776</v>
      </c>
      <c r="G438" s="58" t="s">
        <v>819</v>
      </c>
      <c r="H438" s="58" t="s">
        <v>820</v>
      </c>
      <c r="I438" s="58" t="s">
        <v>351</v>
      </c>
      <c r="J438" s="34">
        <v>16000</v>
      </c>
      <c r="K438" s="34">
        <v>16000</v>
      </c>
      <c r="L438" s="34">
        <v>0</v>
      </c>
      <c r="M438" s="37">
        <v>19200</v>
      </c>
      <c r="N438" s="34">
        <v>1600</v>
      </c>
      <c r="O438" s="40">
        <v>1920</v>
      </c>
    </row>
    <row r="439" spans="1:15">
      <c r="B439" s="55">
        <v>427</v>
      </c>
      <c r="C439" s="58">
        <v>51</v>
      </c>
      <c r="D439" s="58"/>
      <c r="E439" s="58" t="s">
        <v>775</v>
      </c>
      <c r="F439" s="58" t="s">
        <v>776</v>
      </c>
      <c r="G439" s="58" t="s">
        <v>821</v>
      </c>
      <c r="H439" s="58" t="s">
        <v>822</v>
      </c>
      <c r="I439" s="58" t="s">
        <v>237</v>
      </c>
      <c r="J439" s="34">
        <v>0</v>
      </c>
      <c r="K439" s="34">
        <v>0</v>
      </c>
      <c r="L439" s="34">
        <v>0</v>
      </c>
      <c r="M439" s="37">
        <v>0</v>
      </c>
      <c r="N439" s="34">
        <v>0</v>
      </c>
      <c r="O439" s="40">
        <v>0</v>
      </c>
    </row>
    <row r="440" spans="1:15">
      <c r="B440" s="55">
        <v>428</v>
      </c>
      <c r="C440" s="58">
        <v>51</v>
      </c>
      <c r="D440" s="58"/>
      <c r="E440" s="58" t="s">
        <v>775</v>
      </c>
      <c r="F440" s="58" t="s">
        <v>776</v>
      </c>
      <c r="G440" s="58" t="s">
        <v>823</v>
      </c>
      <c r="H440" s="58" t="s">
        <v>804</v>
      </c>
      <c r="I440" s="58" t="s">
        <v>824</v>
      </c>
      <c r="J440" s="34">
        <v>0</v>
      </c>
      <c r="K440" s="34">
        <v>0</v>
      </c>
      <c r="L440" s="34">
        <v>0</v>
      </c>
      <c r="M440" s="37">
        <v>0</v>
      </c>
      <c r="N440" s="34">
        <v>0</v>
      </c>
      <c r="O440" s="40">
        <v>0</v>
      </c>
    </row>
    <row r="441" spans="1:15">
      <c r="B441" s="55">
        <v>429</v>
      </c>
      <c r="C441" s="58">
        <v>51</v>
      </c>
      <c r="D441" s="58"/>
      <c r="E441" s="58" t="s">
        <v>775</v>
      </c>
      <c r="F441" s="58" t="s">
        <v>776</v>
      </c>
      <c r="G441" s="58" t="s">
        <v>825</v>
      </c>
      <c r="H441" s="58" t="s">
        <v>826</v>
      </c>
      <c r="I441" s="58" t="s">
        <v>301</v>
      </c>
      <c r="J441" s="34">
        <v>1700</v>
      </c>
      <c r="K441" s="34">
        <v>1700</v>
      </c>
      <c r="L441" s="34">
        <v>0</v>
      </c>
      <c r="M441" s="37">
        <v>38624</v>
      </c>
      <c r="N441" s="34">
        <v>0</v>
      </c>
      <c r="O441" s="40">
        <v>0</v>
      </c>
    </row>
    <row r="442" spans="1:15">
      <c r="B442" s="55">
        <v>430</v>
      </c>
      <c r="C442" s="58">
        <v>51</v>
      </c>
      <c r="D442" s="58"/>
      <c r="E442" s="58" t="s">
        <v>775</v>
      </c>
      <c r="F442" s="58" t="s">
        <v>776</v>
      </c>
      <c r="G442" s="58" t="s">
        <v>827</v>
      </c>
      <c r="H442" s="58" t="s">
        <v>828</v>
      </c>
      <c r="I442" s="58" t="s">
        <v>548</v>
      </c>
      <c r="J442" s="34">
        <v>512</v>
      </c>
      <c r="K442" s="34">
        <v>512</v>
      </c>
      <c r="L442" s="34">
        <v>0</v>
      </c>
      <c r="M442" s="37">
        <v>41932.8</v>
      </c>
      <c r="N442" s="34">
        <v>88</v>
      </c>
      <c r="O442" s="40">
        <v>7207.2</v>
      </c>
    </row>
    <row r="443" spans="1:15">
      <c r="B443" s="55">
        <v>431</v>
      </c>
      <c r="C443" s="58">
        <v>51</v>
      </c>
      <c r="D443" s="58"/>
      <c r="E443" s="58" t="s">
        <v>775</v>
      </c>
      <c r="F443" s="58" t="s">
        <v>776</v>
      </c>
      <c r="G443" s="58" t="s">
        <v>829</v>
      </c>
      <c r="H443" s="58" t="s">
        <v>830</v>
      </c>
      <c r="I443" s="58" t="s">
        <v>831</v>
      </c>
      <c r="J443" s="34">
        <v>300</v>
      </c>
      <c r="K443" s="34">
        <v>300</v>
      </c>
      <c r="L443" s="34">
        <v>0</v>
      </c>
      <c r="M443" s="37">
        <v>32247</v>
      </c>
      <c r="N443" s="34">
        <v>60</v>
      </c>
      <c r="O443" s="40">
        <v>6449.4</v>
      </c>
    </row>
    <row r="444" spans="1:15">
      <c r="B444" s="55">
        <v>432</v>
      </c>
      <c r="C444" s="58">
        <v>51</v>
      </c>
      <c r="D444" s="58"/>
      <c r="E444" s="58" t="s">
        <v>775</v>
      </c>
      <c r="F444" s="58" t="s">
        <v>776</v>
      </c>
      <c r="G444" s="58" t="s">
        <v>832</v>
      </c>
      <c r="H444" s="58" t="s">
        <v>833</v>
      </c>
      <c r="I444" s="58" t="s">
        <v>237</v>
      </c>
      <c r="J444" s="34">
        <v>0</v>
      </c>
      <c r="K444" s="34">
        <v>0</v>
      </c>
      <c r="L444" s="34">
        <v>0</v>
      </c>
      <c r="M444" s="37">
        <v>0</v>
      </c>
      <c r="N444" s="34">
        <v>0</v>
      </c>
      <c r="O444" s="40">
        <v>0</v>
      </c>
    </row>
    <row r="445" spans="1:15">
      <c r="B445" s="55">
        <v>433</v>
      </c>
      <c r="C445" s="58">
        <v>51</v>
      </c>
      <c r="D445" s="58"/>
      <c r="E445" s="58" t="s">
        <v>775</v>
      </c>
      <c r="F445" s="58" t="s">
        <v>776</v>
      </c>
      <c r="G445" s="58" t="s">
        <v>834</v>
      </c>
      <c r="H445" s="58" t="s">
        <v>835</v>
      </c>
      <c r="I445" s="58" t="s">
        <v>703</v>
      </c>
      <c r="J445" s="34">
        <v>0</v>
      </c>
      <c r="K445" s="34">
        <v>0</v>
      </c>
      <c r="L445" s="34">
        <v>0</v>
      </c>
      <c r="M445" s="37">
        <v>0</v>
      </c>
      <c r="N445" s="34">
        <v>0</v>
      </c>
      <c r="O445" s="40">
        <v>0</v>
      </c>
    </row>
    <row r="446" spans="1:15">
      <c r="B446" s="55">
        <v>434</v>
      </c>
      <c r="C446" s="58">
        <v>51</v>
      </c>
      <c r="D446" s="58"/>
      <c r="E446" s="58" t="s">
        <v>775</v>
      </c>
      <c r="F446" s="58" t="s">
        <v>776</v>
      </c>
      <c r="G446" s="58" t="s">
        <v>836</v>
      </c>
      <c r="H446" s="58" t="s">
        <v>837</v>
      </c>
      <c r="I446" s="58" t="s">
        <v>838</v>
      </c>
      <c r="J446" s="34">
        <v>2640</v>
      </c>
      <c r="K446" s="34">
        <v>2640</v>
      </c>
      <c r="L446" s="34">
        <v>0</v>
      </c>
      <c r="M446" s="37">
        <v>21859.2</v>
      </c>
      <c r="N446" s="34">
        <v>240</v>
      </c>
      <c r="O446" s="40">
        <v>1987.2</v>
      </c>
    </row>
    <row r="447" spans="1:15">
      <c r="B447" s="55">
        <v>435</v>
      </c>
      <c r="C447" s="58">
        <v>51</v>
      </c>
      <c r="D447" s="58"/>
      <c r="E447" s="58" t="s">
        <v>775</v>
      </c>
      <c r="F447" s="58" t="s">
        <v>776</v>
      </c>
      <c r="G447" s="58" t="s">
        <v>839</v>
      </c>
      <c r="H447" s="58" t="s">
        <v>840</v>
      </c>
      <c r="I447" s="58" t="s">
        <v>237</v>
      </c>
      <c r="J447" s="34">
        <v>0</v>
      </c>
      <c r="K447" s="34">
        <v>0</v>
      </c>
      <c r="L447" s="34">
        <v>0</v>
      </c>
      <c r="M447" s="37">
        <v>0</v>
      </c>
      <c r="N447" s="34">
        <v>0</v>
      </c>
      <c r="O447" s="40">
        <v>0</v>
      </c>
    </row>
    <row r="448" spans="1:15">
      <c r="B448" s="55">
        <v>436</v>
      </c>
      <c r="C448" s="58">
        <v>51</v>
      </c>
      <c r="D448" s="58"/>
      <c r="E448" s="58" t="s">
        <v>775</v>
      </c>
      <c r="F448" s="58" t="s">
        <v>776</v>
      </c>
      <c r="G448" s="58" t="s">
        <v>841</v>
      </c>
      <c r="H448" s="58" t="s">
        <v>842</v>
      </c>
      <c r="I448" s="58" t="s">
        <v>339</v>
      </c>
      <c r="J448" s="34">
        <v>0</v>
      </c>
      <c r="K448" s="34">
        <v>0</v>
      </c>
      <c r="L448" s="34">
        <v>0</v>
      </c>
      <c r="M448" s="37">
        <v>0</v>
      </c>
      <c r="N448" s="34">
        <v>0</v>
      </c>
      <c r="O448" s="40">
        <v>0</v>
      </c>
    </row>
    <row r="449" spans="1:15">
      <c r="B449" s="55">
        <v>437</v>
      </c>
      <c r="C449" s="58">
        <v>51</v>
      </c>
      <c r="D449" s="58"/>
      <c r="E449" s="58" t="s">
        <v>775</v>
      </c>
      <c r="F449" s="58" t="s">
        <v>776</v>
      </c>
      <c r="G449" s="58" t="s">
        <v>843</v>
      </c>
      <c r="H449" s="58" t="s">
        <v>787</v>
      </c>
      <c r="I449" s="58" t="s">
        <v>301</v>
      </c>
      <c r="J449" s="34">
        <v>2000</v>
      </c>
      <c r="K449" s="34">
        <v>2000</v>
      </c>
      <c r="L449" s="34">
        <v>0</v>
      </c>
      <c r="M449" s="37">
        <v>5020</v>
      </c>
      <c r="N449" s="34">
        <v>0</v>
      </c>
      <c r="O449" s="40">
        <v>0</v>
      </c>
    </row>
    <row r="450" spans="1:15">
      <c r="B450" s="55">
        <v>438</v>
      </c>
      <c r="C450" s="58">
        <v>51</v>
      </c>
      <c r="D450" s="58"/>
      <c r="E450" s="58" t="s">
        <v>844</v>
      </c>
      <c r="F450" s="58" t="s">
        <v>845</v>
      </c>
      <c r="G450" s="58" t="s">
        <v>846</v>
      </c>
      <c r="H450" s="58" t="s">
        <v>847</v>
      </c>
      <c r="I450" s="58" t="s">
        <v>240</v>
      </c>
      <c r="J450" s="34">
        <v>3600</v>
      </c>
      <c r="K450" s="34">
        <v>3600</v>
      </c>
      <c r="L450" s="34">
        <v>0</v>
      </c>
      <c r="M450" s="37">
        <v>93132</v>
      </c>
      <c r="N450" s="34">
        <v>2400</v>
      </c>
      <c r="O450" s="40">
        <v>61536</v>
      </c>
    </row>
    <row r="451" spans="1:15">
      <c r="B451" s="55">
        <v>439</v>
      </c>
      <c r="C451" s="58">
        <v>51</v>
      </c>
      <c r="D451" s="58"/>
      <c r="E451" s="58" t="s">
        <v>844</v>
      </c>
      <c r="F451" s="58" t="s">
        <v>845</v>
      </c>
      <c r="G451" s="58" t="s">
        <v>848</v>
      </c>
      <c r="H451" s="58" t="s">
        <v>849</v>
      </c>
      <c r="I451" s="58" t="s">
        <v>517</v>
      </c>
      <c r="J451" s="34">
        <v>21600</v>
      </c>
      <c r="K451" s="34">
        <v>21600</v>
      </c>
      <c r="L451" s="34">
        <v>0</v>
      </c>
      <c r="M451" s="37">
        <v>572616</v>
      </c>
      <c r="N451" s="34">
        <v>2400</v>
      </c>
      <c r="O451" s="40">
        <v>63048</v>
      </c>
    </row>
    <row r="452" spans="1:15">
      <c r="B452" s="55">
        <v>440</v>
      </c>
      <c r="C452" s="58">
        <v>51</v>
      </c>
      <c r="D452" s="58"/>
      <c r="E452" s="58" t="s">
        <v>844</v>
      </c>
      <c r="F452" s="58" t="s">
        <v>845</v>
      </c>
      <c r="G452" s="58" t="s">
        <v>850</v>
      </c>
      <c r="H452" s="58" t="s">
        <v>851</v>
      </c>
      <c r="I452" s="60">
        <v>3</v>
      </c>
      <c r="J452" s="34">
        <v>0</v>
      </c>
      <c r="K452" s="34">
        <v>0</v>
      </c>
      <c r="L452" s="34">
        <v>0</v>
      </c>
      <c r="M452" s="37">
        <v>0</v>
      </c>
      <c r="N452" s="34">
        <v>0</v>
      </c>
      <c r="O452" s="40">
        <v>0</v>
      </c>
    </row>
    <row r="453" spans="1:15">
      <c r="B453" s="55">
        <v>441</v>
      </c>
      <c r="C453" s="58">
        <v>51</v>
      </c>
      <c r="D453" s="58"/>
      <c r="E453" s="58" t="s">
        <v>852</v>
      </c>
      <c r="F453" s="58" t="s">
        <v>853</v>
      </c>
      <c r="G453" s="58" t="s">
        <v>854</v>
      </c>
      <c r="H453" s="58" t="s">
        <v>336</v>
      </c>
      <c r="I453" s="58" t="s">
        <v>855</v>
      </c>
      <c r="J453" s="34">
        <v>0</v>
      </c>
      <c r="K453" s="34">
        <v>0</v>
      </c>
      <c r="L453" s="34">
        <v>0</v>
      </c>
      <c r="M453" s="37">
        <v>0</v>
      </c>
      <c r="N453" s="34">
        <v>0</v>
      </c>
      <c r="O453" s="40">
        <v>0</v>
      </c>
    </row>
    <row r="454" spans="1:15">
      <c r="B454" s="55">
        <v>442</v>
      </c>
      <c r="C454" s="58">
        <v>51</v>
      </c>
      <c r="D454" s="58"/>
      <c r="E454" s="58" t="s">
        <v>852</v>
      </c>
      <c r="F454" s="58" t="s">
        <v>853</v>
      </c>
      <c r="G454" s="58" t="s">
        <v>856</v>
      </c>
      <c r="H454" s="58" t="s">
        <v>257</v>
      </c>
      <c r="I454" s="58" t="s">
        <v>857</v>
      </c>
      <c r="J454" s="34">
        <v>14400</v>
      </c>
      <c r="K454" s="34">
        <v>14400</v>
      </c>
      <c r="L454" s="34">
        <v>0</v>
      </c>
      <c r="M454" s="37">
        <v>291600</v>
      </c>
      <c r="N454" s="34">
        <v>4800</v>
      </c>
      <c r="O454" s="40">
        <v>97200</v>
      </c>
    </row>
    <row r="455" spans="1:15">
      <c r="B455" s="55">
        <v>443</v>
      </c>
      <c r="C455" s="58">
        <v>51</v>
      </c>
      <c r="D455" s="58"/>
      <c r="E455" s="58" t="s">
        <v>852</v>
      </c>
      <c r="F455" s="58" t="s">
        <v>853</v>
      </c>
      <c r="G455" s="58" t="s">
        <v>858</v>
      </c>
      <c r="H455" s="58" t="s">
        <v>336</v>
      </c>
      <c r="I455" s="58" t="s">
        <v>857</v>
      </c>
      <c r="J455" s="34">
        <v>0</v>
      </c>
      <c r="K455" s="34">
        <v>0</v>
      </c>
      <c r="L455" s="34">
        <v>0</v>
      </c>
      <c r="M455" s="37">
        <v>0</v>
      </c>
      <c r="N455" s="34">
        <v>0</v>
      </c>
      <c r="O455" s="40">
        <v>0</v>
      </c>
    </row>
    <row r="456" spans="1:15">
      <c r="B456" s="55">
        <v>444</v>
      </c>
      <c r="C456" s="58">
        <v>51</v>
      </c>
      <c r="D456" s="58"/>
      <c r="E456" s="58" t="s">
        <v>852</v>
      </c>
      <c r="F456" s="58" t="s">
        <v>853</v>
      </c>
      <c r="G456" s="58" t="s">
        <v>859</v>
      </c>
      <c r="H456" s="58" t="s">
        <v>336</v>
      </c>
      <c r="I456" s="58" t="s">
        <v>857</v>
      </c>
      <c r="J456" s="34">
        <v>3600</v>
      </c>
      <c r="K456" s="34">
        <v>3600</v>
      </c>
      <c r="L456" s="34">
        <v>0</v>
      </c>
      <c r="M456" s="37">
        <v>65952</v>
      </c>
      <c r="N456" s="34">
        <v>0</v>
      </c>
      <c r="O456" s="40">
        <v>0</v>
      </c>
    </row>
    <row r="457" spans="1:15">
      <c r="B457" s="55">
        <v>445</v>
      </c>
      <c r="C457" s="58">
        <v>51</v>
      </c>
      <c r="D457" s="58"/>
      <c r="E457" s="58" t="s">
        <v>852</v>
      </c>
      <c r="F457" s="58" t="s">
        <v>853</v>
      </c>
      <c r="G457" s="58" t="s">
        <v>860</v>
      </c>
      <c r="H457" s="58" t="s">
        <v>336</v>
      </c>
      <c r="I457" s="58" t="s">
        <v>861</v>
      </c>
      <c r="J457" s="34">
        <v>1800</v>
      </c>
      <c r="K457" s="34">
        <v>1800</v>
      </c>
      <c r="L457" s="34">
        <v>0</v>
      </c>
      <c r="M457" s="37">
        <v>32976</v>
      </c>
      <c r="N457" s="34">
        <v>1200</v>
      </c>
      <c r="O457" s="40">
        <v>21984</v>
      </c>
    </row>
    <row r="458" spans="1:15">
      <c r="B458" s="55">
        <v>446</v>
      </c>
      <c r="C458" s="58">
        <v>51</v>
      </c>
      <c r="D458" s="58"/>
      <c r="E458" s="58" t="s">
        <v>862</v>
      </c>
      <c r="F458" s="58" t="s">
        <v>863</v>
      </c>
      <c r="G458" s="58" t="s">
        <v>864</v>
      </c>
      <c r="H458" s="58" t="s">
        <v>865</v>
      </c>
      <c r="I458" s="58" t="s">
        <v>225</v>
      </c>
      <c r="J458" s="34">
        <v>14000</v>
      </c>
      <c r="K458" s="34">
        <v>14000</v>
      </c>
      <c r="L458" s="34">
        <v>0</v>
      </c>
      <c r="M458" s="37">
        <v>10640</v>
      </c>
      <c r="N458" s="34">
        <v>14000</v>
      </c>
      <c r="O458" s="40">
        <v>10640</v>
      </c>
    </row>
    <row r="459" spans="1:15">
      <c r="B459" s="55">
        <v>447</v>
      </c>
      <c r="C459" s="58">
        <v>51</v>
      </c>
      <c r="D459" s="58"/>
      <c r="E459" s="58" t="s">
        <v>866</v>
      </c>
      <c r="F459" s="58" t="s">
        <v>867</v>
      </c>
      <c r="G459" s="58" t="s">
        <v>868</v>
      </c>
      <c r="H459" s="58" t="s">
        <v>869</v>
      </c>
      <c r="I459" s="58" t="s">
        <v>351</v>
      </c>
      <c r="J459" s="34">
        <v>14400</v>
      </c>
      <c r="K459" s="34">
        <v>14400</v>
      </c>
      <c r="L459" s="34">
        <v>0</v>
      </c>
      <c r="M459" s="37">
        <v>55152</v>
      </c>
      <c r="N459" s="34">
        <v>2100</v>
      </c>
      <c r="O459" s="40">
        <v>8043</v>
      </c>
    </row>
    <row r="460" spans="1:15">
      <c r="B460" s="55">
        <v>448</v>
      </c>
      <c r="C460" s="58">
        <v>51</v>
      </c>
      <c r="D460" s="58"/>
      <c r="E460" s="58" t="s">
        <v>866</v>
      </c>
      <c r="F460" s="58" t="s">
        <v>867</v>
      </c>
      <c r="G460" s="58" t="s">
        <v>870</v>
      </c>
      <c r="H460" s="58" t="s">
        <v>869</v>
      </c>
      <c r="I460" s="58" t="s">
        <v>351</v>
      </c>
      <c r="J460" s="34">
        <v>43800</v>
      </c>
      <c r="K460" s="34">
        <v>43800</v>
      </c>
      <c r="L460" s="34">
        <v>0</v>
      </c>
      <c r="M460" s="37">
        <v>106872</v>
      </c>
      <c r="N460" s="34">
        <v>4200</v>
      </c>
      <c r="O460" s="40">
        <v>10248</v>
      </c>
    </row>
    <row r="461" spans="1:15">
      <c r="B461" s="55">
        <v>449</v>
      </c>
      <c r="C461" s="58">
        <v>51</v>
      </c>
      <c r="D461" s="58"/>
      <c r="E461" s="58" t="s">
        <v>866</v>
      </c>
      <c r="F461" s="58" t="s">
        <v>867</v>
      </c>
      <c r="G461" s="58" t="s">
        <v>871</v>
      </c>
      <c r="H461" s="58" t="s">
        <v>872</v>
      </c>
      <c r="I461" s="58" t="s">
        <v>301</v>
      </c>
      <c r="J461" s="34">
        <v>10200</v>
      </c>
      <c r="K461" s="34">
        <v>10200</v>
      </c>
      <c r="L461" s="34">
        <v>0</v>
      </c>
      <c r="M461" s="37">
        <v>17136</v>
      </c>
      <c r="N461" s="34">
        <v>1200</v>
      </c>
      <c r="O461" s="40">
        <v>2016</v>
      </c>
    </row>
    <row r="462" spans="1:15">
      <c r="B462" s="55">
        <v>450</v>
      </c>
      <c r="C462" s="58">
        <v>51</v>
      </c>
      <c r="D462" s="58"/>
      <c r="E462" s="58" t="s">
        <v>866</v>
      </c>
      <c r="F462" s="58" t="s">
        <v>867</v>
      </c>
      <c r="G462" s="58" t="s">
        <v>873</v>
      </c>
      <c r="H462" s="58" t="s">
        <v>874</v>
      </c>
      <c r="I462" s="60" t="s">
        <v>209</v>
      </c>
      <c r="J462" s="34">
        <v>0</v>
      </c>
      <c r="K462" s="34">
        <v>0</v>
      </c>
      <c r="L462" s="34">
        <v>0</v>
      </c>
      <c r="M462" s="37">
        <v>0</v>
      </c>
      <c r="N462" s="34">
        <v>0</v>
      </c>
      <c r="O462" s="40">
        <v>0</v>
      </c>
    </row>
    <row r="463" spans="1:15">
      <c r="B463" s="55">
        <v>451</v>
      </c>
      <c r="C463" s="58">
        <v>51</v>
      </c>
      <c r="D463" s="58"/>
      <c r="E463" s="58" t="s">
        <v>866</v>
      </c>
      <c r="F463" s="58" t="s">
        <v>867</v>
      </c>
      <c r="G463" s="58" t="s">
        <v>875</v>
      </c>
      <c r="H463" s="58" t="s">
        <v>869</v>
      </c>
      <c r="I463" s="58" t="s">
        <v>351</v>
      </c>
      <c r="J463" s="34">
        <v>0</v>
      </c>
      <c r="K463" s="34">
        <v>0</v>
      </c>
      <c r="L463" s="34">
        <v>0</v>
      </c>
      <c r="M463" s="37">
        <v>0</v>
      </c>
      <c r="N463" s="34">
        <v>0</v>
      </c>
      <c r="O463" s="40">
        <v>0</v>
      </c>
    </row>
    <row r="464" spans="1:15">
      <c r="B464" s="55">
        <v>452</v>
      </c>
      <c r="C464" s="58">
        <v>51</v>
      </c>
      <c r="D464" s="58"/>
      <c r="E464" s="58" t="s">
        <v>876</v>
      </c>
      <c r="F464" s="58" t="s">
        <v>877</v>
      </c>
      <c r="G464" s="58" t="s">
        <v>878</v>
      </c>
      <c r="H464" s="58" t="s">
        <v>322</v>
      </c>
      <c r="I464" s="58" t="s">
        <v>293</v>
      </c>
      <c r="J464" s="34">
        <v>54000</v>
      </c>
      <c r="K464" s="34">
        <v>54000</v>
      </c>
      <c r="L464" s="34">
        <v>0</v>
      </c>
      <c r="M464" s="37">
        <v>102600</v>
      </c>
      <c r="N464" s="34">
        <v>15000</v>
      </c>
      <c r="O464" s="40">
        <v>28500</v>
      </c>
    </row>
    <row r="465" spans="1:15">
      <c r="B465" s="55">
        <v>453</v>
      </c>
      <c r="C465" s="58">
        <v>51</v>
      </c>
      <c r="D465" s="58"/>
      <c r="E465" s="58" t="s">
        <v>876</v>
      </c>
      <c r="F465" s="58" t="s">
        <v>877</v>
      </c>
      <c r="G465" s="58" t="s">
        <v>879</v>
      </c>
      <c r="H465" s="58" t="s">
        <v>880</v>
      </c>
      <c r="I465" s="58" t="s">
        <v>351</v>
      </c>
      <c r="J465" s="34">
        <v>18000</v>
      </c>
      <c r="K465" s="34">
        <v>18000</v>
      </c>
      <c r="L465" s="34">
        <v>0</v>
      </c>
      <c r="M465" s="37">
        <v>16200</v>
      </c>
      <c r="N465" s="34">
        <v>0</v>
      </c>
      <c r="O465" s="40">
        <v>0</v>
      </c>
    </row>
    <row r="466" spans="1:15">
      <c r="B466" s="55">
        <v>454</v>
      </c>
      <c r="C466" s="58">
        <v>51</v>
      </c>
      <c r="D466" s="58"/>
      <c r="E466" s="58" t="s">
        <v>881</v>
      </c>
      <c r="F466" s="58" t="s">
        <v>882</v>
      </c>
      <c r="G466" s="58" t="s">
        <v>883</v>
      </c>
      <c r="H466" s="58" t="s">
        <v>25</v>
      </c>
      <c r="I466" s="58" t="s">
        <v>884</v>
      </c>
      <c r="J466" s="34">
        <v>1740</v>
      </c>
      <c r="K466" s="34">
        <v>1740</v>
      </c>
      <c r="L466" s="34">
        <v>0</v>
      </c>
      <c r="M466" s="37">
        <v>222859.2</v>
      </c>
      <c r="N466" s="34">
        <v>0</v>
      </c>
      <c r="O466" s="40">
        <v>0</v>
      </c>
    </row>
    <row r="467" spans="1:15">
      <c r="B467" s="55">
        <v>455</v>
      </c>
      <c r="C467" s="58">
        <v>51</v>
      </c>
      <c r="D467" s="58"/>
      <c r="E467" s="58" t="s">
        <v>881</v>
      </c>
      <c r="F467" s="58" t="s">
        <v>882</v>
      </c>
      <c r="G467" s="58" t="s">
        <v>885</v>
      </c>
      <c r="H467" s="58" t="s">
        <v>886</v>
      </c>
      <c r="I467" s="58" t="s">
        <v>266</v>
      </c>
      <c r="J467" s="34">
        <v>10230</v>
      </c>
      <c r="K467" s="34">
        <v>10050</v>
      </c>
      <c r="L467" s="34">
        <v>-180</v>
      </c>
      <c r="M467" s="37">
        <v>4601292</v>
      </c>
      <c r="N467" s="34">
        <v>1560</v>
      </c>
      <c r="O467" s="40">
        <v>695557.2</v>
      </c>
    </row>
    <row r="468" spans="1:15">
      <c r="B468" s="55">
        <v>456</v>
      </c>
      <c r="C468" s="58">
        <v>51</v>
      </c>
      <c r="D468" s="58"/>
      <c r="E468" s="58" t="s">
        <v>881</v>
      </c>
      <c r="F468" s="58" t="s">
        <v>882</v>
      </c>
      <c r="G468" s="58" t="s">
        <v>887</v>
      </c>
      <c r="H468" s="58" t="s">
        <v>886</v>
      </c>
      <c r="I468" s="58" t="s">
        <v>266</v>
      </c>
      <c r="J468" s="34">
        <v>480</v>
      </c>
      <c r="K468" s="34">
        <v>480</v>
      </c>
      <c r="L468" s="34">
        <v>0</v>
      </c>
      <c r="M468" s="37">
        <v>226886.4</v>
      </c>
      <c r="N468" s="34">
        <v>0</v>
      </c>
      <c r="O468" s="40">
        <v>0</v>
      </c>
    </row>
    <row r="469" spans="1:15">
      <c r="B469" s="55">
        <v>457</v>
      </c>
      <c r="C469" s="58">
        <v>51</v>
      </c>
      <c r="D469" s="58"/>
      <c r="E469" s="58" t="s">
        <v>881</v>
      </c>
      <c r="F469" s="58" t="s">
        <v>882</v>
      </c>
      <c r="G469" s="58" t="s">
        <v>888</v>
      </c>
      <c r="H469" s="58" t="s">
        <v>889</v>
      </c>
      <c r="I469" s="58" t="s">
        <v>258</v>
      </c>
      <c r="J469" s="34">
        <v>2100</v>
      </c>
      <c r="K469" s="34">
        <v>2100</v>
      </c>
      <c r="L469" s="34">
        <v>0</v>
      </c>
      <c r="M469" s="37">
        <v>971775</v>
      </c>
      <c r="N469" s="34">
        <v>0</v>
      </c>
      <c r="O469" s="40">
        <v>0</v>
      </c>
    </row>
    <row r="470" spans="1:15">
      <c r="B470" s="55">
        <v>458</v>
      </c>
      <c r="C470" s="58">
        <v>51</v>
      </c>
      <c r="D470" s="58"/>
      <c r="E470" s="58" t="s">
        <v>890</v>
      </c>
      <c r="F470" s="58" t="s">
        <v>891</v>
      </c>
      <c r="G470" s="58" t="s">
        <v>892</v>
      </c>
      <c r="H470" s="58" t="s">
        <v>880</v>
      </c>
      <c r="I470" s="58" t="s">
        <v>893</v>
      </c>
      <c r="J470" s="34">
        <v>15000</v>
      </c>
      <c r="K470" s="34">
        <v>15000</v>
      </c>
      <c r="L470" s="34">
        <v>0</v>
      </c>
      <c r="M470" s="37">
        <v>13800</v>
      </c>
      <c r="N470" s="34">
        <v>15000</v>
      </c>
      <c r="O470" s="40">
        <v>13800</v>
      </c>
    </row>
    <row r="471" spans="1:15">
      <c r="B471" s="55">
        <v>459</v>
      </c>
      <c r="C471" s="58">
        <v>51</v>
      </c>
      <c r="D471" s="58"/>
      <c r="E471" s="58" t="s">
        <v>894</v>
      </c>
      <c r="F471" s="58" t="s">
        <v>895</v>
      </c>
      <c r="G471" s="58" t="s">
        <v>896</v>
      </c>
      <c r="H471" s="58" t="s">
        <v>897</v>
      </c>
      <c r="I471" s="58" t="s">
        <v>240</v>
      </c>
      <c r="J471" s="34">
        <v>12000</v>
      </c>
      <c r="K471" s="34">
        <v>12000</v>
      </c>
      <c r="L471" s="34">
        <v>0</v>
      </c>
      <c r="M471" s="37">
        <v>111600</v>
      </c>
      <c r="N471" s="34">
        <v>6000</v>
      </c>
      <c r="O471" s="40">
        <v>55800</v>
      </c>
    </row>
    <row r="472" spans="1:15">
      <c r="B472" s="55">
        <v>460</v>
      </c>
      <c r="C472" s="58">
        <v>51</v>
      </c>
      <c r="D472" s="58"/>
      <c r="E472" s="58" t="s">
        <v>894</v>
      </c>
      <c r="F472" s="58" t="s">
        <v>895</v>
      </c>
      <c r="G472" s="58" t="s">
        <v>898</v>
      </c>
      <c r="H472" s="58" t="s">
        <v>899</v>
      </c>
      <c r="I472" s="58" t="s">
        <v>339</v>
      </c>
      <c r="J472" s="34">
        <v>0</v>
      </c>
      <c r="K472" s="34">
        <v>0</v>
      </c>
      <c r="L472" s="34">
        <v>0</v>
      </c>
      <c r="M472" s="37">
        <v>0</v>
      </c>
      <c r="N472" s="34">
        <v>0</v>
      </c>
      <c r="O472" s="40">
        <v>0</v>
      </c>
    </row>
    <row r="473" spans="1:15">
      <c r="B473" s="55">
        <v>461</v>
      </c>
      <c r="C473" s="58">
        <v>51</v>
      </c>
      <c r="D473" s="58"/>
      <c r="E473" s="58" t="s">
        <v>900</v>
      </c>
      <c r="F473" s="58" t="s">
        <v>901</v>
      </c>
      <c r="G473" s="58" t="s">
        <v>902</v>
      </c>
      <c r="H473" s="58" t="s">
        <v>508</v>
      </c>
      <c r="I473" s="58" t="s">
        <v>290</v>
      </c>
      <c r="J473" s="34">
        <v>9000</v>
      </c>
      <c r="K473" s="34">
        <v>9000</v>
      </c>
      <c r="L473" s="34">
        <v>0</v>
      </c>
      <c r="M473" s="37">
        <v>41670</v>
      </c>
      <c r="N473" s="34">
        <v>4000</v>
      </c>
      <c r="O473" s="40">
        <v>18520</v>
      </c>
    </row>
    <row r="474" spans="1:15">
      <c r="B474" s="55">
        <v>462</v>
      </c>
      <c r="C474" s="58">
        <v>51</v>
      </c>
      <c r="D474" s="58"/>
      <c r="E474" s="58" t="s">
        <v>903</v>
      </c>
      <c r="F474" s="58" t="s">
        <v>904</v>
      </c>
      <c r="G474" s="58" t="s">
        <v>905</v>
      </c>
      <c r="H474" s="58" t="s">
        <v>464</v>
      </c>
      <c r="I474" s="58" t="s">
        <v>293</v>
      </c>
      <c r="J474" s="34">
        <v>8100</v>
      </c>
      <c r="K474" s="34">
        <v>8100</v>
      </c>
      <c r="L474" s="34">
        <v>0</v>
      </c>
      <c r="M474" s="37">
        <v>12150</v>
      </c>
      <c r="N474" s="34">
        <v>1200</v>
      </c>
      <c r="O474" s="40">
        <v>1800</v>
      </c>
    </row>
    <row r="475" spans="1:15">
      <c r="B475" s="55">
        <v>463</v>
      </c>
      <c r="C475" s="58">
        <v>51</v>
      </c>
      <c r="D475" s="58"/>
      <c r="E475" s="58" t="s">
        <v>903</v>
      </c>
      <c r="F475" s="58" t="s">
        <v>904</v>
      </c>
      <c r="G475" s="58" t="s">
        <v>906</v>
      </c>
      <c r="H475" s="58" t="s">
        <v>464</v>
      </c>
      <c r="I475" s="58" t="s">
        <v>290</v>
      </c>
      <c r="J475" s="34">
        <v>0</v>
      </c>
      <c r="K475" s="34">
        <v>0</v>
      </c>
      <c r="L475" s="34">
        <v>0</v>
      </c>
      <c r="M475" s="37">
        <v>0</v>
      </c>
      <c r="N475" s="34">
        <v>0</v>
      </c>
      <c r="O475" s="40">
        <v>0</v>
      </c>
    </row>
    <row r="476" spans="1:15">
      <c r="B476" s="55">
        <v>464</v>
      </c>
      <c r="C476" s="58">
        <v>51</v>
      </c>
      <c r="D476" s="58"/>
      <c r="E476" s="58" t="s">
        <v>907</v>
      </c>
      <c r="F476" s="58" t="s">
        <v>908</v>
      </c>
      <c r="G476" s="58" t="s">
        <v>909</v>
      </c>
      <c r="H476" s="58" t="s">
        <v>87</v>
      </c>
      <c r="I476" s="58" t="s">
        <v>528</v>
      </c>
      <c r="J476" s="34">
        <v>0</v>
      </c>
      <c r="K476" s="34">
        <v>0</v>
      </c>
      <c r="L476" s="34">
        <v>0</v>
      </c>
      <c r="M476" s="37">
        <v>0</v>
      </c>
      <c r="N476" s="34">
        <v>0</v>
      </c>
      <c r="O476" s="40">
        <v>0</v>
      </c>
    </row>
    <row r="477" spans="1:15">
      <c r="B477" s="55">
        <v>465</v>
      </c>
      <c r="C477" s="58">
        <v>51</v>
      </c>
      <c r="D477" s="58"/>
      <c r="E477" s="58" t="s">
        <v>910</v>
      </c>
      <c r="F477" s="58" t="s">
        <v>911</v>
      </c>
      <c r="G477" s="58" t="s">
        <v>912</v>
      </c>
      <c r="H477" s="58" t="s">
        <v>913</v>
      </c>
      <c r="I477" s="58" t="s">
        <v>339</v>
      </c>
      <c r="J477" s="34">
        <v>0</v>
      </c>
      <c r="K477" s="34">
        <v>0</v>
      </c>
      <c r="L477" s="34">
        <v>0</v>
      </c>
      <c r="M477" s="37">
        <v>0</v>
      </c>
      <c r="N477" s="34">
        <v>0</v>
      </c>
      <c r="O477" s="40">
        <v>0</v>
      </c>
    </row>
    <row r="478" spans="1:15">
      <c r="B478" s="55">
        <v>466</v>
      </c>
      <c r="C478" s="58">
        <v>52</v>
      </c>
      <c r="D478" s="58"/>
      <c r="E478" s="58" t="s">
        <v>914</v>
      </c>
      <c r="F478" s="58" t="s">
        <v>915</v>
      </c>
      <c r="G478" s="58" t="s">
        <v>916</v>
      </c>
      <c r="H478" s="58" t="s">
        <v>917</v>
      </c>
      <c r="I478" s="58" t="s">
        <v>918</v>
      </c>
      <c r="J478" s="34">
        <v>6006</v>
      </c>
      <c r="K478" s="34">
        <v>5544</v>
      </c>
      <c r="L478" s="34">
        <v>-462</v>
      </c>
      <c r="M478" s="37">
        <v>1099098</v>
      </c>
      <c r="N478" s="34">
        <v>1848</v>
      </c>
      <c r="O478" s="40">
        <v>366366</v>
      </c>
    </row>
    <row r="479" spans="1:15">
      <c r="B479" s="55">
        <v>467</v>
      </c>
      <c r="C479" s="58">
        <v>52</v>
      </c>
      <c r="D479" s="58"/>
      <c r="E479" s="58" t="s">
        <v>914</v>
      </c>
      <c r="F479" s="58" t="s">
        <v>915</v>
      </c>
      <c r="G479" s="58" t="s">
        <v>919</v>
      </c>
      <c r="H479" s="58" t="s">
        <v>920</v>
      </c>
      <c r="I479" s="58" t="s">
        <v>921</v>
      </c>
      <c r="J479" s="34">
        <v>6500</v>
      </c>
      <c r="K479" s="34">
        <v>6500</v>
      </c>
      <c r="L479" s="34">
        <v>0</v>
      </c>
      <c r="M479" s="37">
        <v>823485</v>
      </c>
      <c r="N479" s="34">
        <v>3900</v>
      </c>
      <c r="O479" s="40">
        <v>494091</v>
      </c>
    </row>
    <row r="480" spans="1:15">
      <c r="B480" s="55">
        <v>468</v>
      </c>
      <c r="C480" s="58">
        <v>52</v>
      </c>
      <c r="D480" s="58"/>
      <c r="E480" s="58" t="s">
        <v>914</v>
      </c>
      <c r="F480" s="58" t="s">
        <v>915</v>
      </c>
      <c r="G480" s="58" t="s">
        <v>922</v>
      </c>
      <c r="H480" s="58" t="s">
        <v>920</v>
      </c>
      <c r="I480" s="58" t="s">
        <v>923</v>
      </c>
      <c r="J480" s="34">
        <v>0</v>
      </c>
      <c r="K480" s="34">
        <v>0</v>
      </c>
      <c r="L480" s="34">
        <v>0</v>
      </c>
      <c r="M480" s="37">
        <v>0</v>
      </c>
      <c r="N480" s="34">
        <v>0</v>
      </c>
      <c r="O480" s="40">
        <v>0</v>
      </c>
    </row>
    <row r="481" spans="1:15">
      <c r="B481" s="55">
        <v>469</v>
      </c>
      <c r="C481" s="58">
        <v>52</v>
      </c>
      <c r="D481" s="58"/>
      <c r="E481" s="58" t="s">
        <v>914</v>
      </c>
      <c r="F481" s="58" t="s">
        <v>915</v>
      </c>
      <c r="G481" s="58" t="s">
        <v>924</v>
      </c>
      <c r="H481" s="58" t="s">
        <v>917</v>
      </c>
      <c r="I481" s="58" t="s">
        <v>925</v>
      </c>
      <c r="J481" s="34">
        <v>0</v>
      </c>
      <c r="K481" s="34">
        <v>0</v>
      </c>
      <c r="L481" s="34">
        <v>0</v>
      </c>
      <c r="M481" s="37">
        <v>0</v>
      </c>
      <c r="N481" s="34">
        <v>0</v>
      </c>
      <c r="O481" s="40">
        <v>0</v>
      </c>
    </row>
    <row r="482" spans="1:15">
      <c r="B482" s="55">
        <v>470</v>
      </c>
      <c r="C482" s="58">
        <v>51</v>
      </c>
      <c r="D482" s="58"/>
      <c r="E482" s="58" t="s">
        <v>914</v>
      </c>
      <c r="F482" s="58" t="s">
        <v>915</v>
      </c>
      <c r="G482" s="58" t="s">
        <v>926</v>
      </c>
      <c r="H482" s="58" t="s">
        <v>927</v>
      </c>
      <c r="I482" s="58" t="s">
        <v>928</v>
      </c>
      <c r="J482" s="34">
        <v>800</v>
      </c>
      <c r="K482" s="34">
        <v>800</v>
      </c>
      <c r="L482" s="34">
        <v>0</v>
      </c>
      <c r="M482" s="37">
        <v>193560</v>
      </c>
      <c r="N482" s="34">
        <v>0</v>
      </c>
      <c r="O482" s="40">
        <v>0</v>
      </c>
    </row>
    <row r="483" spans="1:15">
      <c r="B483" s="55">
        <v>471</v>
      </c>
      <c r="C483" s="58">
        <v>52</v>
      </c>
      <c r="D483" s="58"/>
      <c r="E483" s="58" t="s">
        <v>914</v>
      </c>
      <c r="F483" s="58" t="s">
        <v>915</v>
      </c>
      <c r="G483" s="58" t="s">
        <v>929</v>
      </c>
      <c r="H483" s="58" t="s">
        <v>920</v>
      </c>
      <c r="I483" s="58" t="s">
        <v>930</v>
      </c>
      <c r="J483" s="34">
        <v>92160</v>
      </c>
      <c r="K483" s="34">
        <v>92160</v>
      </c>
      <c r="L483" s="34">
        <v>0</v>
      </c>
      <c r="M483" s="37">
        <v>15704985.6</v>
      </c>
      <c r="N483" s="34">
        <v>32832</v>
      </c>
      <c r="O483" s="40">
        <v>5594901.12</v>
      </c>
    </row>
    <row r="484" spans="1:15">
      <c r="B484" s="55">
        <v>472</v>
      </c>
      <c r="C484" s="58">
        <v>52</v>
      </c>
      <c r="D484" s="58"/>
      <c r="E484" s="58" t="s">
        <v>914</v>
      </c>
      <c r="F484" s="58" t="s">
        <v>915</v>
      </c>
      <c r="G484" s="58" t="s">
        <v>931</v>
      </c>
      <c r="H484" s="58" t="s">
        <v>917</v>
      </c>
      <c r="I484" s="58" t="s">
        <v>932</v>
      </c>
      <c r="J484" s="34">
        <v>0</v>
      </c>
      <c r="K484" s="34">
        <v>0</v>
      </c>
      <c r="L484" s="34">
        <v>0</v>
      </c>
      <c r="M484" s="37">
        <v>0</v>
      </c>
      <c r="N484" s="34">
        <v>0</v>
      </c>
      <c r="O484" s="40">
        <v>0</v>
      </c>
    </row>
    <row r="485" spans="1:15">
      <c r="B485" s="55">
        <v>473</v>
      </c>
      <c r="C485" s="58">
        <v>52</v>
      </c>
      <c r="D485" s="58"/>
      <c r="E485" s="58" t="s">
        <v>914</v>
      </c>
      <c r="F485" s="58" t="s">
        <v>915</v>
      </c>
      <c r="G485" s="58" t="s">
        <v>933</v>
      </c>
      <c r="H485" s="58" t="s">
        <v>920</v>
      </c>
      <c r="I485" s="58" t="s">
        <v>934</v>
      </c>
      <c r="J485" s="34">
        <v>39520</v>
      </c>
      <c r="K485" s="34">
        <v>39520</v>
      </c>
      <c r="L485" s="34">
        <v>0</v>
      </c>
      <c r="M485" s="37">
        <v>6839726.4</v>
      </c>
      <c r="N485" s="34">
        <v>9120</v>
      </c>
      <c r="O485" s="40">
        <v>1578398.4</v>
      </c>
    </row>
    <row r="486" spans="1:15">
      <c r="B486" s="55">
        <v>474</v>
      </c>
      <c r="C486" s="58">
        <v>51</v>
      </c>
      <c r="D486" s="58"/>
      <c r="E486" s="58" t="s">
        <v>914</v>
      </c>
      <c r="F486" s="58" t="s">
        <v>915</v>
      </c>
      <c r="G486" s="58" t="s">
        <v>935</v>
      </c>
      <c r="H486" s="58" t="s">
        <v>936</v>
      </c>
      <c r="I486" s="58" t="s">
        <v>928</v>
      </c>
      <c r="J486" s="34">
        <v>2000</v>
      </c>
      <c r="K486" s="34">
        <v>1800</v>
      </c>
      <c r="L486" s="34">
        <v>-200</v>
      </c>
      <c r="M486" s="37">
        <v>898398</v>
      </c>
      <c r="N486" s="34">
        <v>400</v>
      </c>
      <c r="O486" s="40">
        <v>199644</v>
      </c>
    </row>
    <row r="487" spans="1:15">
      <c r="B487" s="55">
        <v>475</v>
      </c>
      <c r="C487" s="58">
        <v>52</v>
      </c>
      <c r="D487" s="58"/>
      <c r="E487" s="58" t="s">
        <v>914</v>
      </c>
      <c r="F487" s="58" t="s">
        <v>915</v>
      </c>
      <c r="G487" s="58" t="s">
        <v>937</v>
      </c>
      <c r="H487" s="58" t="s">
        <v>920</v>
      </c>
      <c r="I487" s="58" t="s">
        <v>938</v>
      </c>
      <c r="J487" s="34">
        <v>51150</v>
      </c>
      <c r="K487" s="34">
        <v>48950</v>
      </c>
      <c r="L487" s="34">
        <v>-2200</v>
      </c>
      <c r="M487" s="37">
        <v>8625969</v>
      </c>
      <c r="N487" s="34">
        <v>3300</v>
      </c>
      <c r="O487" s="40">
        <v>581526</v>
      </c>
    </row>
    <row r="488" spans="1:15">
      <c r="B488" s="55">
        <v>476</v>
      </c>
      <c r="C488" s="58">
        <v>52</v>
      </c>
      <c r="D488" s="58"/>
      <c r="E488" s="58" t="s">
        <v>914</v>
      </c>
      <c r="F488" s="58" t="s">
        <v>915</v>
      </c>
      <c r="G488" s="58" t="s">
        <v>939</v>
      </c>
      <c r="H488" s="58" t="s">
        <v>920</v>
      </c>
      <c r="I488" s="58" t="s">
        <v>940</v>
      </c>
      <c r="J488" s="34">
        <v>0</v>
      </c>
      <c r="K488" s="34">
        <v>0</v>
      </c>
      <c r="L488" s="34">
        <v>0</v>
      </c>
      <c r="M488" s="37">
        <v>0</v>
      </c>
      <c r="N488" s="34">
        <v>1200</v>
      </c>
      <c r="O488" s="40">
        <v>234792</v>
      </c>
    </row>
    <row r="489" spans="1:15">
      <c r="B489" s="55">
        <v>477</v>
      </c>
      <c r="C489" s="58">
        <v>52</v>
      </c>
      <c r="D489" s="58"/>
      <c r="E489" s="58" t="s">
        <v>914</v>
      </c>
      <c r="F489" s="58" t="s">
        <v>915</v>
      </c>
      <c r="G489" s="58" t="s">
        <v>941</v>
      </c>
      <c r="H489" s="58" t="s">
        <v>917</v>
      </c>
      <c r="I489" s="58" t="s">
        <v>942</v>
      </c>
      <c r="J489" s="34">
        <v>0</v>
      </c>
      <c r="K489" s="34">
        <v>0</v>
      </c>
      <c r="L489" s="34">
        <v>0</v>
      </c>
      <c r="M489" s="37">
        <v>0</v>
      </c>
      <c r="N489" s="34">
        <v>0</v>
      </c>
      <c r="O489" s="40">
        <v>0</v>
      </c>
    </row>
    <row r="490" spans="1:15">
      <c r="B490" s="55">
        <v>478</v>
      </c>
      <c r="C490" s="58">
        <v>52</v>
      </c>
      <c r="D490" s="58"/>
      <c r="E490" s="58" t="s">
        <v>914</v>
      </c>
      <c r="F490" s="58" t="s">
        <v>915</v>
      </c>
      <c r="G490" s="58" t="s">
        <v>943</v>
      </c>
      <c r="H490" s="58" t="s">
        <v>920</v>
      </c>
      <c r="I490" s="58" t="s">
        <v>255</v>
      </c>
      <c r="J490" s="34">
        <v>46800</v>
      </c>
      <c r="K490" s="34">
        <v>46800</v>
      </c>
      <c r="L490" s="34">
        <v>0</v>
      </c>
      <c r="M490" s="37">
        <v>5946876</v>
      </c>
      <c r="N490" s="34">
        <v>2700</v>
      </c>
      <c r="O490" s="40">
        <v>343089</v>
      </c>
    </row>
    <row r="491" spans="1:15">
      <c r="B491" s="55">
        <v>479</v>
      </c>
      <c r="C491" s="58">
        <v>52</v>
      </c>
      <c r="D491" s="58"/>
      <c r="E491" s="58" t="s">
        <v>914</v>
      </c>
      <c r="F491" s="58" t="s">
        <v>915</v>
      </c>
      <c r="G491" s="58" t="s">
        <v>944</v>
      </c>
      <c r="H491" s="58" t="s">
        <v>920</v>
      </c>
      <c r="I491" s="58" t="s">
        <v>945</v>
      </c>
      <c r="J491" s="34">
        <v>17000</v>
      </c>
      <c r="K491" s="34">
        <v>17000</v>
      </c>
      <c r="L491" s="34">
        <v>0</v>
      </c>
      <c r="M491" s="37">
        <v>2156620</v>
      </c>
      <c r="N491" s="34">
        <v>4000</v>
      </c>
      <c r="O491" s="40">
        <v>507440</v>
      </c>
    </row>
    <row r="492" spans="1:15">
      <c r="B492" s="55">
        <v>480</v>
      </c>
      <c r="C492" s="58">
        <v>52</v>
      </c>
      <c r="D492" s="58"/>
      <c r="E492" s="58" t="s">
        <v>914</v>
      </c>
      <c r="F492" s="58" t="s">
        <v>915</v>
      </c>
      <c r="G492" s="58" t="s">
        <v>946</v>
      </c>
      <c r="H492" s="58" t="s">
        <v>920</v>
      </c>
      <c r="I492" s="58" t="s">
        <v>947</v>
      </c>
      <c r="J492" s="34">
        <v>11340</v>
      </c>
      <c r="K492" s="34">
        <v>11340</v>
      </c>
      <c r="L492" s="34">
        <v>0</v>
      </c>
      <c r="M492" s="37">
        <v>2861762.4</v>
      </c>
      <c r="N492" s="34">
        <v>4032</v>
      </c>
      <c r="O492" s="40">
        <v>1017515.52</v>
      </c>
    </row>
    <row r="493" spans="1:15">
      <c r="B493" s="55">
        <v>481</v>
      </c>
      <c r="C493" s="58">
        <v>52</v>
      </c>
      <c r="D493" s="58"/>
      <c r="E493" s="58" t="s">
        <v>914</v>
      </c>
      <c r="F493" s="58" t="s">
        <v>915</v>
      </c>
      <c r="G493" s="58" t="s">
        <v>948</v>
      </c>
      <c r="H493" s="58" t="s">
        <v>917</v>
      </c>
      <c r="I493" s="58" t="s">
        <v>949</v>
      </c>
      <c r="J493" s="34">
        <v>300</v>
      </c>
      <c r="K493" s="34">
        <v>0</v>
      </c>
      <c r="L493" s="34">
        <v>-300</v>
      </c>
      <c r="M493" s="37">
        <v>0</v>
      </c>
      <c r="N493" s="34">
        <v>300</v>
      </c>
      <c r="O493" s="40">
        <v>169515</v>
      </c>
    </row>
    <row r="494" spans="1:15">
      <c r="B494" s="55">
        <v>482</v>
      </c>
      <c r="C494" s="58">
        <v>52</v>
      </c>
      <c r="D494" s="58"/>
      <c r="E494" s="58" t="s">
        <v>914</v>
      </c>
      <c r="F494" s="58" t="s">
        <v>915</v>
      </c>
      <c r="G494" s="58" t="s">
        <v>950</v>
      </c>
      <c r="H494" s="58" t="s">
        <v>920</v>
      </c>
      <c r="I494" s="58" t="s">
        <v>951</v>
      </c>
      <c r="J494" s="34">
        <v>16500</v>
      </c>
      <c r="K494" s="34">
        <v>16500</v>
      </c>
      <c r="L494" s="34">
        <v>0</v>
      </c>
      <c r="M494" s="37">
        <v>3215025</v>
      </c>
      <c r="N494" s="34">
        <v>7000</v>
      </c>
      <c r="O494" s="40">
        <v>1363950</v>
      </c>
    </row>
    <row r="495" spans="1:15">
      <c r="B495" s="55">
        <v>483</v>
      </c>
      <c r="C495" s="58">
        <v>52</v>
      </c>
      <c r="D495" s="58"/>
      <c r="E495" s="58" t="s">
        <v>914</v>
      </c>
      <c r="F495" s="58" t="s">
        <v>915</v>
      </c>
      <c r="G495" s="58" t="s">
        <v>952</v>
      </c>
      <c r="H495" s="58" t="s">
        <v>920</v>
      </c>
      <c r="I495" s="58" t="s">
        <v>953</v>
      </c>
      <c r="J495" s="34">
        <v>18850</v>
      </c>
      <c r="K495" s="34">
        <v>18850</v>
      </c>
      <c r="L495" s="34">
        <v>0</v>
      </c>
      <c r="M495" s="37">
        <v>2386975.5</v>
      </c>
      <c r="N495" s="34">
        <v>12350</v>
      </c>
      <c r="O495" s="40">
        <v>1563880.5</v>
      </c>
    </row>
    <row r="496" spans="1:15">
      <c r="B496" s="55">
        <v>484</v>
      </c>
      <c r="C496" s="58">
        <v>52</v>
      </c>
      <c r="D496" s="58"/>
      <c r="E496" s="58" t="s">
        <v>914</v>
      </c>
      <c r="F496" s="58" t="s">
        <v>915</v>
      </c>
      <c r="G496" s="58" t="s">
        <v>952</v>
      </c>
      <c r="H496" s="58" t="s">
        <v>920</v>
      </c>
      <c r="I496" s="58"/>
      <c r="J496" s="34">
        <v>18850</v>
      </c>
      <c r="K496" s="34">
        <v>18850</v>
      </c>
      <c r="L496" s="34">
        <v>0</v>
      </c>
      <c r="M496" s="37">
        <v>2386975.5</v>
      </c>
      <c r="N496" s="34">
        <v>12350</v>
      </c>
      <c r="O496" s="40">
        <v>1563880.5</v>
      </c>
    </row>
    <row r="497" spans="1:15">
      <c r="B497" s="55">
        <v>485</v>
      </c>
      <c r="C497" s="58">
        <v>51</v>
      </c>
      <c r="D497" s="58"/>
      <c r="E497" s="58" t="s">
        <v>954</v>
      </c>
      <c r="F497" s="58" t="s">
        <v>955</v>
      </c>
      <c r="G497" s="58" t="s">
        <v>956</v>
      </c>
      <c r="H497" s="58" t="s">
        <v>957</v>
      </c>
      <c r="I497" s="58" t="s">
        <v>958</v>
      </c>
      <c r="J497" s="34">
        <v>6000</v>
      </c>
      <c r="K497" s="34">
        <v>6000</v>
      </c>
      <c r="L497" s="34">
        <v>0</v>
      </c>
      <c r="M497" s="37">
        <v>3600</v>
      </c>
      <c r="N497" s="34">
        <v>2000</v>
      </c>
      <c r="O497" s="40">
        <v>1200</v>
      </c>
    </row>
    <row r="498" spans="1:15">
      <c r="B498" s="55">
        <v>486</v>
      </c>
      <c r="C498" s="58">
        <v>51</v>
      </c>
      <c r="D498" s="58"/>
      <c r="E498" s="58" t="s">
        <v>954</v>
      </c>
      <c r="F498" s="58" t="s">
        <v>955</v>
      </c>
      <c r="G498" s="58" t="s">
        <v>959</v>
      </c>
      <c r="H498" s="58" t="s">
        <v>957</v>
      </c>
      <c r="I498" s="58" t="s">
        <v>455</v>
      </c>
      <c r="J498" s="34">
        <v>2000</v>
      </c>
      <c r="K498" s="34">
        <v>2000</v>
      </c>
      <c r="L498" s="34">
        <v>0</v>
      </c>
      <c r="M498" s="37">
        <v>1200</v>
      </c>
      <c r="N498" s="34">
        <v>0</v>
      </c>
      <c r="O498" s="40">
        <v>0</v>
      </c>
    </row>
    <row r="499" spans="1:15">
      <c r="B499" s="55">
        <v>487</v>
      </c>
      <c r="C499" s="58">
        <v>51</v>
      </c>
      <c r="D499" s="58"/>
      <c r="E499" s="58" t="s">
        <v>954</v>
      </c>
      <c r="F499" s="58" t="s">
        <v>955</v>
      </c>
      <c r="G499" s="58" t="s">
        <v>960</v>
      </c>
      <c r="H499" s="58" t="s">
        <v>961</v>
      </c>
      <c r="I499" s="58" t="s">
        <v>703</v>
      </c>
      <c r="J499" s="34">
        <v>0</v>
      </c>
      <c r="K499" s="34">
        <v>0</v>
      </c>
      <c r="L499" s="34">
        <v>0</v>
      </c>
      <c r="M499" s="37">
        <v>0</v>
      </c>
      <c r="N499" s="34">
        <v>0</v>
      </c>
      <c r="O499" s="40">
        <v>0</v>
      </c>
    </row>
    <row r="500" spans="1:15">
      <c r="B500" s="55">
        <v>488</v>
      </c>
      <c r="C500" s="58">
        <v>51</v>
      </c>
      <c r="D500" s="58"/>
      <c r="E500" s="58" t="s">
        <v>962</v>
      </c>
      <c r="F500" s="58" t="s">
        <v>963</v>
      </c>
      <c r="G500" s="58" t="s">
        <v>964</v>
      </c>
      <c r="H500" s="58" t="s">
        <v>558</v>
      </c>
      <c r="I500" s="58" t="s">
        <v>965</v>
      </c>
      <c r="J500" s="34">
        <v>12600</v>
      </c>
      <c r="K500" s="34">
        <v>12600</v>
      </c>
      <c r="L500" s="34">
        <v>0</v>
      </c>
      <c r="M500" s="37">
        <v>37800</v>
      </c>
      <c r="N500" s="34">
        <v>3600</v>
      </c>
      <c r="O500" s="40">
        <v>10800</v>
      </c>
    </row>
    <row r="501" spans="1:15">
      <c r="B501" s="55">
        <v>489</v>
      </c>
      <c r="C501" s="58">
        <v>51</v>
      </c>
      <c r="D501" s="58"/>
      <c r="E501" s="58" t="s">
        <v>962</v>
      </c>
      <c r="F501" s="58" t="s">
        <v>963</v>
      </c>
      <c r="G501" s="58" t="s">
        <v>966</v>
      </c>
      <c r="H501" s="58" t="s">
        <v>368</v>
      </c>
      <c r="I501" s="58" t="s">
        <v>88</v>
      </c>
      <c r="J501" s="34">
        <v>0</v>
      </c>
      <c r="K501" s="34">
        <v>0</v>
      </c>
      <c r="L501" s="34">
        <v>0</v>
      </c>
      <c r="M501" s="37">
        <v>0</v>
      </c>
      <c r="N501" s="34">
        <v>0</v>
      </c>
      <c r="O501" s="40">
        <v>0</v>
      </c>
    </row>
    <row r="502" spans="1:15">
      <c r="B502" s="55">
        <v>490</v>
      </c>
      <c r="C502" s="58">
        <v>51</v>
      </c>
      <c r="D502" s="58"/>
      <c r="E502" s="58" t="s">
        <v>962</v>
      </c>
      <c r="F502" s="58" t="s">
        <v>963</v>
      </c>
      <c r="G502" s="58" t="s">
        <v>967</v>
      </c>
      <c r="H502" s="58" t="s">
        <v>562</v>
      </c>
      <c r="I502" s="58" t="s">
        <v>88</v>
      </c>
      <c r="J502" s="34">
        <v>4500</v>
      </c>
      <c r="K502" s="34">
        <v>4500</v>
      </c>
      <c r="L502" s="34">
        <v>0</v>
      </c>
      <c r="M502" s="37">
        <v>9000</v>
      </c>
      <c r="N502" s="34">
        <v>0</v>
      </c>
      <c r="O502" s="40">
        <v>0</v>
      </c>
    </row>
    <row r="503" spans="1:15">
      <c r="B503" s="55">
        <v>491</v>
      </c>
      <c r="C503" s="58">
        <v>51</v>
      </c>
      <c r="D503" s="58"/>
      <c r="E503" s="58" t="s">
        <v>962</v>
      </c>
      <c r="F503" s="58" t="s">
        <v>963</v>
      </c>
      <c r="G503" s="58" t="s">
        <v>968</v>
      </c>
      <c r="H503" s="58" t="s">
        <v>558</v>
      </c>
      <c r="I503" s="58"/>
      <c r="J503" s="34">
        <v>0</v>
      </c>
      <c r="K503" s="34">
        <v>0</v>
      </c>
      <c r="L503" s="34">
        <v>0</v>
      </c>
      <c r="M503" s="37">
        <v>0</v>
      </c>
      <c r="N503" s="34">
        <v>0</v>
      </c>
      <c r="O503" s="40">
        <v>0</v>
      </c>
    </row>
    <row r="504" spans="1:15">
      <c r="B504" s="55">
        <v>492</v>
      </c>
      <c r="C504" s="58">
        <v>51</v>
      </c>
      <c r="D504" s="58"/>
      <c r="E504" s="58" t="s">
        <v>962</v>
      </c>
      <c r="F504" s="58" t="s">
        <v>963</v>
      </c>
      <c r="G504" s="58" t="s">
        <v>969</v>
      </c>
      <c r="H504" s="58" t="s">
        <v>155</v>
      </c>
      <c r="I504" s="58" t="s">
        <v>164</v>
      </c>
      <c r="J504" s="34">
        <v>16200</v>
      </c>
      <c r="K504" s="34">
        <v>16200</v>
      </c>
      <c r="L504" s="34">
        <v>0</v>
      </c>
      <c r="M504" s="37">
        <v>218700</v>
      </c>
      <c r="N504" s="34">
        <v>3600</v>
      </c>
      <c r="O504" s="40">
        <v>48600</v>
      </c>
    </row>
    <row r="505" spans="1:15">
      <c r="B505" s="55">
        <v>493</v>
      </c>
      <c r="C505" s="58">
        <v>51</v>
      </c>
      <c r="D505" s="58"/>
      <c r="E505" s="58" t="s">
        <v>962</v>
      </c>
      <c r="F505" s="58" t="s">
        <v>963</v>
      </c>
      <c r="G505" s="58" t="s">
        <v>970</v>
      </c>
      <c r="H505" s="58" t="s">
        <v>971</v>
      </c>
      <c r="I505" s="58" t="s">
        <v>369</v>
      </c>
      <c r="J505" s="34">
        <v>12000</v>
      </c>
      <c r="K505" s="34">
        <v>12000</v>
      </c>
      <c r="L505" s="34">
        <v>0</v>
      </c>
      <c r="M505" s="37">
        <v>210000</v>
      </c>
      <c r="N505" s="34">
        <v>2400</v>
      </c>
      <c r="O505" s="40">
        <v>42000</v>
      </c>
    </row>
    <row r="506" spans="1:15">
      <c r="B506" s="55">
        <v>494</v>
      </c>
      <c r="C506" s="58">
        <v>51</v>
      </c>
      <c r="D506" s="58"/>
      <c r="E506" s="58" t="s">
        <v>962</v>
      </c>
      <c r="F506" s="58" t="s">
        <v>963</v>
      </c>
      <c r="G506" s="58" t="s">
        <v>972</v>
      </c>
      <c r="H506" s="58" t="s">
        <v>353</v>
      </c>
      <c r="I506" s="58" t="s">
        <v>351</v>
      </c>
      <c r="J506" s="34">
        <v>0</v>
      </c>
      <c r="K506" s="34">
        <v>0</v>
      </c>
      <c r="L506" s="34">
        <v>0</v>
      </c>
      <c r="M506" s="37">
        <v>0</v>
      </c>
      <c r="N506" s="34">
        <v>0</v>
      </c>
      <c r="O506" s="40">
        <v>0</v>
      </c>
    </row>
    <row r="507" spans="1:15">
      <c r="B507" s="55">
        <v>495</v>
      </c>
      <c r="C507" s="58">
        <v>51</v>
      </c>
      <c r="D507" s="58"/>
      <c r="E507" s="58" t="s">
        <v>962</v>
      </c>
      <c r="F507" s="58" t="s">
        <v>963</v>
      </c>
      <c r="G507" s="58" t="s">
        <v>973</v>
      </c>
      <c r="H507" s="58" t="s">
        <v>364</v>
      </c>
      <c r="I507" s="58" t="s">
        <v>280</v>
      </c>
      <c r="J507" s="34">
        <v>0</v>
      </c>
      <c r="K507" s="34">
        <v>0</v>
      </c>
      <c r="L507" s="34">
        <v>0</v>
      </c>
      <c r="M507" s="37">
        <v>0</v>
      </c>
      <c r="N507" s="34">
        <v>0</v>
      </c>
      <c r="O507" s="40">
        <v>0</v>
      </c>
    </row>
    <row r="508" spans="1:15">
      <c r="B508" s="55">
        <v>496</v>
      </c>
      <c r="C508" s="58">
        <v>51</v>
      </c>
      <c r="D508" s="58"/>
      <c r="E508" s="58" t="s">
        <v>962</v>
      </c>
      <c r="F508" s="58" t="s">
        <v>963</v>
      </c>
      <c r="G508" s="58" t="s">
        <v>974</v>
      </c>
      <c r="H508" s="58" t="s">
        <v>358</v>
      </c>
      <c r="I508" s="58" t="s">
        <v>351</v>
      </c>
      <c r="J508" s="34">
        <v>0</v>
      </c>
      <c r="K508" s="34">
        <v>0</v>
      </c>
      <c r="L508" s="34">
        <v>0</v>
      </c>
      <c r="M508" s="37">
        <v>0</v>
      </c>
      <c r="N508" s="34">
        <v>0</v>
      </c>
      <c r="O508" s="40">
        <v>0</v>
      </c>
    </row>
    <row r="509" spans="1:15">
      <c r="B509" s="55">
        <v>497</v>
      </c>
      <c r="C509" s="58">
        <v>51</v>
      </c>
      <c r="D509" s="58"/>
      <c r="E509" s="58" t="s">
        <v>962</v>
      </c>
      <c r="F509" s="58" t="s">
        <v>963</v>
      </c>
      <c r="G509" s="58" t="s">
        <v>975</v>
      </c>
      <c r="H509" s="58" t="s">
        <v>368</v>
      </c>
      <c r="I509" s="58" t="s">
        <v>976</v>
      </c>
      <c r="J509" s="34">
        <v>12540</v>
      </c>
      <c r="K509" s="34">
        <v>13110</v>
      </c>
      <c r="L509" s="34">
        <v>570</v>
      </c>
      <c r="M509" s="37">
        <v>196650</v>
      </c>
      <c r="N509" s="34">
        <v>2850</v>
      </c>
      <c r="O509" s="40">
        <v>42750</v>
      </c>
    </row>
    <row r="510" spans="1:15">
      <c r="B510" s="55">
        <v>498</v>
      </c>
      <c r="C510" s="58">
        <v>51</v>
      </c>
      <c r="D510" s="58"/>
      <c r="E510" s="58" t="s">
        <v>962</v>
      </c>
      <c r="F510" s="58" t="s">
        <v>963</v>
      </c>
      <c r="G510" s="58" t="s">
        <v>977</v>
      </c>
      <c r="H510" s="58" t="s">
        <v>978</v>
      </c>
      <c r="I510" s="58" t="s">
        <v>469</v>
      </c>
      <c r="J510" s="34">
        <v>0</v>
      </c>
      <c r="K510" s="34">
        <v>0</v>
      </c>
      <c r="L510" s="34">
        <v>0</v>
      </c>
      <c r="M510" s="37">
        <v>0</v>
      </c>
      <c r="N510" s="34">
        <v>0</v>
      </c>
      <c r="O510" s="40">
        <v>0</v>
      </c>
    </row>
    <row r="511" spans="1:15">
      <c r="B511" s="55">
        <v>499</v>
      </c>
      <c r="C511" s="58">
        <v>51</v>
      </c>
      <c r="D511" s="58"/>
      <c r="E511" s="58" t="s">
        <v>962</v>
      </c>
      <c r="F511" s="58" t="s">
        <v>963</v>
      </c>
      <c r="G511" s="58" t="s">
        <v>979</v>
      </c>
      <c r="H511" s="58" t="s">
        <v>364</v>
      </c>
      <c r="I511" s="58" t="s">
        <v>280</v>
      </c>
      <c r="J511" s="34">
        <v>6480</v>
      </c>
      <c r="K511" s="34">
        <v>6480</v>
      </c>
      <c r="L511" s="34">
        <v>0</v>
      </c>
      <c r="M511" s="37">
        <v>98820</v>
      </c>
      <c r="N511" s="34">
        <v>1080</v>
      </c>
      <c r="O511" s="40">
        <v>16470</v>
      </c>
    </row>
    <row r="512" spans="1:15">
      <c r="B512" s="55">
        <v>500</v>
      </c>
      <c r="C512" s="58">
        <v>51</v>
      </c>
      <c r="D512" s="58"/>
      <c r="E512" s="58" t="s">
        <v>962</v>
      </c>
      <c r="F512" s="58" t="s">
        <v>963</v>
      </c>
      <c r="G512" s="58" t="s">
        <v>980</v>
      </c>
      <c r="H512" s="58" t="s">
        <v>353</v>
      </c>
      <c r="I512" s="58" t="s">
        <v>277</v>
      </c>
      <c r="J512" s="34">
        <v>13860</v>
      </c>
      <c r="K512" s="34">
        <v>13860</v>
      </c>
      <c r="L512" s="34">
        <v>0</v>
      </c>
      <c r="M512" s="37">
        <v>83160</v>
      </c>
      <c r="N512" s="34">
        <v>2520</v>
      </c>
      <c r="O512" s="40">
        <v>15120</v>
      </c>
    </row>
    <row r="513" spans="1:15">
      <c r="B513" s="55">
        <v>501</v>
      </c>
      <c r="C513" s="58">
        <v>51</v>
      </c>
      <c r="D513" s="58"/>
      <c r="E513" s="58" t="s">
        <v>962</v>
      </c>
      <c r="F513" s="58" t="s">
        <v>963</v>
      </c>
      <c r="G513" s="58" t="s">
        <v>981</v>
      </c>
      <c r="H513" s="58" t="s">
        <v>350</v>
      </c>
      <c r="I513" s="58" t="s">
        <v>982</v>
      </c>
      <c r="J513" s="34">
        <v>0</v>
      </c>
      <c r="K513" s="34">
        <v>0</v>
      </c>
      <c r="L513" s="34">
        <v>0</v>
      </c>
      <c r="M513" s="37">
        <v>0</v>
      </c>
      <c r="N513" s="34">
        <v>0</v>
      </c>
      <c r="O513" s="40">
        <v>0</v>
      </c>
    </row>
    <row r="514" spans="1:15">
      <c r="B514" s="55">
        <v>502</v>
      </c>
      <c r="C514" s="58">
        <v>51</v>
      </c>
      <c r="D514" s="58"/>
      <c r="E514" s="58" t="s">
        <v>962</v>
      </c>
      <c r="F514" s="58" t="s">
        <v>963</v>
      </c>
      <c r="G514" s="58" t="s">
        <v>983</v>
      </c>
      <c r="H514" s="58" t="s">
        <v>984</v>
      </c>
      <c r="I514" s="58" t="s">
        <v>985</v>
      </c>
      <c r="J514" s="34">
        <v>0</v>
      </c>
      <c r="K514" s="34">
        <v>0</v>
      </c>
      <c r="L514" s="34">
        <v>0</v>
      </c>
      <c r="M514" s="37">
        <v>0</v>
      </c>
      <c r="N514" s="34">
        <v>0</v>
      </c>
      <c r="O514" s="40">
        <v>0</v>
      </c>
    </row>
    <row r="515" spans="1:15">
      <c r="B515" s="55">
        <v>503</v>
      </c>
      <c r="C515" s="58">
        <v>51</v>
      </c>
      <c r="D515" s="58"/>
      <c r="E515" s="58" t="s">
        <v>962</v>
      </c>
      <c r="F515" s="58" t="s">
        <v>963</v>
      </c>
      <c r="G515" s="58" t="s">
        <v>986</v>
      </c>
      <c r="H515" s="58" t="s">
        <v>647</v>
      </c>
      <c r="I515" s="58" t="s">
        <v>88</v>
      </c>
      <c r="J515" s="34">
        <v>3360</v>
      </c>
      <c r="K515" s="34">
        <v>3360</v>
      </c>
      <c r="L515" s="34">
        <v>0</v>
      </c>
      <c r="M515" s="37">
        <v>29064</v>
      </c>
      <c r="N515" s="34">
        <v>0</v>
      </c>
      <c r="O515" s="40">
        <v>0</v>
      </c>
    </row>
    <row r="516" spans="1:15">
      <c r="B516" s="55">
        <v>504</v>
      </c>
      <c r="C516" s="58">
        <v>51</v>
      </c>
      <c r="D516" s="58"/>
      <c r="E516" s="58" t="s">
        <v>962</v>
      </c>
      <c r="F516" s="58" t="s">
        <v>963</v>
      </c>
      <c r="G516" s="58" t="s">
        <v>987</v>
      </c>
      <c r="H516" s="58" t="s">
        <v>366</v>
      </c>
      <c r="I516" s="58" t="s">
        <v>164</v>
      </c>
      <c r="J516" s="34">
        <v>15000</v>
      </c>
      <c r="K516" s="34">
        <v>15000</v>
      </c>
      <c r="L516" s="34">
        <v>0</v>
      </c>
      <c r="M516" s="37">
        <v>525000</v>
      </c>
      <c r="N516" s="34">
        <v>4200</v>
      </c>
      <c r="O516" s="40">
        <v>147000</v>
      </c>
    </row>
    <row r="517" spans="1:15">
      <c r="B517" s="55">
        <v>505</v>
      </c>
      <c r="C517" s="58">
        <v>51</v>
      </c>
      <c r="D517" s="58"/>
      <c r="E517" s="58" t="s">
        <v>962</v>
      </c>
      <c r="F517" s="58" t="s">
        <v>963</v>
      </c>
      <c r="G517" s="58" t="s">
        <v>988</v>
      </c>
      <c r="H517" s="58" t="s">
        <v>374</v>
      </c>
      <c r="I517" s="58" t="s">
        <v>266</v>
      </c>
      <c r="J517" s="34">
        <v>14805</v>
      </c>
      <c r="K517" s="34">
        <v>14805</v>
      </c>
      <c r="L517" s="34">
        <v>0</v>
      </c>
      <c r="M517" s="37">
        <v>202828.5</v>
      </c>
      <c r="N517" s="34">
        <v>3525</v>
      </c>
      <c r="O517" s="40">
        <v>48292.5</v>
      </c>
    </row>
    <row r="518" spans="1:15">
      <c r="B518" s="55">
        <v>506</v>
      </c>
      <c r="C518" s="58">
        <v>51</v>
      </c>
      <c r="D518" s="58"/>
      <c r="E518" s="58" t="s">
        <v>962</v>
      </c>
      <c r="F518" s="58" t="s">
        <v>963</v>
      </c>
      <c r="G518" s="58" t="s">
        <v>989</v>
      </c>
      <c r="H518" s="58" t="s">
        <v>990</v>
      </c>
      <c r="I518" s="58" t="s">
        <v>985</v>
      </c>
      <c r="J518" s="34">
        <v>14250</v>
      </c>
      <c r="K518" s="34">
        <v>14250</v>
      </c>
      <c r="L518" s="34">
        <v>0</v>
      </c>
      <c r="M518" s="37">
        <v>213750</v>
      </c>
      <c r="N518" s="34">
        <v>2280</v>
      </c>
      <c r="O518" s="40">
        <v>34200</v>
      </c>
    </row>
    <row r="519" spans="1:15">
      <c r="B519" s="55">
        <v>507</v>
      </c>
      <c r="C519" s="58">
        <v>51</v>
      </c>
      <c r="D519" s="58"/>
      <c r="E519" s="58" t="s">
        <v>991</v>
      </c>
      <c r="F519" s="58" t="s">
        <v>992</v>
      </c>
      <c r="G519" s="58" t="s">
        <v>993</v>
      </c>
      <c r="H519" s="58" t="s">
        <v>994</v>
      </c>
      <c r="I519" s="58" t="s">
        <v>995</v>
      </c>
      <c r="J519" s="34">
        <v>132000</v>
      </c>
      <c r="K519" s="34">
        <v>132000</v>
      </c>
      <c r="L519" s="34">
        <v>0</v>
      </c>
      <c r="M519" s="37">
        <v>59400</v>
      </c>
      <c r="N519" s="34">
        <v>18000</v>
      </c>
      <c r="O519" s="40">
        <v>8100</v>
      </c>
    </row>
    <row r="520" spans="1:15">
      <c r="B520" s="55">
        <v>508</v>
      </c>
      <c r="C520" s="58">
        <v>51</v>
      </c>
      <c r="D520" s="58"/>
      <c r="E520" s="58" t="s">
        <v>991</v>
      </c>
      <c r="F520" s="58" t="s">
        <v>992</v>
      </c>
      <c r="G520" s="58" t="s">
        <v>996</v>
      </c>
      <c r="H520" s="58" t="s">
        <v>994</v>
      </c>
      <c r="I520" s="58" t="s">
        <v>323</v>
      </c>
      <c r="J520" s="34">
        <v>0</v>
      </c>
      <c r="K520" s="34">
        <v>0</v>
      </c>
      <c r="L520" s="34">
        <v>0</v>
      </c>
      <c r="M520" s="37">
        <v>0</v>
      </c>
      <c r="N520" s="34">
        <v>3000</v>
      </c>
      <c r="O520" s="40">
        <v>1530</v>
      </c>
    </row>
    <row r="521" spans="1:15">
      <c r="B521" s="55">
        <v>509</v>
      </c>
      <c r="C521" s="58">
        <v>51</v>
      </c>
      <c r="D521" s="58"/>
      <c r="E521" s="58" t="s">
        <v>991</v>
      </c>
      <c r="F521" s="58" t="s">
        <v>992</v>
      </c>
      <c r="G521" s="58" t="s">
        <v>997</v>
      </c>
      <c r="H521" s="58" t="s">
        <v>872</v>
      </c>
      <c r="I521" s="58" t="s">
        <v>258</v>
      </c>
      <c r="J521" s="34">
        <v>12000</v>
      </c>
      <c r="K521" s="34">
        <v>12000</v>
      </c>
      <c r="L521" s="34">
        <v>0</v>
      </c>
      <c r="M521" s="37">
        <v>10200</v>
      </c>
      <c r="N521" s="34">
        <v>0</v>
      </c>
      <c r="O521" s="40">
        <v>0</v>
      </c>
    </row>
    <row r="522" spans="1:15">
      <c r="B522" s="55">
        <v>510</v>
      </c>
      <c r="C522" s="58">
        <v>51</v>
      </c>
      <c r="D522" s="58"/>
      <c r="E522" s="58" t="s">
        <v>991</v>
      </c>
      <c r="F522" s="58" t="s">
        <v>992</v>
      </c>
      <c r="G522" s="58" t="s">
        <v>998</v>
      </c>
      <c r="H522" s="58" t="s">
        <v>872</v>
      </c>
      <c r="I522" s="58" t="s">
        <v>999</v>
      </c>
      <c r="J522" s="34">
        <v>0</v>
      </c>
      <c r="K522" s="34">
        <v>0</v>
      </c>
      <c r="L522" s="34">
        <v>0</v>
      </c>
      <c r="M522" s="37">
        <v>0</v>
      </c>
      <c r="N522" s="34">
        <v>0</v>
      </c>
      <c r="O522" s="40">
        <v>0</v>
      </c>
    </row>
    <row r="523" spans="1:15">
      <c r="B523" s="55">
        <v>511</v>
      </c>
      <c r="C523" s="58">
        <v>51</v>
      </c>
      <c r="D523" s="58"/>
      <c r="E523" s="58" t="s">
        <v>991</v>
      </c>
      <c r="F523" s="58" t="s">
        <v>992</v>
      </c>
      <c r="G523" s="58" t="s">
        <v>1000</v>
      </c>
      <c r="H523" s="58" t="s">
        <v>994</v>
      </c>
      <c r="I523" s="58" t="s">
        <v>1001</v>
      </c>
      <c r="J523" s="34">
        <v>15000</v>
      </c>
      <c r="K523" s="34">
        <v>15000</v>
      </c>
      <c r="L523" s="34">
        <v>0</v>
      </c>
      <c r="M523" s="37">
        <v>6000</v>
      </c>
      <c r="N523" s="34">
        <v>3000</v>
      </c>
      <c r="O523" s="40">
        <v>1200</v>
      </c>
    </row>
    <row r="524" spans="1:15">
      <c r="B524" s="55">
        <v>512</v>
      </c>
      <c r="C524" s="58">
        <v>51</v>
      </c>
      <c r="D524" s="58"/>
      <c r="E524" s="58" t="s">
        <v>991</v>
      </c>
      <c r="F524" s="58" t="s">
        <v>992</v>
      </c>
      <c r="G524" s="58" t="s">
        <v>1002</v>
      </c>
      <c r="H524" s="58" t="s">
        <v>872</v>
      </c>
      <c r="I524" s="58" t="s">
        <v>999</v>
      </c>
      <c r="J524" s="34">
        <v>0</v>
      </c>
      <c r="K524" s="34">
        <v>0</v>
      </c>
      <c r="L524" s="34">
        <v>0</v>
      </c>
      <c r="M524" s="37">
        <v>0</v>
      </c>
      <c r="N524" s="34">
        <v>0</v>
      </c>
      <c r="O524" s="40">
        <v>0</v>
      </c>
    </row>
    <row r="525" spans="1:15">
      <c r="B525" s="55">
        <v>513</v>
      </c>
      <c r="C525" s="58">
        <v>51</v>
      </c>
      <c r="D525" s="58"/>
      <c r="E525" s="58" t="s">
        <v>991</v>
      </c>
      <c r="F525" s="58" t="s">
        <v>992</v>
      </c>
      <c r="G525" s="58" t="s">
        <v>1003</v>
      </c>
      <c r="H525" s="58" t="s">
        <v>1004</v>
      </c>
      <c r="I525" s="58" t="s">
        <v>1005</v>
      </c>
      <c r="J525" s="34">
        <v>0</v>
      </c>
      <c r="K525" s="34">
        <v>0</v>
      </c>
      <c r="L525" s="34">
        <v>0</v>
      </c>
      <c r="M525" s="37">
        <v>0</v>
      </c>
      <c r="N525" s="34">
        <v>500</v>
      </c>
      <c r="O525" s="40">
        <v>525</v>
      </c>
    </row>
    <row r="526" spans="1:15">
      <c r="B526" s="55">
        <v>514</v>
      </c>
      <c r="C526" s="58">
        <v>51</v>
      </c>
      <c r="D526" s="58"/>
      <c r="E526" s="58" t="s">
        <v>991</v>
      </c>
      <c r="F526" s="58" t="s">
        <v>992</v>
      </c>
      <c r="G526" s="58" t="s">
        <v>1006</v>
      </c>
      <c r="H526" s="58" t="s">
        <v>1007</v>
      </c>
      <c r="I526" s="58" t="s">
        <v>1008</v>
      </c>
      <c r="J526" s="34">
        <v>9000</v>
      </c>
      <c r="K526" s="34">
        <v>9000</v>
      </c>
      <c r="L526" s="34">
        <v>0</v>
      </c>
      <c r="M526" s="37">
        <v>14400</v>
      </c>
      <c r="N526" s="34">
        <v>3000</v>
      </c>
      <c r="O526" s="40">
        <v>4800</v>
      </c>
    </row>
    <row r="527" spans="1:15">
      <c r="B527" s="55">
        <v>515</v>
      </c>
      <c r="C527" s="58">
        <v>51</v>
      </c>
      <c r="D527" s="58"/>
      <c r="E527" s="58" t="s">
        <v>991</v>
      </c>
      <c r="F527" s="58" t="s">
        <v>992</v>
      </c>
      <c r="G527" s="58" t="s">
        <v>1009</v>
      </c>
      <c r="H527" s="58" t="s">
        <v>1010</v>
      </c>
      <c r="I527" s="58" t="s">
        <v>528</v>
      </c>
      <c r="J527" s="34">
        <v>1000</v>
      </c>
      <c r="K527" s="34">
        <v>1000</v>
      </c>
      <c r="L527" s="34">
        <v>0</v>
      </c>
      <c r="M527" s="37">
        <v>1000</v>
      </c>
      <c r="N527" s="34">
        <v>0</v>
      </c>
      <c r="O527" s="40">
        <v>0</v>
      </c>
    </row>
    <row r="528" spans="1:15">
      <c r="B528" s="55">
        <v>516</v>
      </c>
      <c r="C528" s="58">
        <v>51</v>
      </c>
      <c r="D528" s="58"/>
      <c r="E528" s="58" t="s">
        <v>991</v>
      </c>
      <c r="F528" s="58" t="s">
        <v>992</v>
      </c>
      <c r="G528" s="58" t="s">
        <v>1011</v>
      </c>
      <c r="H528" s="58" t="s">
        <v>1010</v>
      </c>
      <c r="I528" s="58" t="s">
        <v>528</v>
      </c>
      <c r="J528" s="34">
        <v>1000</v>
      </c>
      <c r="K528" s="34">
        <v>1000</v>
      </c>
      <c r="L528" s="34">
        <v>0</v>
      </c>
      <c r="M528" s="37">
        <v>1190</v>
      </c>
      <c r="N528" s="34">
        <v>0</v>
      </c>
      <c r="O528" s="40">
        <v>0</v>
      </c>
    </row>
    <row r="529" spans="1:15">
      <c r="B529" s="55">
        <v>517</v>
      </c>
      <c r="C529" s="58">
        <v>51</v>
      </c>
      <c r="D529" s="58"/>
      <c r="E529" s="58" t="s">
        <v>991</v>
      </c>
      <c r="F529" s="58" t="s">
        <v>992</v>
      </c>
      <c r="G529" s="58" t="s">
        <v>1012</v>
      </c>
      <c r="H529" s="58" t="s">
        <v>1013</v>
      </c>
      <c r="I529" s="58" t="s">
        <v>164</v>
      </c>
      <c r="J529" s="34">
        <v>60000</v>
      </c>
      <c r="K529" s="34">
        <v>60000</v>
      </c>
      <c r="L529" s="34">
        <v>0</v>
      </c>
      <c r="M529" s="37">
        <v>95400</v>
      </c>
      <c r="N529" s="34">
        <v>12000</v>
      </c>
      <c r="O529" s="40">
        <v>19080</v>
      </c>
    </row>
    <row r="530" spans="1:15">
      <c r="B530" s="55">
        <v>518</v>
      </c>
      <c r="C530" s="58">
        <v>51</v>
      </c>
      <c r="D530" s="58"/>
      <c r="E530" s="58" t="s">
        <v>991</v>
      </c>
      <c r="F530" s="58" t="s">
        <v>992</v>
      </c>
      <c r="G530" s="58" t="s">
        <v>1014</v>
      </c>
      <c r="H530" s="58" t="s">
        <v>872</v>
      </c>
      <c r="I530" s="58" t="s">
        <v>164</v>
      </c>
      <c r="J530" s="34">
        <v>105000</v>
      </c>
      <c r="K530" s="34">
        <v>105000</v>
      </c>
      <c r="L530" s="34">
        <v>0</v>
      </c>
      <c r="M530" s="37">
        <v>112350</v>
      </c>
      <c r="N530" s="34">
        <v>12000</v>
      </c>
      <c r="O530" s="40">
        <v>12840</v>
      </c>
    </row>
    <row r="531" spans="1:15">
      <c r="B531" s="55">
        <v>519</v>
      </c>
      <c r="C531" s="58">
        <v>51</v>
      </c>
      <c r="D531" s="58"/>
      <c r="E531" s="58" t="s">
        <v>991</v>
      </c>
      <c r="F531" s="58" t="s">
        <v>992</v>
      </c>
      <c r="G531" s="58" t="s">
        <v>1015</v>
      </c>
      <c r="H531" s="58" t="s">
        <v>1016</v>
      </c>
      <c r="I531" s="58" t="s">
        <v>1017</v>
      </c>
      <c r="J531" s="34">
        <v>24000</v>
      </c>
      <c r="K531" s="34">
        <v>24000</v>
      </c>
      <c r="L531" s="34">
        <v>0</v>
      </c>
      <c r="M531" s="37">
        <v>11400</v>
      </c>
      <c r="N531" s="34">
        <v>6000</v>
      </c>
      <c r="O531" s="40">
        <v>2850</v>
      </c>
    </row>
    <row r="532" spans="1:15">
      <c r="B532" s="55">
        <v>520</v>
      </c>
      <c r="C532" s="58">
        <v>51</v>
      </c>
      <c r="D532" s="58"/>
      <c r="E532" s="58" t="s">
        <v>991</v>
      </c>
      <c r="F532" s="58" t="s">
        <v>992</v>
      </c>
      <c r="G532" s="58" t="s">
        <v>1018</v>
      </c>
      <c r="H532" s="58" t="s">
        <v>994</v>
      </c>
      <c r="I532" s="58" t="s">
        <v>88</v>
      </c>
      <c r="J532" s="34">
        <v>0</v>
      </c>
      <c r="K532" s="34">
        <v>0</v>
      </c>
      <c r="L532" s="34">
        <v>0</v>
      </c>
      <c r="M532" s="37">
        <v>0</v>
      </c>
      <c r="N532" s="34">
        <v>0</v>
      </c>
      <c r="O532" s="40">
        <v>0</v>
      </c>
    </row>
    <row r="533" spans="1:15">
      <c r="B533" s="55">
        <v>521</v>
      </c>
      <c r="C533" s="58">
        <v>51</v>
      </c>
      <c r="D533" s="58"/>
      <c r="E533" s="58" t="s">
        <v>991</v>
      </c>
      <c r="F533" s="58" t="s">
        <v>992</v>
      </c>
      <c r="G533" s="58" t="s">
        <v>1019</v>
      </c>
      <c r="H533" s="58" t="s">
        <v>1020</v>
      </c>
      <c r="I533" s="58" t="s">
        <v>1005</v>
      </c>
      <c r="J533" s="34">
        <v>0</v>
      </c>
      <c r="K533" s="34">
        <v>0</v>
      </c>
      <c r="L533" s="34">
        <v>0</v>
      </c>
      <c r="M533" s="37">
        <v>0</v>
      </c>
      <c r="N533" s="34">
        <v>500</v>
      </c>
      <c r="O533" s="40">
        <v>220</v>
      </c>
    </row>
    <row r="534" spans="1:15">
      <c r="B534" s="55">
        <v>522</v>
      </c>
      <c r="C534" s="58">
        <v>51</v>
      </c>
      <c r="D534" s="58"/>
      <c r="E534" s="58" t="s">
        <v>991</v>
      </c>
      <c r="F534" s="58" t="s">
        <v>992</v>
      </c>
      <c r="G534" s="58" t="s">
        <v>1021</v>
      </c>
      <c r="H534" s="58" t="s">
        <v>1007</v>
      </c>
      <c r="I534" s="58" t="s">
        <v>323</v>
      </c>
      <c r="J534" s="34">
        <v>0</v>
      </c>
      <c r="K534" s="34">
        <v>0</v>
      </c>
      <c r="L534" s="34">
        <v>0</v>
      </c>
      <c r="M534" s="37">
        <v>0</v>
      </c>
      <c r="N534" s="34">
        <v>0</v>
      </c>
      <c r="O534" s="40">
        <v>0</v>
      </c>
    </row>
    <row r="535" spans="1:15">
      <c r="B535" s="55">
        <v>523</v>
      </c>
      <c r="C535" s="58">
        <v>51</v>
      </c>
      <c r="D535" s="58"/>
      <c r="E535" s="58" t="s">
        <v>1022</v>
      </c>
      <c r="F535" s="58" t="s">
        <v>1023</v>
      </c>
      <c r="G535" s="58" t="s">
        <v>1024</v>
      </c>
      <c r="H535" s="58" t="s">
        <v>362</v>
      </c>
      <c r="I535" s="58" t="s">
        <v>280</v>
      </c>
      <c r="J535" s="34">
        <v>15600</v>
      </c>
      <c r="K535" s="34">
        <v>15600</v>
      </c>
      <c r="L535" s="34">
        <v>0</v>
      </c>
      <c r="M535" s="37">
        <v>113817.6</v>
      </c>
      <c r="N535" s="34">
        <v>0</v>
      </c>
      <c r="O535" s="40">
        <v>0</v>
      </c>
    </row>
    <row r="536" spans="1:15">
      <c r="B536" s="55">
        <v>524</v>
      </c>
      <c r="C536" s="58">
        <v>51</v>
      </c>
      <c r="D536" s="58"/>
      <c r="E536" s="58" t="s">
        <v>1025</v>
      </c>
      <c r="F536" s="58" t="s">
        <v>1026</v>
      </c>
      <c r="G536" s="58" t="s">
        <v>261</v>
      </c>
      <c r="H536" s="58" t="s">
        <v>261</v>
      </c>
      <c r="I536" s="58" t="s">
        <v>88</v>
      </c>
      <c r="J536" s="34">
        <v>12600</v>
      </c>
      <c r="K536" s="34">
        <v>12103</v>
      </c>
      <c r="L536" s="34">
        <v>-497</v>
      </c>
      <c r="M536" s="37">
        <v>762489</v>
      </c>
      <c r="N536" s="34">
        <v>0</v>
      </c>
      <c r="O536" s="40">
        <v>0</v>
      </c>
    </row>
    <row r="537" spans="1:15">
      <c r="B537" s="55">
        <v>525</v>
      </c>
      <c r="C537" s="58">
        <v>51</v>
      </c>
      <c r="D537" s="58"/>
      <c r="E537" s="58" t="s">
        <v>1027</v>
      </c>
      <c r="F537" s="58" t="s">
        <v>1028</v>
      </c>
      <c r="G537" s="58" t="s">
        <v>1029</v>
      </c>
      <c r="H537" s="58" t="s">
        <v>872</v>
      </c>
      <c r="I537" s="58" t="s">
        <v>258</v>
      </c>
      <c r="J537" s="34">
        <v>20000</v>
      </c>
      <c r="K537" s="34">
        <v>20000</v>
      </c>
      <c r="L537" s="34">
        <v>0</v>
      </c>
      <c r="M537" s="37">
        <v>13600</v>
      </c>
      <c r="N537" s="34">
        <v>0</v>
      </c>
      <c r="O537" s="40">
        <v>0</v>
      </c>
    </row>
    <row r="538" spans="1:15">
      <c r="B538" s="55">
        <v>526</v>
      </c>
      <c r="C538" s="58">
        <v>51</v>
      </c>
      <c r="D538" s="58"/>
      <c r="E538" s="58" t="s">
        <v>1030</v>
      </c>
      <c r="F538" s="58" t="s">
        <v>1031</v>
      </c>
      <c r="G538" s="58" t="s">
        <v>1032</v>
      </c>
      <c r="H538" s="58" t="s">
        <v>747</v>
      </c>
      <c r="I538" s="58" t="s">
        <v>680</v>
      </c>
      <c r="J538" s="34">
        <v>3600</v>
      </c>
      <c r="K538" s="34">
        <v>3526</v>
      </c>
      <c r="L538" s="34">
        <v>-74</v>
      </c>
      <c r="M538" s="37">
        <v>31275.62</v>
      </c>
      <c r="N538" s="34">
        <v>1200</v>
      </c>
      <c r="O538" s="40">
        <v>10644</v>
      </c>
    </row>
    <row r="539" spans="1:15">
      <c r="B539" s="55">
        <v>527</v>
      </c>
      <c r="C539" s="58">
        <v>51</v>
      </c>
      <c r="D539" s="58"/>
      <c r="E539" s="58" t="s">
        <v>1030</v>
      </c>
      <c r="F539" s="58" t="s">
        <v>1031</v>
      </c>
      <c r="G539" s="58" t="s">
        <v>1033</v>
      </c>
      <c r="H539" s="58" t="s">
        <v>416</v>
      </c>
      <c r="I539" s="58" t="s">
        <v>729</v>
      </c>
      <c r="J539" s="34">
        <v>1200</v>
      </c>
      <c r="K539" s="34">
        <v>1727</v>
      </c>
      <c r="L539" s="34">
        <v>527</v>
      </c>
      <c r="M539" s="37">
        <v>23815.33</v>
      </c>
      <c r="N539" s="34">
        <v>0</v>
      </c>
      <c r="O539" s="40">
        <v>0</v>
      </c>
    </row>
    <row r="540" spans="1:15">
      <c r="B540" s="55">
        <v>528</v>
      </c>
      <c r="C540" s="58">
        <v>51</v>
      </c>
      <c r="D540" s="58"/>
      <c r="E540" s="58" t="s">
        <v>1030</v>
      </c>
      <c r="F540" s="58" t="s">
        <v>1031</v>
      </c>
      <c r="G540" s="58" t="s">
        <v>1034</v>
      </c>
      <c r="H540" s="58" t="s">
        <v>669</v>
      </c>
      <c r="I540" s="58" t="s">
        <v>188</v>
      </c>
      <c r="J540" s="34">
        <v>0</v>
      </c>
      <c r="K540" s="34">
        <v>0</v>
      </c>
      <c r="L540" s="34">
        <v>0</v>
      </c>
      <c r="M540" s="37">
        <v>0</v>
      </c>
      <c r="N540" s="34">
        <v>0</v>
      </c>
      <c r="O540" s="40">
        <v>0</v>
      </c>
    </row>
    <row r="541" spans="1:15">
      <c r="B541" s="55">
        <v>529</v>
      </c>
      <c r="C541" s="58">
        <v>51</v>
      </c>
      <c r="D541" s="58"/>
      <c r="E541" s="58" t="s">
        <v>1030</v>
      </c>
      <c r="F541" s="58" t="s">
        <v>1031</v>
      </c>
      <c r="G541" s="58" t="s">
        <v>1035</v>
      </c>
      <c r="H541" s="58" t="s">
        <v>728</v>
      </c>
      <c r="I541" s="58" t="s">
        <v>729</v>
      </c>
      <c r="J541" s="34">
        <v>1260</v>
      </c>
      <c r="K541" s="34">
        <v>1202</v>
      </c>
      <c r="L541" s="34">
        <v>-58</v>
      </c>
      <c r="M541" s="37">
        <v>39077.02</v>
      </c>
      <c r="N541" s="34">
        <v>600</v>
      </c>
      <c r="O541" s="40">
        <v>19506</v>
      </c>
    </row>
    <row r="542" spans="1:15">
      <c r="B542" s="55">
        <v>530</v>
      </c>
      <c r="C542" s="58">
        <v>51</v>
      </c>
      <c r="D542" s="58"/>
      <c r="E542" s="58" t="s">
        <v>1030</v>
      </c>
      <c r="F542" s="58" t="s">
        <v>1031</v>
      </c>
      <c r="G542" s="58" t="s">
        <v>1036</v>
      </c>
      <c r="H542" s="58" t="s">
        <v>738</v>
      </c>
      <c r="I542" s="58" t="s">
        <v>680</v>
      </c>
      <c r="J542" s="34">
        <v>1768</v>
      </c>
      <c r="K542" s="34">
        <v>1700</v>
      </c>
      <c r="L542" s="34">
        <v>-68</v>
      </c>
      <c r="M542" s="37">
        <v>38522</v>
      </c>
      <c r="N542" s="34">
        <v>0</v>
      </c>
      <c r="O542" s="40">
        <v>0</v>
      </c>
    </row>
    <row r="543" spans="1:15">
      <c r="B543" s="55">
        <v>531</v>
      </c>
      <c r="C543" s="58">
        <v>51</v>
      </c>
      <c r="D543" s="58"/>
      <c r="E543" s="58" t="s">
        <v>1030</v>
      </c>
      <c r="F543" s="58" t="s">
        <v>1031</v>
      </c>
      <c r="G543" s="58" t="s">
        <v>1037</v>
      </c>
      <c r="H543" s="58" t="s">
        <v>672</v>
      </c>
      <c r="I543" s="58" t="s">
        <v>680</v>
      </c>
      <c r="J543" s="34">
        <v>0</v>
      </c>
      <c r="K543" s="34">
        <v>0</v>
      </c>
      <c r="L543" s="34">
        <v>0</v>
      </c>
      <c r="M543" s="37">
        <v>0</v>
      </c>
      <c r="N543" s="34">
        <v>0</v>
      </c>
      <c r="O543" s="40">
        <v>0</v>
      </c>
    </row>
    <row r="544" spans="1:15">
      <c r="B544" s="55">
        <v>532</v>
      </c>
      <c r="C544" s="58">
        <v>51</v>
      </c>
      <c r="D544" s="58"/>
      <c r="E544" s="58" t="s">
        <v>1030</v>
      </c>
      <c r="F544" s="58" t="s">
        <v>1031</v>
      </c>
      <c r="G544" s="58" t="s">
        <v>1038</v>
      </c>
      <c r="H544" s="58" t="s">
        <v>678</v>
      </c>
      <c r="I544" s="58" t="s">
        <v>680</v>
      </c>
      <c r="J544" s="34">
        <v>0</v>
      </c>
      <c r="K544" s="34">
        <v>0</v>
      </c>
      <c r="L544" s="34">
        <v>0</v>
      </c>
      <c r="M544" s="37">
        <v>0</v>
      </c>
      <c r="N544" s="34">
        <v>0</v>
      </c>
      <c r="O544" s="40">
        <v>0</v>
      </c>
    </row>
    <row r="545" spans="1:15">
      <c r="B545" s="55">
        <v>533</v>
      </c>
      <c r="C545" s="58">
        <v>51</v>
      </c>
      <c r="D545" s="58"/>
      <c r="E545" s="58" t="s">
        <v>1030</v>
      </c>
      <c r="F545" s="58" t="s">
        <v>1031</v>
      </c>
      <c r="G545" s="58" t="s">
        <v>1039</v>
      </c>
      <c r="H545" s="58" t="s">
        <v>669</v>
      </c>
      <c r="I545" s="58" t="s">
        <v>670</v>
      </c>
      <c r="J545" s="34">
        <v>1751</v>
      </c>
      <c r="K545" s="34">
        <v>1671</v>
      </c>
      <c r="L545" s="34">
        <v>-80</v>
      </c>
      <c r="M545" s="37">
        <v>34422.6</v>
      </c>
      <c r="N545" s="34">
        <v>0</v>
      </c>
      <c r="O545" s="40">
        <v>0</v>
      </c>
    </row>
    <row r="546" spans="1:15">
      <c r="B546" s="55">
        <v>534</v>
      </c>
      <c r="C546" s="58">
        <v>51</v>
      </c>
      <c r="D546" s="58"/>
      <c r="E546" s="58" t="s">
        <v>1030</v>
      </c>
      <c r="F546" s="58" t="s">
        <v>1031</v>
      </c>
      <c r="G546" s="58" t="s">
        <v>1040</v>
      </c>
      <c r="H546" s="58" t="s">
        <v>676</v>
      </c>
      <c r="I546" s="58" t="s">
        <v>680</v>
      </c>
      <c r="J546" s="34">
        <v>0</v>
      </c>
      <c r="K546" s="34">
        <v>0</v>
      </c>
      <c r="L546" s="34">
        <v>0</v>
      </c>
      <c r="M546" s="37">
        <v>0</v>
      </c>
      <c r="N546" s="34">
        <v>0</v>
      </c>
      <c r="O546" s="40">
        <v>0</v>
      </c>
    </row>
    <row r="547" spans="1:15">
      <c r="B547" s="55">
        <v>535</v>
      </c>
      <c r="C547" s="58">
        <v>51</v>
      </c>
      <c r="D547" s="58"/>
      <c r="E547" s="58" t="s">
        <v>1030</v>
      </c>
      <c r="F547" s="58" t="s">
        <v>1031</v>
      </c>
      <c r="G547" s="58" t="s">
        <v>1041</v>
      </c>
      <c r="H547" s="58" t="s">
        <v>678</v>
      </c>
      <c r="I547" s="58" t="s">
        <v>673</v>
      </c>
      <c r="J547" s="34">
        <v>600</v>
      </c>
      <c r="K547" s="34">
        <v>581</v>
      </c>
      <c r="L547" s="34">
        <v>-19</v>
      </c>
      <c r="M547" s="37">
        <v>20602.26</v>
      </c>
      <c r="N547" s="34">
        <v>600</v>
      </c>
      <c r="O547" s="40">
        <v>21276</v>
      </c>
    </row>
    <row r="548" spans="1:15">
      <c r="B548" s="55">
        <v>536</v>
      </c>
      <c r="C548" s="58">
        <v>51</v>
      </c>
      <c r="D548" s="58"/>
      <c r="E548" s="58" t="s">
        <v>1030</v>
      </c>
      <c r="F548" s="58" t="s">
        <v>1031</v>
      </c>
      <c r="G548" s="58" t="s">
        <v>1042</v>
      </c>
      <c r="H548" s="58" t="s">
        <v>672</v>
      </c>
      <c r="I548" s="58" t="s">
        <v>673</v>
      </c>
      <c r="J548" s="34">
        <v>0</v>
      </c>
      <c r="K548" s="34">
        <v>0</v>
      </c>
      <c r="L548" s="34">
        <v>0</v>
      </c>
      <c r="M548" s="37">
        <v>0</v>
      </c>
      <c r="N548" s="34">
        <v>0</v>
      </c>
      <c r="O548" s="40">
        <v>0</v>
      </c>
    </row>
    <row r="549" spans="1:15">
      <c r="B549" s="55">
        <v>537</v>
      </c>
      <c r="C549" s="58">
        <v>51</v>
      </c>
      <c r="D549" s="58"/>
      <c r="E549" s="58" t="s">
        <v>1030</v>
      </c>
      <c r="F549" s="58" t="s">
        <v>1031</v>
      </c>
      <c r="G549" s="58" t="s">
        <v>1043</v>
      </c>
      <c r="H549" s="58" t="s">
        <v>669</v>
      </c>
      <c r="I549" s="58" t="s">
        <v>188</v>
      </c>
      <c r="J549" s="34">
        <v>1800</v>
      </c>
      <c r="K549" s="34">
        <v>1703</v>
      </c>
      <c r="L549" s="34">
        <v>-97</v>
      </c>
      <c r="M549" s="37">
        <v>30194.19</v>
      </c>
      <c r="N549" s="34">
        <v>600</v>
      </c>
      <c r="O549" s="40">
        <v>10638</v>
      </c>
    </row>
    <row r="550" spans="1:15">
      <c r="B550" s="55">
        <v>538</v>
      </c>
      <c r="C550" s="58">
        <v>51</v>
      </c>
      <c r="D550" s="58"/>
      <c r="E550" s="58" t="s">
        <v>1030</v>
      </c>
      <c r="F550" s="58" t="s">
        <v>1031</v>
      </c>
      <c r="G550" s="58" t="s">
        <v>1044</v>
      </c>
      <c r="H550" s="58" t="s">
        <v>190</v>
      </c>
      <c r="I550" s="58" t="s">
        <v>680</v>
      </c>
      <c r="J550" s="34">
        <v>1800</v>
      </c>
      <c r="K550" s="34">
        <v>1708</v>
      </c>
      <c r="L550" s="34">
        <v>-92</v>
      </c>
      <c r="M550" s="37">
        <v>61402.6</v>
      </c>
      <c r="N550" s="34">
        <v>0</v>
      </c>
      <c r="O550" s="40">
        <v>0</v>
      </c>
    </row>
    <row r="551" spans="1:15">
      <c r="B551" s="55">
        <v>539</v>
      </c>
      <c r="C551" s="58">
        <v>51</v>
      </c>
      <c r="D551" s="58"/>
      <c r="E551" s="58" t="s">
        <v>1030</v>
      </c>
      <c r="F551" s="58" t="s">
        <v>1031</v>
      </c>
      <c r="G551" s="58" t="s">
        <v>1045</v>
      </c>
      <c r="H551" s="58" t="s">
        <v>683</v>
      </c>
      <c r="I551" s="58" t="s">
        <v>673</v>
      </c>
      <c r="J551" s="34">
        <v>1800</v>
      </c>
      <c r="K551" s="34">
        <v>1748</v>
      </c>
      <c r="L551" s="34">
        <v>-52</v>
      </c>
      <c r="M551" s="37">
        <v>61984.08</v>
      </c>
      <c r="N551" s="34">
        <v>600</v>
      </c>
      <c r="O551" s="40">
        <v>21276</v>
      </c>
    </row>
    <row r="552" spans="1:15">
      <c r="B552" s="55">
        <v>540</v>
      </c>
      <c r="C552" s="58">
        <v>51</v>
      </c>
      <c r="D552" s="58"/>
      <c r="E552" s="58" t="s">
        <v>1030</v>
      </c>
      <c r="F552" s="58" t="s">
        <v>1031</v>
      </c>
      <c r="G552" s="58" t="s">
        <v>1046</v>
      </c>
      <c r="H552" s="58" t="s">
        <v>676</v>
      </c>
      <c r="I552" s="58" t="s">
        <v>673</v>
      </c>
      <c r="J552" s="34">
        <v>600</v>
      </c>
      <c r="K552" s="34">
        <v>578</v>
      </c>
      <c r="L552" s="34">
        <v>-22</v>
      </c>
      <c r="M552" s="37">
        <v>13097.48</v>
      </c>
      <c r="N552" s="34">
        <v>600</v>
      </c>
      <c r="O552" s="40">
        <v>13596</v>
      </c>
    </row>
    <row r="553" spans="1:15">
      <c r="B553" s="55">
        <v>541</v>
      </c>
      <c r="C553" s="58">
        <v>51</v>
      </c>
      <c r="D553" s="58"/>
      <c r="E553" s="58" t="s">
        <v>1030</v>
      </c>
      <c r="F553" s="58" t="s">
        <v>1031</v>
      </c>
      <c r="G553" s="58" t="s">
        <v>1047</v>
      </c>
      <c r="H553" s="58" t="s">
        <v>752</v>
      </c>
      <c r="I553" s="58" t="s">
        <v>673</v>
      </c>
      <c r="J553" s="34">
        <v>1800</v>
      </c>
      <c r="K553" s="34">
        <v>1725</v>
      </c>
      <c r="L553" s="34">
        <v>-75</v>
      </c>
      <c r="M553" s="37">
        <v>67965</v>
      </c>
      <c r="N553" s="34">
        <v>600</v>
      </c>
      <c r="O553" s="40">
        <v>23640</v>
      </c>
    </row>
    <row r="554" spans="1:15">
      <c r="B554" s="55">
        <v>542</v>
      </c>
      <c r="C554" s="58">
        <v>51</v>
      </c>
      <c r="D554" s="58"/>
      <c r="E554" s="58" t="s">
        <v>1048</v>
      </c>
      <c r="F554" s="58" t="s">
        <v>1049</v>
      </c>
      <c r="G554" s="58" t="s">
        <v>1050</v>
      </c>
      <c r="H554" s="58" t="s">
        <v>1051</v>
      </c>
      <c r="I554" s="58" t="s">
        <v>1052</v>
      </c>
      <c r="J554" s="34">
        <v>0</v>
      </c>
      <c r="K554" s="34">
        <v>0</v>
      </c>
      <c r="L554" s="34">
        <v>0</v>
      </c>
      <c r="M554" s="37">
        <v>0</v>
      </c>
      <c r="N554" s="34">
        <v>0</v>
      </c>
      <c r="O554" s="40">
        <v>0</v>
      </c>
    </row>
    <row r="555" spans="1:15">
      <c r="B555" s="55">
        <v>543</v>
      </c>
      <c r="C555" s="58">
        <v>51</v>
      </c>
      <c r="D555" s="58"/>
      <c r="E555" s="58" t="s">
        <v>1048</v>
      </c>
      <c r="F555" s="58" t="s">
        <v>1049</v>
      </c>
      <c r="G555" s="58" t="s">
        <v>1053</v>
      </c>
      <c r="H555" s="58" t="s">
        <v>1051</v>
      </c>
      <c r="I555" s="58" t="s">
        <v>1052</v>
      </c>
      <c r="J555" s="34">
        <v>392</v>
      </c>
      <c r="K555" s="34">
        <v>392</v>
      </c>
      <c r="L555" s="34">
        <v>0</v>
      </c>
      <c r="M555" s="37">
        <v>22155.84</v>
      </c>
      <c r="N555" s="34">
        <v>24</v>
      </c>
      <c r="O555" s="40">
        <v>1356.48</v>
      </c>
    </row>
    <row r="556" spans="1:15">
      <c r="B556" s="55">
        <v>544</v>
      </c>
      <c r="C556" s="58">
        <v>51</v>
      </c>
      <c r="D556" s="58"/>
      <c r="E556" s="58" t="s">
        <v>1048</v>
      </c>
      <c r="F556" s="58" t="s">
        <v>1049</v>
      </c>
      <c r="G556" s="58" t="s">
        <v>1054</v>
      </c>
      <c r="H556" s="58" t="s">
        <v>1055</v>
      </c>
      <c r="I556" s="58" t="s">
        <v>1052</v>
      </c>
      <c r="J556" s="34">
        <v>192</v>
      </c>
      <c r="K556" s="34">
        <v>192</v>
      </c>
      <c r="L556" s="34">
        <v>0</v>
      </c>
      <c r="M556" s="37">
        <v>10903.68</v>
      </c>
      <c r="N556" s="34">
        <v>48</v>
      </c>
      <c r="O556" s="40">
        <v>2725.92</v>
      </c>
    </row>
    <row r="557" spans="1:15">
      <c r="B557" s="55">
        <v>545</v>
      </c>
      <c r="C557" s="58">
        <v>51</v>
      </c>
      <c r="D557" s="58"/>
      <c r="E557" s="58" t="s">
        <v>1048</v>
      </c>
      <c r="F557" s="58" t="s">
        <v>1049</v>
      </c>
      <c r="G557" s="58" t="s">
        <v>1056</v>
      </c>
      <c r="H557" s="58" t="s">
        <v>1057</v>
      </c>
      <c r="I557" s="58" t="s">
        <v>1058</v>
      </c>
      <c r="J557" s="34">
        <v>0</v>
      </c>
      <c r="K557" s="34">
        <v>0</v>
      </c>
      <c r="L557" s="34">
        <v>0</v>
      </c>
      <c r="M557" s="37">
        <v>0</v>
      </c>
      <c r="N557" s="34">
        <v>0</v>
      </c>
      <c r="O557" s="40">
        <v>0</v>
      </c>
    </row>
    <row r="558" spans="1:15">
      <c r="B558" s="55">
        <v>546</v>
      </c>
      <c r="C558" s="58">
        <v>51</v>
      </c>
      <c r="D558" s="58"/>
      <c r="E558" s="58" t="s">
        <v>1048</v>
      </c>
      <c r="F558" s="58" t="s">
        <v>1049</v>
      </c>
      <c r="G558" s="58" t="s">
        <v>1059</v>
      </c>
      <c r="H558" s="58" t="s">
        <v>1060</v>
      </c>
      <c r="I558" s="58" t="s">
        <v>1052</v>
      </c>
      <c r="J558" s="34">
        <v>0</v>
      </c>
      <c r="K558" s="34">
        <v>0</v>
      </c>
      <c r="L558" s="34">
        <v>0</v>
      </c>
      <c r="M558" s="37">
        <v>0</v>
      </c>
      <c r="N558" s="34">
        <v>0</v>
      </c>
      <c r="O558" s="40">
        <v>0</v>
      </c>
    </row>
    <row r="559" spans="1:15">
      <c r="B559" s="55">
        <v>547</v>
      </c>
      <c r="C559" s="58">
        <v>51</v>
      </c>
      <c r="D559" s="58"/>
      <c r="E559" s="58" t="s">
        <v>1048</v>
      </c>
      <c r="F559" s="58" t="s">
        <v>1049</v>
      </c>
      <c r="G559" s="58" t="s">
        <v>1061</v>
      </c>
      <c r="H559" s="58" t="s">
        <v>1057</v>
      </c>
      <c r="I559" s="58" t="s">
        <v>1052</v>
      </c>
      <c r="J559" s="34">
        <v>360</v>
      </c>
      <c r="K559" s="34">
        <v>360</v>
      </c>
      <c r="L559" s="34">
        <v>0</v>
      </c>
      <c r="M559" s="37">
        <v>20426.4</v>
      </c>
      <c r="N559" s="34">
        <v>48</v>
      </c>
      <c r="O559" s="40">
        <v>2723.52</v>
      </c>
    </row>
    <row r="560" spans="1:15">
      <c r="B560" s="55">
        <v>548</v>
      </c>
      <c r="C560" s="58">
        <v>51</v>
      </c>
      <c r="D560" s="58"/>
      <c r="E560" s="58" t="s">
        <v>1048</v>
      </c>
      <c r="F560" s="58" t="s">
        <v>1049</v>
      </c>
      <c r="G560" s="58" t="s">
        <v>1062</v>
      </c>
      <c r="H560" s="58" t="s">
        <v>1060</v>
      </c>
      <c r="I560" s="58" t="s">
        <v>1052</v>
      </c>
      <c r="J560" s="34">
        <v>960</v>
      </c>
      <c r="K560" s="34">
        <v>960</v>
      </c>
      <c r="L560" s="34">
        <v>0</v>
      </c>
      <c r="M560" s="37">
        <v>679238.4</v>
      </c>
      <c r="N560" s="34">
        <v>64</v>
      </c>
      <c r="O560" s="40">
        <v>45282.56</v>
      </c>
    </row>
    <row r="561" spans="1:15">
      <c r="B561" s="55">
        <v>549</v>
      </c>
      <c r="C561" s="58">
        <v>51</v>
      </c>
      <c r="D561" s="58"/>
      <c r="E561" s="58" t="s">
        <v>1048</v>
      </c>
      <c r="F561" s="58" t="s">
        <v>1049</v>
      </c>
      <c r="G561" s="58" t="s">
        <v>1063</v>
      </c>
      <c r="H561" s="58" t="s">
        <v>1057</v>
      </c>
      <c r="I561" s="58" t="s">
        <v>1052</v>
      </c>
      <c r="J561" s="34">
        <v>192</v>
      </c>
      <c r="K561" s="34">
        <v>192</v>
      </c>
      <c r="L561" s="34">
        <v>0</v>
      </c>
      <c r="M561" s="37">
        <v>10945.92</v>
      </c>
      <c r="N561" s="34">
        <v>48</v>
      </c>
      <c r="O561" s="40">
        <v>2736.48</v>
      </c>
    </row>
    <row r="562" spans="1:15">
      <c r="B562" s="55">
        <v>550</v>
      </c>
      <c r="C562" s="58">
        <v>51</v>
      </c>
      <c r="D562" s="58"/>
      <c r="E562" s="58" t="s">
        <v>1048</v>
      </c>
      <c r="F562" s="58" t="s">
        <v>1049</v>
      </c>
      <c r="G562" s="58" t="s">
        <v>1064</v>
      </c>
      <c r="H562" s="58" t="s">
        <v>1065</v>
      </c>
      <c r="I562" s="58" t="s">
        <v>1066</v>
      </c>
      <c r="J562" s="34">
        <v>480</v>
      </c>
      <c r="K562" s="34">
        <v>480</v>
      </c>
      <c r="L562" s="34">
        <v>0</v>
      </c>
      <c r="M562" s="37">
        <v>308308.8</v>
      </c>
      <c r="N562" s="34">
        <v>64</v>
      </c>
      <c r="O562" s="40">
        <v>41107.84</v>
      </c>
    </row>
    <row r="563" spans="1:15">
      <c r="B563" s="55">
        <v>551</v>
      </c>
      <c r="C563" s="58">
        <v>51</v>
      </c>
      <c r="D563" s="58"/>
      <c r="E563" s="58" t="s">
        <v>1067</v>
      </c>
      <c r="F563" s="58" t="s">
        <v>1068</v>
      </c>
      <c r="G563" s="58" t="s">
        <v>1069</v>
      </c>
      <c r="H563" s="58" t="s">
        <v>1070</v>
      </c>
      <c r="I563" s="58" t="s">
        <v>623</v>
      </c>
      <c r="J563" s="34">
        <v>384</v>
      </c>
      <c r="K563" s="34">
        <v>384</v>
      </c>
      <c r="L563" s="34">
        <v>0</v>
      </c>
      <c r="M563" s="37">
        <v>3471.36</v>
      </c>
      <c r="N563" s="34">
        <v>192</v>
      </c>
      <c r="O563" s="40">
        <v>1735.68</v>
      </c>
    </row>
    <row r="564" spans="1:15">
      <c r="B564" s="55">
        <v>552</v>
      </c>
      <c r="C564" s="58">
        <v>51</v>
      </c>
      <c r="D564" s="58"/>
      <c r="E564" s="58" t="s">
        <v>1067</v>
      </c>
      <c r="F564" s="58" t="s">
        <v>1068</v>
      </c>
      <c r="G564" s="58" t="s">
        <v>1071</v>
      </c>
      <c r="H564" s="58" t="s">
        <v>1072</v>
      </c>
      <c r="I564" s="58" t="s">
        <v>548</v>
      </c>
      <c r="J564" s="34">
        <v>1210</v>
      </c>
      <c r="K564" s="34">
        <v>1210</v>
      </c>
      <c r="L564" s="34">
        <v>0</v>
      </c>
      <c r="M564" s="37">
        <v>17157.8</v>
      </c>
      <c r="N564" s="34">
        <v>110</v>
      </c>
      <c r="O564" s="40">
        <v>1559.8</v>
      </c>
    </row>
    <row r="565" spans="1:15">
      <c r="B565" s="55">
        <v>553</v>
      </c>
      <c r="C565" s="58">
        <v>51</v>
      </c>
      <c r="D565" s="58"/>
      <c r="E565" s="58" t="s">
        <v>1067</v>
      </c>
      <c r="F565" s="58" t="s">
        <v>1068</v>
      </c>
      <c r="G565" s="58" t="s">
        <v>1073</v>
      </c>
      <c r="H565" s="58" t="s">
        <v>1074</v>
      </c>
      <c r="I565" s="58" t="s">
        <v>455</v>
      </c>
      <c r="J565" s="34">
        <v>672</v>
      </c>
      <c r="K565" s="34">
        <v>672</v>
      </c>
      <c r="L565" s="34">
        <v>0</v>
      </c>
      <c r="M565" s="37">
        <v>13144.32</v>
      </c>
      <c r="N565" s="34">
        <v>0</v>
      </c>
      <c r="O565" s="40">
        <v>0</v>
      </c>
    </row>
    <row r="566" spans="1:15">
      <c r="B566" s="55">
        <v>554</v>
      </c>
      <c r="C566" s="58">
        <v>51</v>
      </c>
      <c r="D566" s="58"/>
      <c r="E566" s="58" t="s">
        <v>1067</v>
      </c>
      <c r="F566" s="58" t="s">
        <v>1068</v>
      </c>
      <c r="G566" s="58" t="s">
        <v>1075</v>
      </c>
      <c r="H566" s="58" t="s">
        <v>1070</v>
      </c>
      <c r="I566" s="58" t="s">
        <v>623</v>
      </c>
      <c r="J566" s="34">
        <v>600</v>
      </c>
      <c r="K566" s="34">
        <v>600</v>
      </c>
      <c r="L566" s="34">
        <v>0</v>
      </c>
      <c r="M566" s="37">
        <v>7224</v>
      </c>
      <c r="N566" s="34">
        <v>0</v>
      </c>
      <c r="O566" s="40">
        <v>0</v>
      </c>
    </row>
    <row r="567" spans="1:15">
      <c r="B567" s="55">
        <v>555</v>
      </c>
      <c r="C567" s="58">
        <v>51</v>
      </c>
      <c r="D567" s="58"/>
      <c r="E567" s="58" t="s">
        <v>1067</v>
      </c>
      <c r="F567" s="58" t="s">
        <v>1068</v>
      </c>
      <c r="G567" s="58" t="s">
        <v>1076</v>
      </c>
      <c r="H567" s="58" t="s">
        <v>1070</v>
      </c>
      <c r="I567" s="58" t="s">
        <v>623</v>
      </c>
      <c r="J567" s="34">
        <v>480</v>
      </c>
      <c r="K567" s="34">
        <v>480</v>
      </c>
      <c r="L567" s="34">
        <v>0</v>
      </c>
      <c r="M567" s="37">
        <v>5774.4</v>
      </c>
      <c r="N567" s="34">
        <v>0</v>
      </c>
      <c r="O567" s="40">
        <v>0</v>
      </c>
    </row>
    <row r="568" spans="1:15">
      <c r="B568" s="55">
        <v>556</v>
      </c>
      <c r="C568" s="58">
        <v>51</v>
      </c>
      <c r="D568" s="58"/>
      <c r="E568" s="58" t="s">
        <v>1067</v>
      </c>
      <c r="F568" s="58" t="s">
        <v>1068</v>
      </c>
      <c r="G568" s="58" t="s">
        <v>1077</v>
      </c>
      <c r="H568" s="58" t="s">
        <v>1070</v>
      </c>
      <c r="I568" s="58" t="s">
        <v>623</v>
      </c>
      <c r="J568" s="34">
        <v>576</v>
      </c>
      <c r="K568" s="34">
        <v>576</v>
      </c>
      <c r="L568" s="34">
        <v>0</v>
      </c>
      <c r="M568" s="37">
        <v>5218.56</v>
      </c>
      <c r="N568" s="34">
        <v>192</v>
      </c>
      <c r="O568" s="40">
        <v>1739.52</v>
      </c>
    </row>
    <row r="569" spans="1:15">
      <c r="B569" s="55">
        <v>557</v>
      </c>
      <c r="C569" s="58">
        <v>51</v>
      </c>
      <c r="D569" s="58"/>
      <c r="E569" s="58" t="s">
        <v>1067</v>
      </c>
      <c r="F569" s="58" t="s">
        <v>1068</v>
      </c>
      <c r="G569" s="58" t="s">
        <v>1078</v>
      </c>
      <c r="H569" s="58" t="s">
        <v>1079</v>
      </c>
      <c r="I569" s="58" t="s">
        <v>548</v>
      </c>
      <c r="J569" s="34">
        <v>600</v>
      </c>
      <c r="K569" s="34">
        <v>600</v>
      </c>
      <c r="L569" s="34">
        <v>0</v>
      </c>
      <c r="M569" s="37">
        <v>7650</v>
      </c>
      <c r="N569" s="34">
        <v>120</v>
      </c>
      <c r="O569" s="40">
        <v>1530</v>
      </c>
    </row>
    <row r="570" spans="1:15">
      <c r="B570" s="55">
        <v>558</v>
      </c>
      <c r="C570" s="58">
        <v>51</v>
      </c>
      <c r="D570" s="58"/>
      <c r="E570" s="58" t="s">
        <v>1080</v>
      </c>
      <c r="F570" s="58" t="s">
        <v>1081</v>
      </c>
      <c r="G570" s="58" t="s">
        <v>735</v>
      </c>
      <c r="H570" s="58" t="s">
        <v>736</v>
      </c>
      <c r="I570" s="58" t="s">
        <v>680</v>
      </c>
      <c r="J570" s="34">
        <v>2165</v>
      </c>
      <c r="K570" s="34">
        <v>2160</v>
      </c>
      <c r="L570" s="34">
        <v>-5</v>
      </c>
      <c r="M570" s="37">
        <v>1066716</v>
      </c>
      <c r="N570" s="34">
        <v>360</v>
      </c>
      <c r="O570" s="40">
        <v>179982</v>
      </c>
    </row>
    <row r="571" spans="1:15">
      <c r="B571" s="55">
        <v>559</v>
      </c>
      <c r="C571" s="58">
        <v>51</v>
      </c>
      <c r="D571" s="58"/>
      <c r="E571" s="58" t="s">
        <v>1080</v>
      </c>
      <c r="F571" s="58" t="s">
        <v>1081</v>
      </c>
      <c r="G571" s="58" t="s">
        <v>730</v>
      </c>
      <c r="H571" s="58" t="s">
        <v>731</v>
      </c>
      <c r="I571" s="58" t="s">
        <v>680</v>
      </c>
      <c r="J571" s="34">
        <v>2040</v>
      </c>
      <c r="K571" s="34">
        <v>2040</v>
      </c>
      <c r="L571" s="34">
        <v>0</v>
      </c>
      <c r="M571" s="37">
        <v>398922</v>
      </c>
      <c r="N571" s="34">
        <v>360</v>
      </c>
      <c r="O571" s="40">
        <v>71298</v>
      </c>
    </row>
    <row r="572" spans="1:15">
      <c r="B572" s="55">
        <v>560</v>
      </c>
      <c r="C572" s="58">
        <v>51</v>
      </c>
      <c r="D572" s="58"/>
      <c r="E572" s="58" t="s">
        <v>1082</v>
      </c>
      <c r="F572" s="58" t="s">
        <v>1083</v>
      </c>
      <c r="G572" s="58" t="s">
        <v>35</v>
      </c>
      <c r="H572" s="58" t="s">
        <v>36</v>
      </c>
      <c r="I572" s="58" t="s">
        <v>36</v>
      </c>
      <c r="J572" s="34">
        <v>112</v>
      </c>
      <c r="K572" s="34">
        <v>112</v>
      </c>
      <c r="L572" s="34">
        <v>0</v>
      </c>
      <c r="M572" s="37">
        <v>9296</v>
      </c>
      <c r="N572" s="34">
        <v>0</v>
      </c>
      <c r="O572" s="40">
        <v>0</v>
      </c>
    </row>
    <row r="573" spans="1:15">
      <c r="B573" s="55">
        <v>561</v>
      </c>
      <c r="C573" s="58">
        <v>51</v>
      </c>
      <c r="D573" s="58"/>
      <c r="E573" s="58" t="s">
        <v>1082</v>
      </c>
      <c r="F573" s="58" t="s">
        <v>1083</v>
      </c>
      <c r="G573" s="58" t="s">
        <v>72</v>
      </c>
      <c r="H573" s="58" t="s">
        <v>30</v>
      </c>
      <c r="I573" s="58" t="s">
        <v>30</v>
      </c>
      <c r="J573" s="34">
        <v>0</v>
      </c>
      <c r="K573" s="34">
        <v>0</v>
      </c>
      <c r="L573" s="34">
        <v>0</v>
      </c>
      <c r="M573" s="37">
        <v>0</v>
      </c>
      <c r="N573" s="34">
        <v>0</v>
      </c>
      <c r="O573" s="40">
        <v>0</v>
      </c>
    </row>
    <row r="574" spans="1:15">
      <c r="B574" s="55">
        <v>562</v>
      </c>
      <c r="C574" s="58">
        <v>51</v>
      </c>
      <c r="D574" s="58"/>
      <c r="E574" s="58" t="s">
        <v>1084</v>
      </c>
      <c r="F574" s="58" t="s">
        <v>1085</v>
      </c>
      <c r="G574" s="58" t="s">
        <v>261</v>
      </c>
      <c r="H574" s="58" t="s">
        <v>261</v>
      </c>
      <c r="I574" s="58" t="s">
        <v>88</v>
      </c>
      <c r="J574" s="34">
        <v>75600</v>
      </c>
      <c r="K574" s="34">
        <v>71286</v>
      </c>
      <c r="L574" s="34">
        <v>-4314</v>
      </c>
      <c r="M574" s="37">
        <v>4539064</v>
      </c>
      <c r="N574" s="34">
        <v>18900</v>
      </c>
      <c r="O574" s="40">
        <v>1134000</v>
      </c>
    </row>
    <row r="575" spans="1:15">
      <c r="B575" s="55">
        <v>563</v>
      </c>
      <c r="C575" s="58">
        <v>51</v>
      </c>
      <c r="D575" s="58"/>
      <c r="E575" s="58" t="s">
        <v>1086</v>
      </c>
      <c r="F575" s="58" t="s">
        <v>1087</v>
      </c>
      <c r="G575" s="58" t="s">
        <v>758</v>
      </c>
      <c r="H575" s="58" t="s">
        <v>434</v>
      </c>
      <c r="I575" s="58" t="s">
        <v>759</v>
      </c>
      <c r="J575" s="34">
        <v>15936</v>
      </c>
      <c r="K575" s="34">
        <v>15936</v>
      </c>
      <c r="L575" s="34">
        <v>0</v>
      </c>
      <c r="M575" s="37">
        <v>484454.4</v>
      </c>
      <c r="N575" s="34">
        <v>3024</v>
      </c>
      <c r="O575" s="40">
        <v>91929.60000000001</v>
      </c>
    </row>
    <row r="576" spans="1:15">
      <c r="B576" s="55">
        <v>564</v>
      </c>
      <c r="C576" s="58">
        <v>51</v>
      </c>
      <c r="D576" s="58"/>
      <c r="E576" s="58" t="s">
        <v>1088</v>
      </c>
      <c r="F576" s="58" t="s">
        <v>1089</v>
      </c>
      <c r="G576" s="58" t="s">
        <v>885</v>
      </c>
      <c r="H576" s="58" t="s">
        <v>886</v>
      </c>
      <c r="I576" s="58" t="s">
        <v>266</v>
      </c>
      <c r="J576" s="34">
        <v>6460</v>
      </c>
      <c r="K576" s="34">
        <v>6460</v>
      </c>
      <c r="L576" s="34">
        <v>0</v>
      </c>
      <c r="M576" s="37">
        <v>2889687.2</v>
      </c>
      <c r="N576" s="34">
        <v>1440</v>
      </c>
      <c r="O576" s="40">
        <v>625752</v>
      </c>
    </row>
    <row r="577" spans="1:15">
      <c r="B577" s="55">
        <v>565</v>
      </c>
      <c r="C577" s="58">
        <v>51</v>
      </c>
      <c r="D577" s="58"/>
      <c r="E577" s="58" t="s">
        <v>1090</v>
      </c>
      <c r="F577" s="58" t="s">
        <v>1091</v>
      </c>
      <c r="G577" s="58" t="s">
        <v>37</v>
      </c>
      <c r="H577" s="58" t="s">
        <v>38</v>
      </c>
      <c r="I577" s="58" t="s">
        <v>38</v>
      </c>
      <c r="J577" s="34">
        <v>4800</v>
      </c>
      <c r="K577" s="34">
        <v>4800</v>
      </c>
      <c r="L577" s="34">
        <v>0</v>
      </c>
      <c r="M577" s="37">
        <v>194592</v>
      </c>
      <c r="N577" s="34">
        <v>2400</v>
      </c>
      <c r="O577" s="40">
        <v>97296</v>
      </c>
    </row>
    <row r="578" spans="1:15">
      <c r="B578" s="55">
        <v>566</v>
      </c>
      <c r="C578" s="58">
        <v>51</v>
      </c>
      <c r="D578" s="58"/>
      <c r="E578" s="58" t="s">
        <v>1092</v>
      </c>
      <c r="F578" s="58" t="s">
        <v>1093</v>
      </c>
      <c r="G578" s="58" t="s">
        <v>261</v>
      </c>
      <c r="H578" s="58" t="s">
        <v>261</v>
      </c>
      <c r="I578" s="58" t="s">
        <v>88</v>
      </c>
      <c r="J578" s="34">
        <v>12300</v>
      </c>
      <c r="K578" s="34">
        <v>11882</v>
      </c>
      <c r="L578" s="34">
        <v>-418</v>
      </c>
      <c r="M578" s="37">
        <v>754507</v>
      </c>
      <c r="N578" s="34">
        <v>0</v>
      </c>
      <c r="O578" s="40">
        <v>0</v>
      </c>
    </row>
    <row r="579" spans="1:15">
      <c r="B579" s="55">
        <v>567</v>
      </c>
      <c r="C579" s="58">
        <v>51</v>
      </c>
      <c r="D579" s="58"/>
      <c r="E579" s="58" t="s">
        <v>1094</v>
      </c>
      <c r="F579" s="58" t="s">
        <v>1095</v>
      </c>
      <c r="G579" s="58" t="s">
        <v>1096</v>
      </c>
      <c r="H579" s="58" t="s">
        <v>1097</v>
      </c>
      <c r="I579" s="58"/>
      <c r="J579" s="34">
        <v>0</v>
      </c>
      <c r="K579" s="34">
        <v>0</v>
      </c>
      <c r="L579" s="34">
        <v>0</v>
      </c>
      <c r="M579" s="37">
        <v>0</v>
      </c>
      <c r="N579" s="34">
        <v>0</v>
      </c>
      <c r="O579" s="40">
        <v>0</v>
      </c>
    </row>
    <row r="580" spans="1:15">
      <c r="B580" s="55">
        <v>568</v>
      </c>
      <c r="C580" s="58">
        <v>51</v>
      </c>
      <c r="D580" s="58"/>
      <c r="E580" s="58" t="s">
        <v>1098</v>
      </c>
      <c r="F580" s="58" t="s">
        <v>1099</v>
      </c>
      <c r="G580" s="58" t="s">
        <v>1100</v>
      </c>
      <c r="H580" s="58" t="s">
        <v>1101</v>
      </c>
      <c r="I580" s="58"/>
      <c r="J580" s="34">
        <v>0</v>
      </c>
      <c r="K580" s="34">
        <v>0</v>
      </c>
      <c r="L580" s="34">
        <v>0</v>
      </c>
      <c r="M580" s="37">
        <v>0</v>
      </c>
      <c r="N580" s="34">
        <v>0</v>
      </c>
      <c r="O580" s="40">
        <v>0</v>
      </c>
    </row>
    <row r="581" spans="1:15">
      <c r="B581" s="55">
        <v>569</v>
      </c>
      <c r="C581" s="58">
        <v>51</v>
      </c>
      <c r="D581" s="58"/>
      <c r="E581" s="58" t="s">
        <v>1098</v>
      </c>
      <c r="F581" s="58" t="s">
        <v>1099</v>
      </c>
      <c r="G581" s="58" t="s">
        <v>1102</v>
      </c>
      <c r="H581" s="58" t="s">
        <v>1103</v>
      </c>
      <c r="I581" s="58"/>
      <c r="J581" s="34">
        <v>0</v>
      </c>
      <c r="K581" s="34">
        <v>0</v>
      </c>
      <c r="L581" s="34">
        <v>0</v>
      </c>
      <c r="M581" s="37">
        <v>0</v>
      </c>
      <c r="N581" s="34">
        <v>0</v>
      </c>
      <c r="O581" s="40">
        <v>0</v>
      </c>
    </row>
    <row r="582" spans="1:15">
      <c r="B582" s="55">
        <v>570</v>
      </c>
      <c r="C582" s="58">
        <v>51</v>
      </c>
      <c r="D582" s="58"/>
      <c r="E582" s="58" t="s">
        <v>1104</v>
      </c>
      <c r="F582" s="58" t="s">
        <v>1105</v>
      </c>
      <c r="G582" s="58" t="s">
        <v>1106</v>
      </c>
      <c r="H582" s="58" t="s">
        <v>1107</v>
      </c>
      <c r="I582" s="58"/>
      <c r="J582" s="34">
        <v>0</v>
      </c>
      <c r="K582" s="34">
        <v>0</v>
      </c>
      <c r="L582" s="34">
        <v>0</v>
      </c>
      <c r="M582" s="37">
        <v>0</v>
      </c>
      <c r="N582" s="34">
        <v>0</v>
      </c>
      <c r="O582" s="40">
        <v>0</v>
      </c>
    </row>
    <row r="583" spans="1:15">
      <c r="B583" s="55">
        <v>571</v>
      </c>
      <c r="C583" s="58">
        <v>51</v>
      </c>
      <c r="D583" s="58"/>
      <c r="E583" s="58" t="s">
        <v>1104</v>
      </c>
      <c r="F583" s="58" t="s">
        <v>1105</v>
      </c>
      <c r="G583" s="58" t="s">
        <v>1108</v>
      </c>
      <c r="H583" s="58" t="s">
        <v>1109</v>
      </c>
      <c r="I583" s="58"/>
      <c r="J583" s="34">
        <v>0</v>
      </c>
      <c r="K583" s="34">
        <v>0</v>
      </c>
      <c r="L583" s="34">
        <v>0</v>
      </c>
      <c r="M583" s="37">
        <v>0</v>
      </c>
      <c r="N583" s="34">
        <v>0</v>
      </c>
      <c r="O583" s="40">
        <v>0</v>
      </c>
    </row>
    <row r="584" spans="1:15">
      <c r="B584" s="55">
        <v>572</v>
      </c>
      <c r="C584" s="58">
        <v>51</v>
      </c>
      <c r="D584" s="58"/>
      <c r="E584" s="58" t="s">
        <v>1104</v>
      </c>
      <c r="F584" s="58" t="s">
        <v>1105</v>
      </c>
      <c r="G584" s="58" t="s">
        <v>1110</v>
      </c>
      <c r="H584" s="58" t="s">
        <v>1111</v>
      </c>
      <c r="I584" s="58"/>
      <c r="J584" s="34">
        <v>0</v>
      </c>
      <c r="K584" s="34">
        <v>0</v>
      </c>
      <c r="L584" s="34">
        <v>0</v>
      </c>
      <c r="M584" s="37">
        <v>0</v>
      </c>
      <c r="N584" s="34">
        <v>0</v>
      </c>
      <c r="O584" s="40">
        <v>0</v>
      </c>
    </row>
    <row r="585" spans="1:15">
      <c r="B585" s="55">
        <v>573</v>
      </c>
      <c r="C585" s="58">
        <v>51</v>
      </c>
      <c r="D585" s="58"/>
      <c r="E585" s="58" t="s">
        <v>1104</v>
      </c>
      <c r="F585" s="58" t="s">
        <v>1105</v>
      </c>
      <c r="G585" s="58" t="s">
        <v>1112</v>
      </c>
      <c r="H585" s="58" t="s">
        <v>1113</v>
      </c>
      <c r="I585" s="58"/>
      <c r="J585" s="34">
        <v>0</v>
      </c>
      <c r="K585" s="34">
        <v>0</v>
      </c>
      <c r="L585" s="34">
        <v>0</v>
      </c>
      <c r="M585" s="37">
        <v>0</v>
      </c>
      <c r="N585" s="34">
        <v>0</v>
      </c>
      <c r="O585" s="40">
        <v>0</v>
      </c>
    </row>
    <row r="586" spans="1:15">
      <c r="B586" s="55">
        <v>574</v>
      </c>
      <c r="C586" s="58">
        <v>51</v>
      </c>
      <c r="D586" s="58"/>
      <c r="E586" s="58" t="s">
        <v>1104</v>
      </c>
      <c r="F586" s="58" t="s">
        <v>1105</v>
      </c>
      <c r="G586" s="58" t="s">
        <v>1114</v>
      </c>
      <c r="H586" s="58" t="s">
        <v>1115</v>
      </c>
      <c r="I586" s="58"/>
      <c r="J586" s="34">
        <v>0</v>
      </c>
      <c r="K586" s="34">
        <v>0</v>
      </c>
      <c r="L586" s="34">
        <v>0</v>
      </c>
      <c r="M586" s="37">
        <v>0</v>
      </c>
      <c r="N586" s="34">
        <v>0</v>
      </c>
      <c r="O586" s="40">
        <v>0</v>
      </c>
    </row>
    <row r="587" spans="1:15">
      <c r="B587" s="55">
        <v>575</v>
      </c>
      <c r="C587" s="58">
        <v>51</v>
      </c>
      <c r="D587" s="58"/>
      <c r="E587" s="58" t="s">
        <v>1104</v>
      </c>
      <c r="F587" s="58" t="s">
        <v>1105</v>
      </c>
      <c r="G587" s="58" t="s">
        <v>1116</v>
      </c>
      <c r="H587" s="58" t="s">
        <v>1117</v>
      </c>
      <c r="I587" s="58"/>
      <c r="J587" s="34">
        <v>0</v>
      </c>
      <c r="K587" s="34">
        <v>0</v>
      </c>
      <c r="L587" s="34">
        <v>0</v>
      </c>
      <c r="M587" s="37">
        <v>0</v>
      </c>
      <c r="N587" s="34">
        <v>0</v>
      </c>
      <c r="O587" s="40">
        <v>0</v>
      </c>
    </row>
    <row r="588" spans="1:15">
      <c r="B588" s="55">
        <v>576</v>
      </c>
      <c r="C588" s="58">
        <v>51</v>
      </c>
      <c r="D588" s="58"/>
      <c r="E588" s="58" t="s">
        <v>1104</v>
      </c>
      <c r="F588" s="58" t="s">
        <v>1105</v>
      </c>
      <c r="G588" s="58" t="s">
        <v>1118</v>
      </c>
      <c r="H588" s="58" t="s">
        <v>1119</v>
      </c>
      <c r="I588" s="58"/>
      <c r="J588" s="34">
        <v>0</v>
      </c>
      <c r="K588" s="34">
        <v>0</v>
      </c>
      <c r="L588" s="34">
        <v>0</v>
      </c>
      <c r="M588" s="37">
        <v>0</v>
      </c>
      <c r="N588" s="34">
        <v>0</v>
      </c>
      <c r="O588" s="40">
        <v>0</v>
      </c>
    </row>
    <row r="589" spans="1:15">
      <c r="B589" s="55">
        <v>577</v>
      </c>
      <c r="C589" s="58">
        <v>51</v>
      </c>
      <c r="D589" s="58"/>
      <c r="E589" s="58" t="s">
        <v>1104</v>
      </c>
      <c r="F589" s="58" t="s">
        <v>1105</v>
      </c>
      <c r="G589" s="58" t="s">
        <v>1120</v>
      </c>
      <c r="H589" s="58" t="s">
        <v>1121</v>
      </c>
      <c r="I589" s="58"/>
      <c r="J589" s="34">
        <v>0</v>
      </c>
      <c r="K589" s="34">
        <v>0</v>
      </c>
      <c r="L589" s="34">
        <v>0</v>
      </c>
      <c r="M589" s="37">
        <v>0</v>
      </c>
      <c r="N589" s="34">
        <v>0</v>
      </c>
      <c r="O589" s="40">
        <v>0</v>
      </c>
    </row>
    <row r="590" spans="1:15">
      <c r="B590" s="55">
        <v>578</v>
      </c>
      <c r="C590" s="58">
        <v>51</v>
      </c>
      <c r="D590" s="58"/>
      <c r="E590" s="58" t="s">
        <v>1104</v>
      </c>
      <c r="F590" s="58" t="s">
        <v>1105</v>
      </c>
      <c r="G590" s="58" t="s">
        <v>1122</v>
      </c>
      <c r="H590" s="58" t="s">
        <v>1123</v>
      </c>
      <c r="I590" s="58"/>
      <c r="J590" s="34">
        <v>0</v>
      </c>
      <c r="K590" s="34">
        <v>0</v>
      </c>
      <c r="L590" s="34">
        <v>0</v>
      </c>
      <c r="M590" s="37">
        <v>0</v>
      </c>
      <c r="N590" s="34">
        <v>0</v>
      </c>
      <c r="O590" s="40">
        <v>0</v>
      </c>
    </row>
    <row r="591" spans="1:15">
      <c r="B591" s="55">
        <v>579</v>
      </c>
      <c r="C591" s="58">
        <v>51</v>
      </c>
      <c r="D591" s="58"/>
      <c r="E591" s="58" t="s">
        <v>1124</v>
      </c>
      <c r="F591" s="58" t="s">
        <v>1125</v>
      </c>
      <c r="G591" s="58" t="s">
        <v>1126</v>
      </c>
      <c r="H591" s="58" t="s">
        <v>1127</v>
      </c>
      <c r="I591" s="58"/>
      <c r="J591" s="34">
        <v>0</v>
      </c>
      <c r="K591" s="34">
        <v>0</v>
      </c>
      <c r="L591" s="34">
        <v>0</v>
      </c>
      <c r="M591" s="37">
        <v>0</v>
      </c>
      <c r="N591" s="34">
        <v>0</v>
      </c>
      <c r="O591" s="40">
        <v>0</v>
      </c>
    </row>
    <row r="592" spans="1:15">
      <c r="B592" s="55">
        <v>580</v>
      </c>
      <c r="C592" s="58">
        <v>51</v>
      </c>
      <c r="D592" s="58"/>
      <c r="E592" s="58" t="s">
        <v>1124</v>
      </c>
      <c r="F592" s="58" t="s">
        <v>1125</v>
      </c>
      <c r="G592" s="58" t="s">
        <v>1128</v>
      </c>
      <c r="H592" s="58" t="s">
        <v>1129</v>
      </c>
      <c r="I592" s="58"/>
      <c r="J592" s="34">
        <v>0</v>
      </c>
      <c r="K592" s="34">
        <v>0</v>
      </c>
      <c r="L592" s="34">
        <v>0</v>
      </c>
      <c r="M592" s="37">
        <v>0</v>
      </c>
      <c r="N592" s="34">
        <v>0</v>
      </c>
      <c r="O592" s="40">
        <v>0</v>
      </c>
    </row>
    <row r="593" spans="1:15">
      <c r="B593" s="55">
        <v>581</v>
      </c>
      <c r="C593" s="58">
        <v>51</v>
      </c>
      <c r="D593" s="58"/>
      <c r="E593" s="58" t="s">
        <v>1130</v>
      </c>
      <c r="F593" s="58" t="s">
        <v>1131</v>
      </c>
      <c r="G593" s="58" t="s">
        <v>1132</v>
      </c>
      <c r="H593" s="58" t="s">
        <v>1133</v>
      </c>
      <c r="I593" s="58" t="s">
        <v>1134</v>
      </c>
      <c r="J593" s="34">
        <v>60</v>
      </c>
      <c r="K593" s="34">
        <v>60</v>
      </c>
      <c r="L593" s="34">
        <v>0</v>
      </c>
      <c r="M593" s="37">
        <v>59400</v>
      </c>
      <c r="N593" s="34">
        <v>0</v>
      </c>
      <c r="O593" s="40">
        <v>0</v>
      </c>
    </row>
    <row r="594" spans="1:15">
      <c r="B594" s="55">
        <v>582</v>
      </c>
      <c r="C594" s="58">
        <v>51</v>
      </c>
      <c r="D594" s="58"/>
      <c r="E594" s="58" t="s">
        <v>1130</v>
      </c>
      <c r="F594" s="58" t="s">
        <v>1131</v>
      </c>
      <c r="G594" s="58" t="s">
        <v>1135</v>
      </c>
      <c r="H594" s="58" t="s">
        <v>1136</v>
      </c>
      <c r="I594" s="58" t="s">
        <v>1134</v>
      </c>
      <c r="J594" s="34">
        <v>0</v>
      </c>
      <c r="K594" s="34">
        <v>0</v>
      </c>
      <c r="L594" s="34">
        <v>0</v>
      </c>
      <c r="M594" s="37">
        <v>0</v>
      </c>
      <c r="N594" s="34">
        <v>0</v>
      </c>
      <c r="O594" s="40">
        <v>0</v>
      </c>
    </row>
    <row r="595" spans="1:15">
      <c r="B595" s="55">
        <v>583</v>
      </c>
      <c r="C595" s="58">
        <v>51</v>
      </c>
      <c r="D595" s="58"/>
      <c r="E595" s="58" t="s">
        <v>1137</v>
      </c>
      <c r="F595" s="58" t="s">
        <v>1138</v>
      </c>
      <c r="G595" s="58" t="s">
        <v>1139</v>
      </c>
      <c r="H595" s="58" t="s">
        <v>1140</v>
      </c>
      <c r="I595" s="58"/>
      <c r="J595" s="34">
        <v>0</v>
      </c>
      <c r="K595" s="34">
        <v>0</v>
      </c>
      <c r="L595" s="34">
        <v>0</v>
      </c>
      <c r="M595" s="37">
        <v>0</v>
      </c>
      <c r="N595" s="34">
        <v>0</v>
      </c>
      <c r="O595" s="40">
        <v>0</v>
      </c>
    </row>
    <row r="596" spans="1:15">
      <c r="B596" s="55">
        <v>584</v>
      </c>
      <c r="C596" s="58">
        <v>51</v>
      </c>
      <c r="D596" s="58"/>
      <c r="E596" s="58" t="s">
        <v>1137</v>
      </c>
      <c r="F596" s="58" t="s">
        <v>1138</v>
      </c>
      <c r="G596" s="58" t="s">
        <v>1141</v>
      </c>
      <c r="H596" s="58" t="s">
        <v>1142</v>
      </c>
      <c r="I596" s="58"/>
      <c r="J596" s="34">
        <v>750</v>
      </c>
      <c r="K596" s="34">
        <v>600</v>
      </c>
      <c r="L596" s="34">
        <v>-150</v>
      </c>
      <c r="M596" s="37">
        <v>41550</v>
      </c>
      <c r="N596" s="34">
        <v>0</v>
      </c>
      <c r="O596" s="40">
        <v>0</v>
      </c>
    </row>
    <row r="597" spans="1:15">
      <c r="B597" s="55">
        <v>585</v>
      </c>
      <c r="C597" s="58">
        <v>51</v>
      </c>
      <c r="D597" s="58"/>
      <c r="E597" s="58" t="s">
        <v>1137</v>
      </c>
      <c r="F597" s="58" t="s">
        <v>1138</v>
      </c>
      <c r="G597" s="58" t="s">
        <v>1143</v>
      </c>
      <c r="H597" s="58" t="s">
        <v>1144</v>
      </c>
      <c r="I597" s="58"/>
      <c r="J597" s="34">
        <v>100</v>
      </c>
      <c r="K597" s="34">
        <v>100</v>
      </c>
      <c r="L597" s="34">
        <v>0</v>
      </c>
      <c r="M597" s="37">
        <v>628</v>
      </c>
      <c r="N597" s="34">
        <v>0</v>
      </c>
      <c r="O597" s="40">
        <v>0</v>
      </c>
    </row>
    <row r="598" spans="1:15">
      <c r="B598" s="55">
        <v>586</v>
      </c>
      <c r="C598" s="58">
        <v>51</v>
      </c>
      <c r="D598" s="58"/>
      <c r="E598" s="58" t="s">
        <v>1137</v>
      </c>
      <c r="F598" s="58" t="s">
        <v>1138</v>
      </c>
      <c r="G598" s="58" t="s">
        <v>1145</v>
      </c>
      <c r="H598" s="58" t="s">
        <v>1146</v>
      </c>
      <c r="I598" s="58"/>
      <c r="J598" s="34">
        <v>600</v>
      </c>
      <c r="K598" s="34">
        <v>0</v>
      </c>
      <c r="L598" s="34">
        <v>-600</v>
      </c>
      <c r="M598" s="37">
        <v>0</v>
      </c>
      <c r="N598" s="34">
        <v>0</v>
      </c>
      <c r="O598" s="40">
        <v>0</v>
      </c>
    </row>
    <row r="599" spans="1:15">
      <c r="B599" s="55">
        <v>587</v>
      </c>
      <c r="C599" s="58">
        <v>51</v>
      </c>
      <c r="D599" s="58"/>
      <c r="E599" s="58" t="s">
        <v>1137</v>
      </c>
      <c r="F599" s="58" t="s">
        <v>1138</v>
      </c>
      <c r="G599" s="58" t="s">
        <v>1147</v>
      </c>
      <c r="H599" s="58" t="s">
        <v>1148</v>
      </c>
      <c r="I599" s="58"/>
      <c r="J599" s="34">
        <v>100</v>
      </c>
      <c r="K599" s="34">
        <v>100</v>
      </c>
      <c r="L599" s="34">
        <v>0</v>
      </c>
      <c r="M599" s="37">
        <v>124</v>
      </c>
      <c r="N599" s="34">
        <v>0</v>
      </c>
      <c r="O599" s="40">
        <v>0</v>
      </c>
    </row>
    <row r="600" spans="1:15">
      <c r="B600" s="55">
        <v>588</v>
      </c>
      <c r="C600" s="58">
        <v>51</v>
      </c>
      <c r="D600" s="58"/>
      <c r="E600" s="58" t="s">
        <v>1137</v>
      </c>
      <c r="F600" s="58" t="s">
        <v>1138</v>
      </c>
      <c r="G600" s="58" t="s">
        <v>1149</v>
      </c>
      <c r="H600" s="58" t="s">
        <v>1150</v>
      </c>
      <c r="I600" s="58"/>
      <c r="J600" s="34">
        <v>5000</v>
      </c>
      <c r="K600" s="34">
        <v>5000</v>
      </c>
      <c r="L600" s="34">
        <v>0</v>
      </c>
      <c r="M600" s="37">
        <v>2500</v>
      </c>
      <c r="N600" s="34">
        <v>0</v>
      </c>
      <c r="O600" s="40">
        <v>0</v>
      </c>
    </row>
    <row r="601" spans="1:15">
      <c r="B601" s="55">
        <v>589</v>
      </c>
      <c r="C601" s="58">
        <v>51</v>
      </c>
      <c r="D601" s="58"/>
      <c r="E601" s="58" t="s">
        <v>1137</v>
      </c>
      <c r="F601" s="58" t="s">
        <v>1138</v>
      </c>
      <c r="G601" s="58" t="s">
        <v>1151</v>
      </c>
      <c r="H601" s="58" t="s">
        <v>1152</v>
      </c>
      <c r="I601" s="58"/>
      <c r="J601" s="34">
        <v>0</v>
      </c>
      <c r="K601" s="34">
        <v>0</v>
      </c>
      <c r="L601" s="34">
        <v>0</v>
      </c>
      <c r="M601" s="37">
        <v>0</v>
      </c>
      <c r="N601" s="34">
        <v>0</v>
      </c>
      <c r="O601" s="40">
        <v>0</v>
      </c>
    </row>
    <row r="602" spans="1:15">
      <c r="B602" s="55">
        <v>590</v>
      </c>
      <c r="C602" s="58">
        <v>51</v>
      </c>
      <c r="D602" s="58"/>
      <c r="E602" s="58" t="s">
        <v>1137</v>
      </c>
      <c r="F602" s="58" t="s">
        <v>1138</v>
      </c>
      <c r="G602" s="58" t="s">
        <v>1153</v>
      </c>
      <c r="H602" s="58" t="s">
        <v>1154</v>
      </c>
      <c r="I602" s="58"/>
      <c r="J602" s="34">
        <v>0</v>
      </c>
      <c r="K602" s="34">
        <v>0</v>
      </c>
      <c r="L602" s="34">
        <v>0</v>
      </c>
      <c r="M602" s="37">
        <v>0</v>
      </c>
      <c r="N602" s="34">
        <v>0</v>
      </c>
      <c r="O602" s="40">
        <v>0</v>
      </c>
    </row>
    <row r="603" spans="1:15">
      <c r="B603" s="55">
        <v>591</v>
      </c>
      <c r="C603" s="58">
        <v>51</v>
      </c>
      <c r="D603" s="58"/>
      <c r="E603" s="58" t="s">
        <v>1137</v>
      </c>
      <c r="F603" s="58" t="s">
        <v>1138</v>
      </c>
      <c r="G603" s="58" t="s">
        <v>1155</v>
      </c>
      <c r="H603" s="58" t="s">
        <v>1156</v>
      </c>
      <c r="I603" s="58"/>
      <c r="J603" s="34">
        <v>0</v>
      </c>
      <c r="K603" s="34">
        <v>0</v>
      </c>
      <c r="L603" s="34">
        <v>0</v>
      </c>
      <c r="M603" s="37">
        <v>0</v>
      </c>
      <c r="N603" s="34">
        <v>0</v>
      </c>
      <c r="O603" s="40">
        <v>0</v>
      </c>
    </row>
    <row r="604" spans="1:15">
      <c r="B604" s="55">
        <v>592</v>
      </c>
      <c r="C604" s="58">
        <v>51</v>
      </c>
      <c r="D604" s="58"/>
      <c r="E604" s="58" t="s">
        <v>1137</v>
      </c>
      <c r="F604" s="58" t="s">
        <v>1138</v>
      </c>
      <c r="G604" s="58" t="s">
        <v>1157</v>
      </c>
      <c r="H604" s="58" t="s">
        <v>1158</v>
      </c>
      <c r="I604" s="58"/>
      <c r="J604" s="34">
        <v>200</v>
      </c>
      <c r="K604" s="34">
        <v>0</v>
      </c>
      <c r="L604" s="34">
        <v>-200</v>
      </c>
      <c r="M604" s="37">
        <v>0</v>
      </c>
      <c r="N604" s="34">
        <v>0</v>
      </c>
      <c r="O604" s="40">
        <v>0</v>
      </c>
    </row>
    <row r="605" spans="1:15">
      <c r="B605" s="55">
        <v>593</v>
      </c>
      <c r="C605" s="58">
        <v>51</v>
      </c>
      <c r="D605" s="58"/>
      <c r="E605" s="58" t="s">
        <v>1137</v>
      </c>
      <c r="F605" s="58" t="s">
        <v>1138</v>
      </c>
      <c r="G605" s="58" t="s">
        <v>1159</v>
      </c>
      <c r="H605" s="58" t="s">
        <v>1160</v>
      </c>
      <c r="I605" s="58"/>
      <c r="J605" s="34">
        <v>1500</v>
      </c>
      <c r="K605" s="34">
        <v>1500</v>
      </c>
      <c r="L605" s="34">
        <v>0</v>
      </c>
      <c r="M605" s="37">
        <v>1620</v>
      </c>
      <c r="N605" s="34">
        <v>0</v>
      </c>
      <c r="O605" s="40">
        <v>0</v>
      </c>
    </row>
    <row r="606" spans="1:15">
      <c r="B606" s="55">
        <v>594</v>
      </c>
      <c r="C606" s="58">
        <v>51</v>
      </c>
      <c r="D606" s="58"/>
      <c r="E606" s="58" t="s">
        <v>1137</v>
      </c>
      <c r="F606" s="58" t="s">
        <v>1138</v>
      </c>
      <c r="G606" s="58" t="s">
        <v>1161</v>
      </c>
      <c r="H606" s="58" t="s">
        <v>1162</v>
      </c>
      <c r="I606" s="58"/>
      <c r="J606" s="34">
        <v>300</v>
      </c>
      <c r="K606" s="34">
        <v>0</v>
      </c>
      <c r="L606" s="34">
        <v>-300</v>
      </c>
      <c r="M606" s="37">
        <v>0</v>
      </c>
      <c r="N606" s="34">
        <v>0</v>
      </c>
      <c r="O606" s="40">
        <v>0</v>
      </c>
    </row>
    <row r="607" spans="1:15">
      <c r="B607" s="55">
        <v>595</v>
      </c>
      <c r="C607" s="58">
        <v>51</v>
      </c>
      <c r="D607" s="58"/>
      <c r="E607" s="58" t="s">
        <v>1137</v>
      </c>
      <c r="F607" s="58" t="s">
        <v>1138</v>
      </c>
      <c r="G607" s="58" t="s">
        <v>1163</v>
      </c>
      <c r="H607" s="58" t="s">
        <v>1164</v>
      </c>
      <c r="I607" s="58"/>
      <c r="J607" s="34">
        <v>600</v>
      </c>
      <c r="K607" s="34">
        <v>600</v>
      </c>
      <c r="L607" s="34">
        <v>0</v>
      </c>
      <c r="M607" s="37">
        <v>7884</v>
      </c>
      <c r="N607" s="34">
        <v>0</v>
      </c>
      <c r="O607" s="40">
        <v>0</v>
      </c>
    </row>
    <row r="608" spans="1:15">
      <c r="B608" s="55">
        <v>596</v>
      </c>
      <c r="C608" s="58">
        <v>51</v>
      </c>
      <c r="D608" s="58"/>
      <c r="E608" s="58" t="s">
        <v>1137</v>
      </c>
      <c r="F608" s="58" t="s">
        <v>1138</v>
      </c>
      <c r="G608" s="58" t="s">
        <v>1165</v>
      </c>
      <c r="H608" s="58" t="s">
        <v>1166</v>
      </c>
      <c r="I608" s="58"/>
      <c r="J608" s="34">
        <v>0</v>
      </c>
      <c r="K608" s="34">
        <v>0</v>
      </c>
      <c r="L608" s="34">
        <v>0</v>
      </c>
      <c r="M608" s="37">
        <v>0</v>
      </c>
      <c r="N608" s="34">
        <v>0</v>
      </c>
      <c r="O608" s="40">
        <v>0</v>
      </c>
    </row>
    <row r="609" spans="1:15">
      <c r="B609" s="55">
        <v>597</v>
      </c>
      <c r="C609" s="58">
        <v>51</v>
      </c>
      <c r="D609" s="58"/>
      <c r="E609" s="58" t="s">
        <v>1137</v>
      </c>
      <c r="F609" s="58" t="s">
        <v>1138</v>
      </c>
      <c r="G609" s="58" t="s">
        <v>1167</v>
      </c>
      <c r="H609" s="58" t="s">
        <v>1168</v>
      </c>
      <c r="I609" s="58"/>
      <c r="J609" s="34">
        <v>900</v>
      </c>
      <c r="K609" s="34">
        <v>600</v>
      </c>
      <c r="L609" s="34">
        <v>-300</v>
      </c>
      <c r="M609" s="37">
        <v>5712</v>
      </c>
      <c r="N609" s="34">
        <v>0</v>
      </c>
      <c r="O609" s="40">
        <v>0</v>
      </c>
    </row>
    <row r="610" spans="1:15">
      <c r="B610" s="55">
        <v>598</v>
      </c>
      <c r="C610" s="58">
        <v>51</v>
      </c>
      <c r="D610" s="58"/>
      <c r="E610" s="58" t="s">
        <v>1137</v>
      </c>
      <c r="F610" s="58" t="s">
        <v>1138</v>
      </c>
      <c r="G610" s="58" t="s">
        <v>1169</v>
      </c>
      <c r="H610" s="58" t="s">
        <v>1170</v>
      </c>
      <c r="I610" s="58"/>
      <c r="J610" s="34">
        <v>5000</v>
      </c>
      <c r="K610" s="34">
        <v>2500</v>
      </c>
      <c r="L610" s="34">
        <v>-2500</v>
      </c>
      <c r="M610" s="37">
        <v>6625</v>
      </c>
      <c r="N610" s="34">
        <v>0</v>
      </c>
      <c r="O610" s="40">
        <v>0</v>
      </c>
    </row>
    <row r="611" spans="1:15">
      <c r="B611" s="55">
        <v>599</v>
      </c>
      <c r="C611" s="58">
        <v>51</v>
      </c>
      <c r="D611" s="58"/>
      <c r="E611" s="58" t="s">
        <v>1137</v>
      </c>
      <c r="F611" s="58" t="s">
        <v>1138</v>
      </c>
      <c r="G611" s="58" t="s">
        <v>1171</v>
      </c>
      <c r="H611" s="58" t="s">
        <v>1172</v>
      </c>
      <c r="I611" s="58"/>
      <c r="J611" s="34">
        <v>0</v>
      </c>
      <c r="K611" s="34">
        <v>80</v>
      </c>
      <c r="L611" s="34">
        <v>80</v>
      </c>
      <c r="M611" s="37">
        <v>10764</v>
      </c>
      <c r="N611" s="34">
        <v>0</v>
      </c>
      <c r="O611" s="40">
        <v>0</v>
      </c>
    </row>
    <row r="612" spans="1:15">
      <c r="B612" s="55">
        <v>600</v>
      </c>
      <c r="C612" s="58">
        <v>51</v>
      </c>
      <c r="D612" s="58"/>
      <c r="E612" s="58" t="s">
        <v>1137</v>
      </c>
      <c r="F612" s="58" t="s">
        <v>1138</v>
      </c>
      <c r="G612" s="58" t="s">
        <v>1173</v>
      </c>
      <c r="H612" s="58" t="s">
        <v>1174</v>
      </c>
      <c r="I612" s="58"/>
      <c r="J612" s="34">
        <v>0</v>
      </c>
      <c r="K612" s="34">
        <v>0</v>
      </c>
      <c r="L612" s="34">
        <v>0</v>
      </c>
      <c r="M612" s="37">
        <v>0</v>
      </c>
      <c r="N612" s="34">
        <v>0</v>
      </c>
      <c r="O612" s="40">
        <v>0</v>
      </c>
    </row>
    <row r="613" spans="1:15">
      <c r="B613" s="55">
        <v>601</v>
      </c>
      <c r="C613" s="58">
        <v>51</v>
      </c>
      <c r="D613" s="58"/>
      <c r="E613" s="58" t="s">
        <v>1137</v>
      </c>
      <c r="F613" s="58" t="s">
        <v>1138</v>
      </c>
      <c r="G613" s="58" t="s">
        <v>1175</v>
      </c>
      <c r="H613" s="58" t="s">
        <v>1176</v>
      </c>
      <c r="I613" s="58"/>
      <c r="J613" s="34">
        <v>200</v>
      </c>
      <c r="K613" s="34">
        <v>200</v>
      </c>
      <c r="L613" s="34">
        <v>0</v>
      </c>
      <c r="M613" s="37">
        <v>25220</v>
      </c>
      <c r="N613" s="34">
        <v>0</v>
      </c>
      <c r="O613" s="40">
        <v>0</v>
      </c>
    </row>
    <row r="614" spans="1:15">
      <c r="B614" s="55">
        <v>602</v>
      </c>
      <c r="C614" s="58">
        <v>51</v>
      </c>
      <c r="D614" s="58"/>
      <c r="E614" s="58" t="s">
        <v>1137</v>
      </c>
      <c r="F614" s="58" t="s">
        <v>1138</v>
      </c>
      <c r="G614" s="58" t="s">
        <v>1177</v>
      </c>
      <c r="H614" s="58" t="s">
        <v>1178</v>
      </c>
      <c r="I614" s="58"/>
      <c r="J614" s="34">
        <v>0</v>
      </c>
      <c r="K614" s="34">
        <v>0</v>
      </c>
      <c r="L614" s="34">
        <v>0</v>
      </c>
      <c r="M614" s="37">
        <v>0</v>
      </c>
      <c r="N614" s="34">
        <v>0</v>
      </c>
      <c r="O614" s="40">
        <v>0</v>
      </c>
    </row>
    <row r="615" spans="1:15">
      <c r="B615" s="55">
        <v>603</v>
      </c>
      <c r="C615" s="58">
        <v>51</v>
      </c>
      <c r="D615" s="58"/>
      <c r="E615" s="58" t="s">
        <v>1137</v>
      </c>
      <c r="F615" s="58" t="s">
        <v>1138</v>
      </c>
      <c r="G615" s="58" t="s">
        <v>1179</v>
      </c>
      <c r="H615" s="58" t="s">
        <v>1180</v>
      </c>
      <c r="I615" s="58"/>
      <c r="J615" s="34">
        <v>0</v>
      </c>
      <c r="K615" s="34">
        <v>0</v>
      </c>
      <c r="L615" s="34">
        <v>0</v>
      </c>
      <c r="M615" s="37">
        <v>0</v>
      </c>
      <c r="N615" s="34">
        <v>0</v>
      </c>
      <c r="O615" s="40">
        <v>0</v>
      </c>
    </row>
    <row r="616" spans="1:15">
      <c r="B616" s="55">
        <v>604</v>
      </c>
      <c r="C616" s="58">
        <v>51</v>
      </c>
      <c r="D616" s="58"/>
      <c r="E616" s="58" t="s">
        <v>1137</v>
      </c>
      <c r="F616" s="58" t="s">
        <v>1138</v>
      </c>
      <c r="G616" s="58" t="s">
        <v>1181</v>
      </c>
      <c r="H616" s="58" t="s">
        <v>1182</v>
      </c>
      <c r="I616" s="58"/>
      <c r="J616" s="34">
        <v>0</v>
      </c>
      <c r="K616" s="34">
        <v>0</v>
      </c>
      <c r="L616" s="34">
        <v>0</v>
      </c>
      <c r="M616" s="37">
        <v>0</v>
      </c>
      <c r="N616" s="34">
        <v>0</v>
      </c>
      <c r="O616" s="40">
        <v>0</v>
      </c>
    </row>
    <row r="617" spans="1:15">
      <c r="B617" s="55">
        <v>605</v>
      </c>
      <c r="C617" s="58">
        <v>51</v>
      </c>
      <c r="D617" s="58"/>
      <c r="E617" s="58" t="s">
        <v>1137</v>
      </c>
      <c r="F617" s="58" t="s">
        <v>1138</v>
      </c>
      <c r="G617" s="58" t="s">
        <v>1183</v>
      </c>
      <c r="H617" s="58" t="s">
        <v>1184</v>
      </c>
      <c r="I617" s="58"/>
      <c r="J617" s="34">
        <v>0</v>
      </c>
      <c r="K617" s="34">
        <v>0</v>
      </c>
      <c r="L617" s="34">
        <v>0</v>
      </c>
      <c r="M617" s="37">
        <v>0</v>
      </c>
      <c r="N617" s="34">
        <v>0</v>
      </c>
      <c r="O617" s="40">
        <v>0</v>
      </c>
    </row>
    <row r="618" spans="1:15">
      <c r="B618" s="55">
        <v>606</v>
      </c>
      <c r="C618" s="58">
        <v>51</v>
      </c>
      <c r="D618" s="58"/>
      <c r="E618" s="58" t="s">
        <v>1137</v>
      </c>
      <c r="F618" s="58" t="s">
        <v>1138</v>
      </c>
      <c r="G618" s="58" t="s">
        <v>1185</v>
      </c>
      <c r="H618" s="58" t="s">
        <v>1186</v>
      </c>
      <c r="I618" s="58"/>
      <c r="J618" s="34">
        <v>0</v>
      </c>
      <c r="K618" s="34">
        <v>0</v>
      </c>
      <c r="L618" s="34">
        <v>0</v>
      </c>
      <c r="M618" s="37">
        <v>0</v>
      </c>
      <c r="N618" s="34">
        <v>0</v>
      </c>
      <c r="O618" s="40">
        <v>0</v>
      </c>
    </row>
    <row r="619" spans="1:15">
      <c r="B619" s="55">
        <v>607</v>
      </c>
      <c r="C619" s="58">
        <v>51</v>
      </c>
      <c r="D619" s="58"/>
      <c r="E619" s="58" t="s">
        <v>1137</v>
      </c>
      <c r="F619" s="58" t="s">
        <v>1138</v>
      </c>
      <c r="G619" s="58" t="s">
        <v>1187</v>
      </c>
      <c r="H619" s="58" t="s">
        <v>1188</v>
      </c>
      <c r="I619" s="58"/>
      <c r="J619" s="34">
        <v>0</v>
      </c>
      <c r="K619" s="34">
        <v>0</v>
      </c>
      <c r="L619" s="34">
        <v>0</v>
      </c>
      <c r="M619" s="37">
        <v>0</v>
      </c>
      <c r="N619" s="34">
        <v>0</v>
      </c>
      <c r="O619" s="40">
        <v>0</v>
      </c>
    </row>
    <row r="620" spans="1:15">
      <c r="B620" s="55">
        <v>608</v>
      </c>
      <c r="C620" s="58">
        <v>51</v>
      </c>
      <c r="D620" s="58"/>
      <c r="E620" s="58" t="s">
        <v>1137</v>
      </c>
      <c r="F620" s="58" t="s">
        <v>1138</v>
      </c>
      <c r="G620" s="58" t="s">
        <v>1189</v>
      </c>
      <c r="H620" s="58" t="s">
        <v>1190</v>
      </c>
      <c r="I620" s="58"/>
      <c r="J620" s="34">
        <v>900</v>
      </c>
      <c r="K620" s="34">
        <v>900</v>
      </c>
      <c r="L620" s="34">
        <v>0</v>
      </c>
      <c r="M620" s="37">
        <v>12906</v>
      </c>
      <c r="N620" s="34">
        <v>0</v>
      </c>
      <c r="O620" s="40">
        <v>0</v>
      </c>
    </row>
    <row r="621" spans="1:15">
      <c r="B621" s="55">
        <v>609</v>
      </c>
      <c r="C621" s="58">
        <v>51</v>
      </c>
      <c r="D621" s="58"/>
      <c r="E621" s="58" t="s">
        <v>1137</v>
      </c>
      <c r="F621" s="58" t="s">
        <v>1138</v>
      </c>
      <c r="G621" s="58" t="s">
        <v>1191</v>
      </c>
      <c r="H621" s="58" t="s">
        <v>1192</v>
      </c>
      <c r="I621" s="58"/>
      <c r="J621" s="34">
        <v>0</v>
      </c>
      <c r="K621" s="34">
        <v>0</v>
      </c>
      <c r="L621" s="34">
        <v>0</v>
      </c>
      <c r="M621" s="37">
        <v>0</v>
      </c>
      <c r="N621" s="34">
        <v>0</v>
      </c>
      <c r="O621" s="40">
        <v>0</v>
      </c>
    </row>
    <row r="622" spans="1:15">
      <c r="B622" s="55">
        <v>610</v>
      </c>
      <c r="C622" s="58">
        <v>51</v>
      </c>
      <c r="D622" s="58"/>
      <c r="E622" s="58" t="s">
        <v>1137</v>
      </c>
      <c r="F622" s="58" t="s">
        <v>1138</v>
      </c>
      <c r="G622" s="58" t="s">
        <v>1193</v>
      </c>
      <c r="H622" s="58" t="s">
        <v>1194</v>
      </c>
      <c r="I622" s="58"/>
      <c r="J622" s="34">
        <v>0</v>
      </c>
      <c r="K622" s="34">
        <v>0</v>
      </c>
      <c r="L622" s="34">
        <v>0</v>
      </c>
      <c r="M622" s="37">
        <v>0</v>
      </c>
      <c r="N622" s="34">
        <v>0</v>
      </c>
      <c r="O622" s="40">
        <v>0</v>
      </c>
    </row>
    <row r="623" spans="1:15">
      <c r="B623" s="55">
        <v>611</v>
      </c>
      <c r="C623" s="58">
        <v>51</v>
      </c>
      <c r="D623" s="58"/>
      <c r="E623" s="58" t="s">
        <v>1137</v>
      </c>
      <c r="F623" s="58" t="s">
        <v>1138</v>
      </c>
      <c r="G623" s="58" t="s">
        <v>1195</v>
      </c>
      <c r="H623" s="58" t="s">
        <v>1196</v>
      </c>
      <c r="I623" s="58"/>
      <c r="J623" s="34">
        <v>600</v>
      </c>
      <c r="K623" s="34">
        <v>600</v>
      </c>
      <c r="L623" s="34">
        <v>0</v>
      </c>
      <c r="M623" s="37">
        <v>3966</v>
      </c>
      <c r="N623" s="34">
        <v>0</v>
      </c>
      <c r="O623" s="40">
        <v>0</v>
      </c>
    </row>
    <row r="624" spans="1:15">
      <c r="B624" s="55">
        <v>612</v>
      </c>
      <c r="C624" s="58">
        <v>51</v>
      </c>
      <c r="D624" s="58"/>
      <c r="E624" s="58" t="s">
        <v>1137</v>
      </c>
      <c r="F624" s="58" t="s">
        <v>1138</v>
      </c>
      <c r="G624" s="58" t="s">
        <v>1197</v>
      </c>
      <c r="H624" s="58" t="s">
        <v>1198</v>
      </c>
      <c r="I624" s="58"/>
      <c r="J624" s="34">
        <v>0</v>
      </c>
      <c r="K624" s="34">
        <v>0</v>
      </c>
      <c r="L624" s="34">
        <v>0</v>
      </c>
      <c r="M624" s="37">
        <v>0</v>
      </c>
      <c r="N624" s="34">
        <v>0</v>
      </c>
      <c r="O624" s="40">
        <v>0</v>
      </c>
    </row>
    <row r="625" spans="1:15">
      <c r="B625" s="55">
        <v>613</v>
      </c>
      <c r="C625" s="58">
        <v>51</v>
      </c>
      <c r="D625" s="58"/>
      <c r="E625" s="58" t="s">
        <v>1137</v>
      </c>
      <c r="F625" s="58" t="s">
        <v>1138</v>
      </c>
      <c r="G625" s="58" t="s">
        <v>1199</v>
      </c>
      <c r="H625" s="58" t="s">
        <v>1200</v>
      </c>
      <c r="I625" s="58"/>
      <c r="J625" s="34">
        <v>0</v>
      </c>
      <c r="K625" s="34">
        <v>0</v>
      </c>
      <c r="L625" s="34">
        <v>0</v>
      </c>
      <c r="M625" s="37">
        <v>0</v>
      </c>
      <c r="N625" s="34">
        <v>0</v>
      </c>
      <c r="O625" s="40">
        <v>0</v>
      </c>
    </row>
    <row r="626" spans="1:15">
      <c r="B626" s="55">
        <v>614</v>
      </c>
      <c r="C626" s="58">
        <v>51</v>
      </c>
      <c r="D626" s="58"/>
      <c r="E626" s="58" t="s">
        <v>1137</v>
      </c>
      <c r="F626" s="58" t="s">
        <v>1138</v>
      </c>
      <c r="G626" s="58" t="s">
        <v>1201</v>
      </c>
      <c r="H626" s="58" t="s">
        <v>1202</v>
      </c>
      <c r="I626" s="58"/>
      <c r="J626" s="34">
        <v>0</v>
      </c>
      <c r="K626" s="34">
        <v>0</v>
      </c>
      <c r="L626" s="34">
        <v>0</v>
      </c>
      <c r="M626" s="37">
        <v>0</v>
      </c>
      <c r="N626" s="34">
        <v>0</v>
      </c>
      <c r="O626" s="40">
        <v>0</v>
      </c>
    </row>
    <row r="627" spans="1:15">
      <c r="B627" s="55">
        <v>615</v>
      </c>
      <c r="C627" s="58">
        <v>51</v>
      </c>
      <c r="D627" s="58"/>
      <c r="E627" s="58" t="s">
        <v>1137</v>
      </c>
      <c r="F627" s="58" t="s">
        <v>1138</v>
      </c>
      <c r="G627" s="58" t="s">
        <v>1203</v>
      </c>
      <c r="H627" s="58" t="s">
        <v>1204</v>
      </c>
      <c r="I627" s="58"/>
      <c r="J627" s="34">
        <v>0</v>
      </c>
      <c r="K627" s="34">
        <v>0</v>
      </c>
      <c r="L627" s="34">
        <v>0</v>
      </c>
      <c r="M627" s="37">
        <v>0</v>
      </c>
      <c r="N627" s="34">
        <v>0</v>
      </c>
      <c r="O627" s="40">
        <v>0</v>
      </c>
    </row>
    <row r="628" spans="1:15">
      <c r="B628" s="55">
        <v>616</v>
      </c>
      <c r="C628" s="58">
        <v>51</v>
      </c>
      <c r="D628" s="58"/>
      <c r="E628" s="58" t="s">
        <v>1137</v>
      </c>
      <c r="F628" s="58" t="s">
        <v>1138</v>
      </c>
      <c r="G628" s="58" t="s">
        <v>1205</v>
      </c>
      <c r="H628" s="58" t="s">
        <v>1206</v>
      </c>
      <c r="I628" s="58" t="s">
        <v>1207</v>
      </c>
      <c r="J628" s="34">
        <v>0</v>
      </c>
      <c r="K628" s="34">
        <v>0</v>
      </c>
      <c r="L628" s="34">
        <v>0</v>
      </c>
      <c r="M628" s="37">
        <v>0</v>
      </c>
      <c r="N628" s="34">
        <v>0</v>
      </c>
      <c r="O628" s="40">
        <v>0</v>
      </c>
    </row>
    <row r="629" spans="1:15">
      <c r="B629" s="55">
        <v>617</v>
      </c>
      <c r="C629" s="58">
        <v>51</v>
      </c>
      <c r="D629" s="58"/>
      <c r="E629" s="58" t="s">
        <v>1137</v>
      </c>
      <c r="F629" s="58" t="s">
        <v>1138</v>
      </c>
      <c r="G629" s="58" t="s">
        <v>1208</v>
      </c>
      <c r="H629" s="58" t="s">
        <v>1209</v>
      </c>
      <c r="I629" s="58"/>
      <c r="J629" s="34">
        <v>0</v>
      </c>
      <c r="K629" s="34">
        <v>0</v>
      </c>
      <c r="L629" s="34">
        <v>0</v>
      </c>
      <c r="M629" s="37">
        <v>0</v>
      </c>
      <c r="N629" s="34">
        <v>0</v>
      </c>
      <c r="O629" s="40">
        <v>0</v>
      </c>
    </row>
    <row r="630" spans="1:15">
      <c r="B630" s="55">
        <v>618</v>
      </c>
      <c r="C630" s="58">
        <v>51</v>
      </c>
      <c r="D630" s="58"/>
      <c r="E630" s="58" t="s">
        <v>1137</v>
      </c>
      <c r="F630" s="58" t="s">
        <v>1138</v>
      </c>
      <c r="G630" s="58" t="s">
        <v>1210</v>
      </c>
      <c r="H630" s="58" t="s">
        <v>1211</v>
      </c>
      <c r="I630" s="58"/>
      <c r="J630" s="34">
        <v>0</v>
      </c>
      <c r="K630" s="34">
        <v>0</v>
      </c>
      <c r="L630" s="34">
        <v>0</v>
      </c>
      <c r="M630" s="37">
        <v>0</v>
      </c>
      <c r="N630" s="34">
        <v>0</v>
      </c>
      <c r="O630" s="40">
        <v>0</v>
      </c>
    </row>
    <row r="631" spans="1:15">
      <c r="B631" s="55">
        <v>619</v>
      </c>
      <c r="C631" s="58">
        <v>51</v>
      </c>
      <c r="D631" s="58"/>
      <c r="E631" s="58" t="s">
        <v>1137</v>
      </c>
      <c r="F631" s="58" t="s">
        <v>1138</v>
      </c>
      <c r="G631" s="58" t="s">
        <v>1212</v>
      </c>
      <c r="H631" s="58" t="s">
        <v>1213</v>
      </c>
      <c r="I631" s="58"/>
      <c r="J631" s="34">
        <v>100</v>
      </c>
      <c r="K631" s="34">
        <v>100</v>
      </c>
      <c r="L631" s="34">
        <v>0</v>
      </c>
      <c r="M631" s="37">
        <v>7800</v>
      </c>
      <c r="N631" s="34">
        <v>0</v>
      </c>
      <c r="O631" s="40">
        <v>0</v>
      </c>
    </row>
    <row r="632" spans="1:15">
      <c r="B632" s="55">
        <v>620</v>
      </c>
      <c r="C632" s="58">
        <v>51</v>
      </c>
      <c r="D632" s="58"/>
      <c r="E632" s="58" t="s">
        <v>1137</v>
      </c>
      <c r="F632" s="58" t="s">
        <v>1138</v>
      </c>
      <c r="G632" s="58" t="s">
        <v>1214</v>
      </c>
      <c r="H632" s="58" t="s">
        <v>1215</v>
      </c>
      <c r="I632" s="58"/>
      <c r="J632" s="34">
        <v>0</v>
      </c>
      <c r="K632" s="34">
        <v>0</v>
      </c>
      <c r="L632" s="34">
        <v>0</v>
      </c>
      <c r="M632" s="37">
        <v>0</v>
      </c>
      <c r="N632" s="34">
        <v>0</v>
      </c>
      <c r="O632" s="40">
        <v>0</v>
      </c>
    </row>
    <row r="633" spans="1:15">
      <c r="B633" s="55">
        <v>621</v>
      </c>
      <c r="C633" s="58">
        <v>51</v>
      </c>
      <c r="D633" s="58"/>
      <c r="E633" s="58" t="s">
        <v>1137</v>
      </c>
      <c r="F633" s="58" t="s">
        <v>1138</v>
      </c>
      <c r="G633" s="58" t="s">
        <v>1216</v>
      </c>
      <c r="H633" s="58" t="s">
        <v>1217</v>
      </c>
      <c r="I633" s="58"/>
      <c r="J633" s="34">
        <v>0</v>
      </c>
      <c r="K633" s="34">
        <v>0</v>
      </c>
      <c r="L633" s="34">
        <v>0</v>
      </c>
      <c r="M633" s="37">
        <v>0</v>
      </c>
      <c r="N633" s="34">
        <v>0</v>
      </c>
      <c r="O633" s="40">
        <v>0</v>
      </c>
    </row>
    <row r="634" spans="1:15">
      <c r="B634" s="55">
        <v>622</v>
      </c>
      <c r="C634" s="58">
        <v>51</v>
      </c>
      <c r="D634" s="58"/>
      <c r="E634" s="58" t="s">
        <v>1137</v>
      </c>
      <c r="F634" s="58" t="s">
        <v>1138</v>
      </c>
      <c r="G634" s="58" t="s">
        <v>1218</v>
      </c>
      <c r="H634" s="58" t="s">
        <v>1219</v>
      </c>
      <c r="I634" s="58"/>
      <c r="J634" s="34">
        <v>600</v>
      </c>
      <c r="K634" s="34">
        <v>600</v>
      </c>
      <c r="L634" s="34">
        <v>0</v>
      </c>
      <c r="M634" s="37">
        <v>912</v>
      </c>
      <c r="N634" s="34">
        <v>0</v>
      </c>
      <c r="O634" s="40">
        <v>0</v>
      </c>
    </row>
    <row r="635" spans="1:15">
      <c r="B635" s="55">
        <v>623</v>
      </c>
      <c r="C635" s="58">
        <v>51</v>
      </c>
      <c r="D635" s="58"/>
      <c r="E635" s="58" t="s">
        <v>1220</v>
      </c>
      <c r="F635" s="58" t="s">
        <v>1221</v>
      </c>
      <c r="G635" s="58" t="s">
        <v>1222</v>
      </c>
      <c r="H635" s="58" t="s">
        <v>1223</v>
      </c>
      <c r="I635" s="58"/>
      <c r="J635" s="34">
        <v>0</v>
      </c>
      <c r="K635" s="34">
        <v>0</v>
      </c>
      <c r="L635" s="34">
        <v>0</v>
      </c>
      <c r="M635" s="37">
        <v>0</v>
      </c>
      <c r="N635" s="34">
        <v>0</v>
      </c>
      <c r="O635" s="40">
        <v>0</v>
      </c>
    </row>
    <row r="636" spans="1:15">
      <c r="B636" s="55">
        <v>624</v>
      </c>
      <c r="C636" s="58">
        <v>51</v>
      </c>
      <c r="D636" s="58"/>
      <c r="E636" s="58" t="s">
        <v>1220</v>
      </c>
      <c r="F636" s="58" t="s">
        <v>1221</v>
      </c>
      <c r="G636" s="58" t="s">
        <v>1224</v>
      </c>
      <c r="H636" s="58" t="s">
        <v>1225</v>
      </c>
      <c r="I636" s="58"/>
      <c r="J636" s="34">
        <v>0</v>
      </c>
      <c r="K636" s="34">
        <v>0</v>
      </c>
      <c r="L636" s="34">
        <v>0</v>
      </c>
      <c r="M636" s="37">
        <v>0</v>
      </c>
      <c r="N636" s="34">
        <v>0</v>
      </c>
      <c r="O636" s="40">
        <v>0</v>
      </c>
    </row>
    <row r="637" spans="1:15">
      <c r="B637" s="55">
        <v>625</v>
      </c>
      <c r="C637" s="58">
        <v>51</v>
      </c>
      <c r="D637" s="58"/>
      <c r="E637" s="58" t="s">
        <v>1220</v>
      </c>
      <c r="F637" s="58" t="s">
        <v>1221</v>
      </c>
      <c r="G637" s="58" t="s">
        <v>1226</v>
      </c>
      <c r="H637" s="58" t="s">
        <v>1227</v>
      </c>
      <c r="I637" s="58"/>
      <c r="J637" s="34">
        <v>300</v>
      </c>
      <c r="K637" s="34">
        <v>300</v>
      </c>
      <c r="L637" s="34">
        <v>0</v>
      </c>
      <c r="M637" s="37">
        <v>7590</v>
      </c>
      <c r="N637" s="34">
        <v>0</v>
      </c>
      <c r="O637" s="40">
        <v>0</v>
      </c>
    </row>
    <row r="638" spans="1:15">
      <c r="B638" s="55">
        <v>626</v>
      </c>
      <c r="C638" s="58">
        <v>51</v>
      </c>
      <c r="D638" s="58"/>
      <c r="E638" s="58" t="s">
        <v>1220</v>
      </c>
      <c r="F638" s="58" t="s">
        <v>1221</v>
      </c>
      <c r="G638" s="58" t="s">
        <v>1228</v>
      </c>
      <c r="H638" s="58" t="s">
        <v>1229</v>
      </c>
      <c r="I638" s="58"/>
      <c r="J638" s="34">
        <v>125</v>
      </c>
      <c r="K638" s="34">
        <v>125</v>
      </c>
      <c r="L638" s="34">
        <v>0</v>
      </c>
      <c r="M638" s="37">
        <v>7750</v>
      </c>
      <c r="N638" s="34">
        <v>0</v>
      </c>
      <c r="O638" s="40">
        <v>0</v>
      </c>
    </row>
    <row r="639" spans="1:15">
      <c r="B639" s="55">
        <v>627</v>
      </c>
      <c r="C639" s="58">
        <v>51</v>
      </c>
      <c r="D639" s="58"/>
      <c r="E639" s="58" t="s">
        <v>1220</v>
      </c>
      <c r="F639" s="58" t="s">
        <v>1221</v>
      </c>
      <c r="G639" s="58" t="s">
        <v>1230</v>
      </c>
      <c r="H639" s="58" t="s">
        <v>1231</v>
      </c>
      <c r="I639" s="58"/>
      <c r="J639" s="34">
        <v>3000</v>
      </c>
      <c r="K639" s="34">
        <v>3000</v>
      </c>
      <c r="L639" s="34">
        <v>0</v>
      </c>
      <c r="M639" s="37">
        <v>7050</v>
      </c>
      <c r="N639" s="34">
        <v>0</v>
      </c>
      <c r="O639" s="40">
        <v>0</v>
      </c>
    </row>
    <row r="640" spans="1:15">
      <c r="B640" s="55">
        <v>628</v>
      </c>
      <c r="C640" s="58">
        <v>51</v>
      </c>
      <c r="D640" s="58"/>
      <c r="E640" s="58" t="s">
        <v>1232</v>
      </c>
      <c r="F640" s="58" t="s">
        <v>1233</v>
      </c>
      <c r="G640" s="58" t="s">
        <v>1234</v>
      </c>
      <c r="H640" s="58" t="s">
        <v>1235</v>
      </c>
      <c r="I640" s="58"/>
      <c r="J640" s="34">
        <v>0</v>
      </c>
      <c r="K640" s="34">
        <v>0</v>
      </c>
      <c r="L640" s="34">
        <v>0</v>
      </c>
      <c r="M640" s="37">
        <v>0</v>
      </c>
      <c r="N640" s="34">
        <v>0</v>
      </c>
      <c r="O640" s="40">
        <v>0</v>
      </c>
    </row>
    <row r="641" spans="1:15">
      <c r="B641" s="55">
        <v>629</v>
      </c>
      <c r="C641" s="58">
        <v>51</v>
      </c>
      <c r="D641" s="58"/>
      <c r="E641" s="58" t="s">
        <v>1236</v>
      </c>
      <c r="F641" s="58" t="s">
        <v>1237</v>
      </c>
      <c r="G641" s="58" t="s">
        <v>1238</v>
      </c>
      <c r="H641" s="58" t="s">
        <v>1239</v>
      </c>
      <c r="I641" s="58"/>
      <c r="J641" s="34">
        <v>0</v>
      </c>
      <c r="K641" s="34">
        <v>0</v>
      </c>
      <c r="L641" s="34">
        <v>0</v>
      </c>
      <c r="M641" s="37">
        <v>0</v>
      </c>
      <c r="N641" s="34">
        <v>0</v>
      </c>
      <c r="O641" s="40">
        <v>0</v>
      </c>
    </row>
    <row r="642" spans="1:15">
      <c r="B642" s="55">
        <v>630</v>
      </c>
      <c r="C642" s="58">
        <v>51</v>
      </c>
      <c r="D642" s="58"/>
      <c r="E642" s="58" t="s">
        <v>1236</v>
      </c>
      <c r="F642" s="58" t="s">
        <v>1237</v>
      </c>
      <c r="G642" s="58" t="s">
        <v>1240</v>
      </c>
      <c r="H642" s="58" t="s">
        <v>1241</v>
      </c>
      <c r="I642" s="58"/>
      <c r="J642" s="34">
        <v>0</v>
      </c>
      <c r="K642" s="34">
        <v>0</v>
      </c>
      <c r="L642" s="34">
        <v>0</v>
      </c>
      <c r="M642" s="37">
        <v>0</v>
      </c>
      <c r="N642" s="34">
        <v>0</v>
      </c>
      <c r="O642" s="40">
        <v>0</v>
      </c>
    </row>
    <row r="643" spans="1:15">
      <c r="B643" s="55">
        <v>631</v>
      </c>
      <c r="C643" s="58">
        <v>51</v>
      </c>
      <c r="D643" s="58"/>
      <c r="E643" s="58" t="s">
        <v>1242</v>
      </c>
      <c r="F643" s="58" t="s">
        <v>1243</v>
      </c>
      <c r="G643" s="58" t="s">
        <v>1244</v>
      </c>
      <c r="H643" s="58" t="s">
        <v>1245</v>
      </c>
      <c r="I643" s="58"/>
      <c r="J643" s="34">
        <v>0</v>
      </c>
      <c r="K643" s="34">
        <v>0</v>
      </c>
      <c r="L643" s="34">
        <v>0</v>
      </c>
      <c r="M643" s="37">
        <v>0</v>
      </c>
      <c r="N643" s="34">
        <v>0</v>
      </c>
      <c r="O643" s="40">
        <v>0</v>
      </c>
    </row>
    <row r="644" spans="1:15">
      <c r="B644" s="55">
        <v>632</v>
      </c>
      <c r="C644" s="58">
        <v>51</v>
      </c>
      <c r="D644" s="58"/>
      <c r="E644" s="58" t="s">
        <v>1246</v>
      </c>
      <c r="F644" s="58" t="s">
        <v>1247</v>
      </c>
      <c r="G644" s="58" t="s">
        <v>1248</v>
      </c>
      <c r="H644" s="58" t="s">
        <v>1249</v>
      </c>
      <c r="I644" s="58"/>
      <c r="J644" s="34">
        <v>400</v>
      </c>
      <c r="K644" s="34">
        <v>400</v>
      </c>
      <c r="L644" s="34">
        <v>0</v>
      </c>
      <c r="M644" s="37">
        <v>8800</v>
      </c>
      <c r="N644" s="34">
        <v>0</v>
      </c>
      <c r="O644" s="40">
        <v>0</v>
      </c>
    </row>
    <row r="645" spans="1:15">
      <c r="B645" s="55">
        <v>633</v>
      </c>
      <c r="C645" s="58">
        <v>51</v>
      </c>
      <c r="D645" s="58"/>
      <c r="E645" s="58" t="s">
        <v>1250</v>
      </c>
      <c r="F645" s="58" t="s">
        <v>1251</v>
      </c>
      <c r="G645" s="58" t="s">
        <v>1126</v>
      </c>
      <c r="H645" s="58" t="s">
        <v>1127</v>
      </c>
      <c r="I645" s="58"/>
      <c r="J645" s="34">
        <v>400</v>
      </c>
      <c r="K645" s="34">
        <v>400</v>
      </c>
      <c r="L645" s="34">
        <v>0</v>
      </c>
      <c r="M645" s="37">
        <v>6200</v>
      </c>
      <c r="N645" s="34">
        <v>0</v>
      </c>
      <c r="O645" s="40">
        <v>0</v>
      </c>
    </row>
    <row r="646" spans="1:15">
      <c r="B646" s="55">
        <v>634</v>
      </c>
      <c r="C646" s="58">
        <v>51</v>
      </c>
      <c r="D646" s="58"/>
      <c r="E646" s="58" t="s">
        <v>1250</v>
      </c>
      <c r="F646" s="58" t="s">
        <v>1251</v>
      </c>
      <c r="G646" s="58" t="s">
        <v>1252</v>
      </c>
      <c r="H646" s="58" t="s">
        <v>1253</v>
      </c>
      <c r="I646" s="58" t="s">
        <v>1207</v>
      </c>
      <c r="J646" s="34">
        <v>0</v>
      </c>
      <c r="K646" s="34">
        <v>0</v>
      </c>
      <c r="L646" s="34">
        <v>0</v>
      </c>
      <c r="M646" s="37">
        <v>0</v>
      </c>
      <c r="N646" s="34">
        <v>0</v>
      </c>
      <c r="O646" s="40">
        <v>0</v>
      </c>
    </row>
    <row r="647" spans="1:15">
      <c r="B647" s="55">
        <v>635</v>
      </c>
      <c r="C647" s="58">
        <v>51</v>
      </c>
      <c r="D647" s="58"/>
      <c r="E647" s="58" t="s">
        <v>1250</v>
      </c>
      <c r="F647" s="58" t="s">
        <v>1251</v>
      </c>
      <c r="G647" s="58" t="s">
        <v>1128</v>
      </c>
      <c r="H647" s="58" t="s">
        <v>1129</v>
      </c>
      <c r="I647" s="58"/>
      <c r="J647" s="34">
        <v>150</v>
      </c>
      <c r="K647" s="34">
        <v>150</v>
      </c>
      <c r="L647" s="34">
        <v>0</v>
      </c>
      <c r="M647" s="37">
        <v>2925</v>
      </c>
      <c r="N647" s="34">
        <v>0</v>
      </c>
      <c r="O647" s="40">
        <v>0</v>
      </c>
    </row>
    <row r="648" spans="1:15">
      <c r="B648" s="55">
        <v>636</v>
      </c>
      <c r="C648" s="58">
        <v>51</v>
      </c>
      <c r="D648" s="58"/>
      <c r="E648" s="58" t="s">
        <v>1254</v>
      </c>
      <c r="F648" s="58" t="s">
        <v>1255</v>
      </c>
      <c r="G648" s="58" t="s">
        <v>1256</v>
      </c>
      <c r="H648" s="58" t="s">
        <v>1257</v>
      </c>
      <c r="I648" s="58" t="s">
        <v>1258</v>
      </c>
      <c r="J648" s="34">
        <v>17280</v>
      </c>
      <c r="K648" s="34">
        <v>12480</v>
      </c>
      <c r="L648" s="34">
        <v>-4800</v>
      </c>
      <c r="M648" s="37">
        <v>733824</v>
      </c>
      <c r="N648" s="34">
        <v>17760</v>
      </c>
      <c r="O648" s="40">
        <v>1044288</v>
      </c>
    </row>
    <row r="649" spans="1:15">
      <c r="B649" s="55">
        <v>637</v>
      </c>
      <c r="C649" s="58">
        <v>51</v>
      </c>
      <c r="D649" s="58"/>
      <c r="E649" s="58" t="s">
        <v>1254</v>
      </c>
      <c r="F649" s="58" t="s">
        <v>1255</v>
      </c>
      <c r="G649" s="58" t="s">
        <v>1259</v>
      </c>
      <c r="H649" s="58" t="s">
        <v>1260</v>
      </c>
      <c r="I649" s="58" t="s">
        <v>1258</v>
      </c>
      <c r="J649" s="34">
        <v>17280</v>
      </c>
      <c r="K649" s="34">
        <v>12480</v>
      </c>
      <c r="L649" s="34">
        <v>-4800</v>
      </c>
      <c r="M649" s="37">
        <v>754915.2</v>
      </c>
      <c r="N649" s="34">
        <v>17760</v>
      </c>
      <c r="O649" s="40">
        <v>1074302.4</v>
      </c>
    </row>
    <row r="650" spans="1:15">
      <c r="B650" s="55">
        <v>638</v>
      </c>
      <c r="C650" s="58">
        <v>51</v>
      </c>
      <c r="D650" s="58"/>
      <c r="E650" s="58" t="s">
        <v>1254</v>
      </c>
      <c r="F650" s="58" t="s">
        <v>1255</v>
      </c>
      <c r="G650" s="58" t="s">
        <v>1261</v>
      </c>
      <c r="H650" s="58" t="s">
        <v>1260</v>
      </c>
      <c r="I650" s="58" t="s">
        <v>55</v>
      </c>
      <c r="J650" s="34">
        <v>0</v>
      </c>
      <c r="K650" s="34">
        <v>0</v>
      </c>
      <c r="L650" s="34">
        <v>0</v>
      </c>
      <c r="M650" s="37">
        <v>0</v>
      </c>
      <c r="N650" s="34">
        <v>0</v>
      </c>
      <c r="O650" s="40">
        <v>0</v>
      </c>
    </row>
    <row r="651" spans="1:15">
      <c r="B651" s="55">
        <v>639</v>
      </c>
      <c r="C651" s="58">
        <v>51</v>
      </c>
      <c r="D651" s="58"/>
      <c r="E651" s="58" t="s">
        <v>1254</v>
      </c>
      <c r="F651" s="58" t="s">
        <v>1255</v>
      </c>
      <c r="G651" s="58" t="s">
        <v>1262</v>
      </c>
      <c r="H651" s="58" t="s">
        <v>1263</v>
      </c>
      <c r="I651" s="58" t="s">
        <v>258</v>
      </c>
      <c r="J651" s="34">
        <v>5616</v>
      </c>
      <c r="K651" s="34">
        <v>3996</v>
      </c>
      <c r="L651" s="34">
        <v>-1620</v>
      </c>
      <c r="M651" s="37">
        <v>135824.04</v>
      </c>
      <c r="N651" s="34">
        <v>2808</v>
      </c>
      <c r="O651" s="40">
        <v>95443.92</v>
      </c>
    </row>
    <row r="652" spans="1:15">
      <c r="B652" s="55">
        <v>640</v>
      </c>
      <c r="C652" s="58">
        <v>51</v>
      </c>
      <c r="D652" s="58"/>
      <c r="E652" s="58" t="s">
        <v>1254</v>
      </c>
      <c r="F652" s="58" t="s">
        <v>1255</v>
      </c>
      <c r="G652" s="58" t="s">
        <v>1264</v>
      </c>
      <c r="H652" s="58" t="s">
        <v>1265</v>
      </c>
      <c r="I652" s="58" t="s">
        <v>258</v>
      </c>
      <c r="J652" s="34">
        <v>5760</v>
      </c>
      <c r="K652" s="34">
        <v>4224</v>
      </c>
      <c r="L652" s="34">
        <v>-1536</v>
      </c>
      <c r="M652" s="37">
        <v>182730.24</v>
      </c>
      <c r="N652" s="34">
        <v>2880</v>
      </c>
      <c r="O652" s="40">
        <v>124588.8</v>
      </c>
    </row>
    <row r="653" spans="1:15">
      <c r="B653" s="55">
        <v>641</v>
      </c>
      <c r="C653" s="58">
        <v>51</v>
      </c>
      <c r="D653" s="58"/>
      <c r="E653" s="58" t="s">
        <v>1254</v>
      </c>
      <c r="F653" s="58" t="s">
        <v>1255</v>
      </c>
      <c r="G653" s="58" t="s">
        <v>1266</v>
      </c>
      <c r="H653" s="58" t="s">
        <v>1260</v>
      </c>
      <c r="I653" s="58" t="s">
        <v>323</v>
      </c>
      <c r="J653" s="34">
        <v>0</v>
      </c>
      <c r="K653" s="34">
        <v>0</v>
      </c>
      <c r="L653" s="34">
        <v>0</v>
      </c>
      <c r="M653" s="37">
        <v>0</v>
      </c>
      <c r="N653" s="34">
        <v>0</v>
      </c>
      <c r="O653" s="40">
        <v>0</v>
      </c>
    </row>
    <row r="654" spans="1:15">
      <c r="B654" s="55">
        <v>642</v>
      </c>
      <c r="C654" s="58">
        <v>51</v>
      </c>
      <c r="D654" s="58"/>
      <c r="E654" s="58" t="s">
        <v>1254</v>
      </c>
      <c r="F654" s="58" t="s">
        <v>1255</v>
      </c>
      <c r="G654" s="58" t="s">
        <v>1267</v>
      </c>
      <c r="H654" s="58" t="s">
        <v>1257</v>
      </c>
      <c r="I654" s="58" t="s">
        <v>1258</v>
      </c>
      <c r="J654" s="34">
        <v>0</v>
      </c>
      <c r="K654" s="34">
        <v>0</v>
      </c>
      <c r="L654" s="34">
        <v>0</v>
      </c>
      <c r="M654" s="37">
        <v>0</v>
      </c>
      <c r="N654" s="34">
        <v>0</v>
      </c>
      <c r="O654" s="40">
        <v>0</v>
      </c>
    </row>
    <row r="655" spans="1:15">
      <c r="B655" s="55">
        <v>643</v>
      </c>
      <c r="C655" s="58">
        <v>51</v>
      </c>
      <c r="D655" s="58"/>
      <c r="E655" s="58" t="s">
        <v>1254</v>
      </c>
      <c r="F655" s="58" t="s">
        <v>1255</v>
      </c>
      <c r="G655" s="58" t="s">
        <v>1268</v>
      </c>
      <c r="H655" s="58" t="s">
        <v>1257</v>
      </c>
      <c r="I655" s="58" t="s">
        <v>1269</v>
      </c>
      <c r="J655" s="34">
        <v>4992</v>
      </c>
      <c r="K655" s="34">
        <v>4992</v>
      </c>
      <c r="L655" s="34">
        <v>0</v>
      </c>
      <c r="M655" s="37">
        <v>207717.12</v>
      </c>
      <c r="N655" s="34">
        <v>5248</v>
      </c>
      <c r="O655" s="40">
        <v>218369.28</v>
      </c>
    </row>
    <row r="656" spans="1:15">
      <c r="B656" s="55">
        <v>644</v>
      </c>
      <c r="C656" s="58">
        <v>51</v>
      </c>
      <c r="D656" s="58"/>
      <c r="E656" s="58" t="s">
        <v>1254</v>
      </c>
      <c r="F656" s="58" t="s">
        <v>1255</v>
      </c>
      <c r="G656" s="58" t="s">
        <v>1270</v>
      </c>
      <c r="H656" s="58" t="s">
        <v>1257</v>
      </c>
      <c r="I656" s="58" t="s">
        <v>323</v>
      </c>
      <c r="J656" s="34">
        <v>0</v>
      </c>
      <c r="K656" s="34">
        <v>0</v>
      </c>
      <c r="L656" s="34">
        <v>0</v>
      </c>
      <c r="M656" s="37">
        <v>0</v>
      </c>
      <c r="N656" s="34">
        <v>0</v>
      </c>
      <c r="O656" s="40">
        <v>0</v>
      </c>
    </row>
    <row r="657" spans="1:15">
      <c r="B657" s="55">
        <v>645</v>
      </c>
      <c r="C657" s="58">
        <v>51</v>
      </c>
      <c r="D657" s="58"/>
      <c r="E657" s="58" t="s">
        <v>1254</v>
      </c>
      <c r="F657" s="58" t="s">
        <v>1255</v>
      </c>
      <c r="G657" s="58" t="s">
        <v>1271</v>
      </c>
      <c r="H657" s="58" t="s">
        <v>1272</v>
      </c>
      <c r="I657" s="58" t="s">
        <v>316</v>
      </c>
      <c r="J657" s="34">
        <v>1920</v>
      </c>
      <c r="K657" s="34">
        <v>960</v>
      </c>
      <c r="L657" s="34">
        <v>-960</v>
      </c>
      <c r="M657" s="37">
        <v>31795.2</v>
      </c>
      <c r="N657" s="34">
        <v>960</v>
      </c>
      <c r="O657" s="40">
        <v>31795.2</v>
      </c>
    </row>
    <row r="658" spans="1:15">
      <c r="B658" s="55">
        <v>646</v>
      </c>
      <c r="C658" s="58">
        <v>51</v>
      </c>
      <c r="D658" s="58"/>
      <c r="E658" s="58" t="s">
        <v>1254</v>
      </c>
      <c r="F658" s="58" t="s">
        <v>1255</v>
      </c>
      <c r="G658" s="58" t="s">
        <v>1273</v>
      </c>
      <c r="H658" s="58" t="s">
        <v>1260</v>
      </c>
      <c r="I658" s="58" t="s">
        <v>1269</v>
      </c>
      <c r="J658" s="34">
        <v>3900</v>
      </c>
      <c r="K658" s="34">
        <v>2700</v>
      </c>
      <c r="L658" s="34">
        <v>-1200</v>
      </c>
      <c r="M658" s="37">
        <v>135162</v>
      </c>
      <c r="N658" s="34">
        <v>7260</v>
      </c>
      <c r="O658" s="40">
        <v>363435.6</v>
      </c>
    </row>
    <row r="659" spans="1:15">
      <c r="B659" s="55">
        <v>647</v>
      </c>
      <c r="C659" s="58">
        <v>51</v>
      </c>
      <c r="D659" s="58"/>
      <c r="E659" s="58" t="s">
        <v>1274</v>
      </c>
      <c r="F659" s="58" t="s">
        <v>1275</v>
      </c>
      <c r="G659" s="58" t="s">
        <v>1276</v>
      </c>
      <c r="H659" s="58" t="s">
        <v>300</v>
      </c>
      <c r="I659" s="58" t="s">
        <v>1277</v>
      </c>
      <c r="J659" s="34">
        <v>26000</v>
      </c>
      <c r="K659" s="34">
        <v>0</v>
      </c>
      <c r="L659" s="34">
        <v>-26000</v>
      </c>
      <c r="M659" s="37">
        <v>0</v>
      </c>
      <c r="N659" s="34">
        <v>0</v>
      </c>
      <c r="O659" s="40">
        <v>0</v>
      </c>
    </row>
    <row r="660" spans="1:15">
      <c r="B660" s="55">
        <v>648</v>
      </c>
      <c r="C660" s="58">
        <v>51</v>
      </c>
      <c r="D660" s="58"/>
      <c r="E660" s="58" t="s">
        <v>1278</v>
      </c>
      <c r="F660" s="58" t="s">
        <v>1279</v>
      </c>
      <c r="G660" s="58" t="s">
        <v>1280</v>
      </c>
      <c r="H660" s="58" t="s">
        <v>1281</v>
      </c>
      <c r="I660" s="58" t="s">
        <v>623</v>
      </c>
      <c r="J660" s="34">
        <v>960</v>
      </c>
      <c r="K660" s="34">
        <v>1440</v>
      </c>
      <c r="L660" s="34">
        <v>480</v>
      </c>
      <c r="M660" s="37" t="str">
        <f>43315.2*$C831</f>
        <v>0</v>
      </c>
      <c r="N660" s="34">
        <v>480</v>
      </c>
      <c r="O660" s="40" t="str">
        <f>14438.4*$C831</f>
        <v>0</v>
      </c>
    </row>
    <row r="661" spans="1:15">
      <c r="B661" s="55">
        <v>649</v>
      </c>
      <c r="C661" s="58">
        <v>51</v>
      </c>
      <c r="D661" s="58"/>
      <c r="E661" s="58" t="s">
        <v>1278</v>
      </c>
      <c r="F661" s="58" t="s">
        <v>1279</v>
      </c>
      <c r="G661" s="58" t="s">
        <v>1282</v>
      </c>
      <c r="H661" s="58" t="s">
        <v>1070</v>
      </c>
      <c r="I661" s="58" t="s">
        <v>623</v>
      </c>
      <c r="J661" s="34">
        <v>660</v>
      </c>
      <c r="K661" s="34">
        <v>660</v>
      </c>
      <c r="L661" s="34">
        <v>0</v>
      </c>
      <c r="M661" s="37" t="str">
        <f>8665.8*$C831</f>
        <v>0</v>
      </c>
      <c r="N661" s="34">
        <v>660</v>
      </c>
      <c r="O661" s="40" t="str">
        <f>8665.8*$C831</f>
        <v>0</v>
      </c>
    </row>
    <row r="662" spans="1:15">
      <c r="B662" s="55">
        <v>650</v>
      </c>
      <c r="C662" s="58">
        <v>51</v>
      </c>
      <c r="D662" s="58"/>
      <c r="E662" s="58" t="s">
        <v>1278</v>
      </c>
      <c r="F662" s="58" t="s">
        <v>1279</v>
      </c>
      <c r="G662" s="58" t="s">
        <v>1283</v>
      </c>
      <c r="H662" s="58" t="s">
        <v>1281</v>
      </c>
      <c r="I662" s="58" t="s">
        <v>623</v>
      </c>
      <c r="J662" s="34">
        <v>1890</v>
      </c>
      <c r="K662" s="34">
        <v>3150</v>
      </c>
      <c r="L662" s="34">
        <v>1260</v>
      </c>
      <c r="M662" s="37" t="str">
        <f>94311*$C831</f>
        <v>0</v>
      </c>
      <c r="N662" s="34">
        <v>1260</v>
      </c>
      <c r="O662" s="40" t="str">
        <f>37724.4*$C831</f>
        <v>0</v>
      </c>
    </row>
    <row r="663" spans="1:15">
      <c r="B663" s="55">
        <v>651</v>
      </c>
      <c r="C663" s="58">
        <v>51</v>
      </c>
      <c r="D663" s="58"/>
      <c r="E663" s="58" t="s">
        <v>1278</v>
      </c>
      <c r="F663" s="58" t="s">
        <v>1279</v>
      </c>
      <c r="G663" s="58" t="s">
        <v>608</v>
      </c>
      <c r="H663" s="58" t="s">
        <v>381</v>
      </c>
      <c r="I663" s="58" t="s">
        <v>609</v>
      </c>
      <c r="J663" s="34">
        <v>6000</v>
      </c>
      <c r="K663" s="34">
        <v>6000</v>
      </c>
      <c r="L663" s="34">
        <v>0</v>
      </c>
      <c r="M663" s="37" t="str">
        <f>26760*$C831</f>
        <v>0</v>
      </c>
      <c r="N663" s="34">
        <v>6000</v>
      </c>
      <c r="O663" s="40" t="str">
        <f>26760*$C831</f>
        <v>0</v>
      </c>
    </row>
    <row r="664" spans="1:15">
      <c r="B664" s="55">
        <v>652</v>
      </c>
      <c r="C664" s="58">
        <v>51</v>
      </c>
      <c r="D664" s="58"/>
      <c r="E664" s="58" t="s">
        <v>1278</v>
      </c>
      <c r="F664" s="58" t="s">
        <v>1279</v>
      </c>
      <c r="G664" s="58" t="s">
        <v>1284</v>
      </c>
      <c r="H664" s="58" t="s">
        <v>1281</v>
      </c>
      <c r="I664" s="58" t="s">
        <v>623</v>
      </c>
      <c r="J664" s="34">
        <v>420</v>
      </c>
      <c r="K664" s="34">
        <v>630</v>
      </c>
      <c r="L664" s="34">
        <v>210</v>
      </c>
      <c r="M664" s="37" t="str">
        <f>18950.4*$C831</f>
        <v>0</v>
      </c>
      <c r="N664" s="34">
        <v>420</v>
      </c>
      <c r="O664" s="40" t="str">
        <f>12633.6*$C831</f>
        <v>0</v>
      </c>
    </row>
    <row r="665" spans="1:15">
      <c r="B665" s="55">
        <v>653</v>
      </c>
      <c r="C665" s="58">
        <v>51</v>
      </c>
      <c r="D665" s="58"/>
      <c r="E665" s="58" t="s">
        <v>1278</v>
      </c>
      <c r="F665" s="58" t="s">
        <v>1279</v>
      </c>
      <c r="G665" s="58" t="s">
        <v>1285</v>
      </c>
      <c r="H665" s="58" t="s">
        <v>1070</v>
      </c>
      <c r="I665" s="58" t="s">
        <v>623</v>
      </c>
      <c r="J665" s="34">
        <v>768</v>
      </c>
      <c r="K665" s="34">
        <v>480</v>
      </c>
      <c r="L665" s="34">
        <v>-288</v>
      </c>
      <c r="M665" s="37" t="str">
        <f>4747.2*$C831</f>
        <v>0</v>
      </c>
      <c r="N665" s="34">
        <v>480</v>
      </c>
      <c r="O665" s="40" t="str">
        <f>4747.2*$C831</f>
        <v>0</v>
      </c>
    </row>
    <row r="666" spans="1:15">
      <c r="B666" s="55">
        <v>654</v>
      </c>
      <c r="C666" s="58">
        <v>51</v>
      </c>
      <c r="D666" s="58"/>
      <c r="E666" s="58" t="s">
        <v>1278</v>
      </c>
      <c r="F666" s="58" t="s">
        <v>1279</v>
      </c>
      <c r="G666" s="58" t="s">
        <v>1286</v>
      </c>
      <c r="H666" s="58" t="s">
        <v>1072</v>
      </c>
      <c r="I666" s="58" t="s">
        <v>548</v>
      </c>
      <c r="J666" s="34">
        <v>1320</v>
      </c>
      <c r="K666" s="34">
        <v>440</v>
      </c>
      <c r="L666" s="34">
        <v>-880</v>
      </c>
      <c r="M666" s="37" t="str">
        <f>6846.4*$C831</f>
        <v>0</v>
      </c>
      <c r="N666" s="34">
        <v>440</v>
      </c>
      <c r="O666" s="40" t="str">
        <f>6846.4*$C831</f>
        <v>0</v>
      </c>
    </row>
    <row r="667" spans="1:15">
      <c r="B667" s="55">
        <v>655</v>
      </c>
      <c r="C667" s="58">
        <v>51</v>
      </c>
      <c r="D667" s="58"/>
      <c r="E667" s="58" t="s">
        <v>1278</v>
      </c>
      <c r="F667" s="58" t="s">
        <v>1279</v>
      </c>
      <c r="G667" s="58" t="s">
        <v>1287</v>
      </c>
      <c r="H667" s="58" t="s">
        <v>1070</v>
      </c>
      <c r="I667" s="58" t="s">
        <v>623</v>
      </c>
      <c r="J667" s="34">
        <v>660</v>
      </c>
      <c r="K667" s="34">
        <v>300</v>
      </c>
      <c r="L667" s="34">
        <v>-360</v>
      </c>
      <c r="M667" s="37" t="str">
        <f>3945*$C831</f>
        <v>0</v>
      </c>
      <c r="N667" s="34">
        <v>300</v>
      </c>
      <c r="O667" s="40" t="str">
        <f>3945*$C831</f>
        <v>0</v>
      </c>
    </row>
    <row r="668" spans="1:15">
      <c r="B668" s="55">
        <v>656</v>
      </c>
      <c r="C668" s="58">
        <v>51</v>
      </c>
      <c r="D668" s="58"/>
      <c r="E668" s="58" t="s">
        <v>1278</v>
      </c>
      <c r="F668" s="58" t="s">
        <v>1279</v>
      </c>
      <c r="G668" s="58" t="s">
        <v>1288</v>
      </c>
      <c r="H668" s="58" t="s">
        <v>1281</v>
      </c>
      <c r="I668" s="58" t="s">
        <v>623</v>
      </c>
      <c r="J668" s="34">
        <v>480</v>
      </c>
      <c r="K668" s="34">
        <v>480</v>
      </c>
      <c r="L668" s="34">
        <v>0</v>
      </c>
      <c r="M668" s="37" t="str">
        <f>14438.4*$C831</f>
        <v>0</v>
      </c>
      <c r="N668" s="34">
        <v>0</v>
      </c>
      <c r="O668" s="40">
        <v>0</v>
      </c>
    </row>
    <row r="669" spans="1:15">
      <c r="B669" s="55">
        <v>657</v>
      </c>
      <c r="C669" s="58">
        <v>51</v>
      </c>
      <c r="D669" s="58"/>
      <c r="E669" s="58" t="s">
        <v>1278</v>
      </c>
      <c r="F669" s="58" t="s">
        <v>1279</v>
      </c>
      <c r="G669" s="58" t="s">
        <v>1289</v>
      </c>
      <c r="H669" s="58" t="s">
        <v>1281</v>
      </c>
      <c r="I669" s="58" t="s">
        <v>623</v>
      </c>
      <c r="J669" s="34">
        <v>2560</v>
      </c>
      <c r="K669" s="34">
        <v>1920</v>
      </c>
      <c r="L669" s="34">
        <v>-640</v>
      </c>
      <c r="M669" s="37" t="str">
        <f>57753.6*$C831</f>
        <v>0</v>
      </c>
      <c r="N669" s="34">
        <v>640</v>
      </c>
      <c r="O669" s="40" t="str">
        <f>19251.2*$C831</f>
        <v>0</v>
      </c>
    </row>
    <row r="670" spans="1:15">
      <c r="B670" s="55">
        <v>658</v>
      </c>
      <c r="C670" s="58">
        <v>51</v>
      </c>
      <c r="D670" s="58"/>
      <c r="E670" s="58" t="s">
        <v>1278</v>
      </c>
      <c r="F670" s="58" t="s">
        <v>1279</v>
      </c>
      <c r="G670" s="58" t="s">
        <v>1290</v>
      </c>
      <c r="H670" s="58" t="s">
        <v>1074</v>
      </c>
      <c r="I670" s="58" t="s">
        <v>455</v>
      </c>
      <c r="J670" s="34">
        <v>1344</v>
      </c>
      <c r="K670" s="34">
        <v>720</v>
      </c>
      <c r="L670" s="34">
        <v>-624</v>
      </c>
      <c r="M670" s="37" t="str">
        <f>14083.2*$C831</f>
        <v>0</v>
      </c>
      <c r="N670" s="34">
        <v>720</v>
      </c>
      <c r="O670" s="40" t="str">
        <f>14083.2*$C831</f>
        <v>0</v>
      </c>
    </row>
    <row r="671" spans="1:15">
      <c r="B671" s="55">
        <v>659</v>
      </c>
      <c r="C671" s="58">
        <v>51</v>
      </c>
      <c r="D671" s="58"/>
      <c r="E671" s="58" t="s">
        <v>1278</v>
      </c>
      <c r="F671" s="58" t="s">
        <v>1279</v>
      </c>
      <c r="G671" s="58" t="s">
        <v>1291</v>
      </c>
      <c r="H671" s="58" t="s">
        <v>1070</v>
      </c>
      <c r="I671" s="58" t="s">
        <v>623</v>
      </c>
      <c r="J671" s="34">
        <v>768</v>
      </c>
      <c r="K671" s="34">
        <v>480</v>
      </c>
      <c r="L671" s="34">
        <v>-288</v>
      </c>
      <c r="M671" s="37" t="str">
        <f>4732.8*$C831</f>
        <v>0</v>
      </c>
      <c r="N671" s="34">
        <v>480</v>
      </c>
      <c r="O671" s="40" t="str">
        <f>4732.8*$C831</f>
        <v>0</v>
      </c>
    </row>
    <row r="672" spans="1:15">
      <c r="B672" s="55">
        <v>660</v>
      </c>
      <c r="C672" s="58">
        <v>51</v>
      </c>
      <c r="D672" s="58"/>
      <c r="E672" s="58" t="s">
        <v>1278</v>
      </c>
      <c r="F672" s="58" t="s">
        <v>1279</v>
      </c>
      <c r="G672" s="58" t="s">
        <v>1292</v>
      </c>
      <c r="H672" s="58" t="s">
        <v>1281</v>
      </c>
      <c r="I672" s="58" t="s">
        <v>623</v>
      </c>
      <c r="J672" s="34">
        <v>480</v>
      </c>
      <c r="K672" s="34">
        <v>480</v>
      </c>
      <c r="L672" s="34">
        <v>0</v>
      </c>
      <c r="M672" s="37" t="str">
        <f>14438.4*$C831</f>
        <v>0</v>
      </c>
      <c r="N672" s="34">
        <v>0</v>
      </c>
      <c r="O672" s="40">
        <v>0</v>
      </c>
    </row>
    <row r="673" spans="1:15">
      <c r="B673" s="55">
        <v>661</v>
      </c>
      <c r="C673" s="58">
        <v>51</v>
      </c>
      <c r="D673" s="58"/>
      <c r="E673" s="58" t="s">
        <v>1278</v>
      </c>
      <c r="F673" s="58" t="s">
        <v>1279</v>
      </c>
      <c r="G673" s="58" t="s">
        <v>1293</v>
      </c>
      <c r="H673" s="58" t="s">
        <v>1079</v>
      </c>
      <c r="I673" s="58" t="s">
        <v>548</v>
      </c>
      <c r="J673" s="34">
        <v>840</v>
      </c>
      <c r="K673" s="34">
        <v>180</v>
      </c>
      <c r="L673" s="34">
        <v>-660</v>
      </c>
      <c r="M673" s="37" t="str">
        <f>2518.2*$C831</f>
        <v>0</v>
      </c>
      <c r="N673" s="34">
        <v>180</v>
      </c>
      <c r="O673" s="40" t="str">
        <f>2518.2*$C831</f>
        <v>0</v>
      </c>
    </row>
    <row r="674" spans="1:15">
      <c r="B674" s="55">
        <v>662</v>
      </c>
      <c r="C674" s="58">
        <v>52</v>
      </c>
      <c r="D674" s="58"/>
      <c r="E674" s="58" t="s">
        <v>1294</v>
      </c>
      <c r="F674" s="58" t="s">
        <v>1295</v>
      </c>
      <c r="G674" s="58" t="s">
        <v>1296</v>
      </c>
      <c r="H674" s="58" t="s">
        <v>917</v>
      </c>
      <c r="I674" s="58" t="s">
        <v>1297</v>
      </c>
      <c r="J674" s="34">
        <v>6000</v>
      </c>
      <c r="K674" s="34">
        <v>6000</v>
      </c>
      <c r="L674" s="34">
        <v>0</v>
      </c>
      <c r="M674" s="37" t="str">
        <f>5058000*$C833</f>
        <v>0</v>
      </c>
      <c r="N674" s="34">
        <v>7200</v>
      </c>
      <c r="O674" s="40" t="str">
        <f>6069600*$C833</f>
        <v>0</v>
      </c>
    </row>
    <row r="675" spans="1:15">
      <c r="B675" s="55">
        <v>663</v>
      </c>
      <c r="C675" s="58">
        <v>51</v>
      </c>
      <c r="D675" s="58"/>
      <c r="E675" s="58" t="s">
        <v>1298</v>
      </c>
      <c r="F675" s="58" t="s">
        <v>1299</v>
      </c>
      <c r="G675" s="58" t="s">
        <v>1300</v>
      </c>
      <c r="H675" s="58" t="s">
        <v>828</v>
      </c>
      <c r="I675" s="58" t="s">
        <v>1301</v>
      </c>
      <c r="J675" s="34">
        <v>840</v>
      </c>
      <c r="K675" s="34">
        <v>560</v>
      </c>
      <c r="L675" s="34">
        <v>-280</v>
      </c>
      <c r="M675" s="37" t="str">
        <f>146720*$C833</f>
        <v>0</v>
      </c>
      <c r="N675" s="34">
        <v>960</v>
      </c>
      <c r="O675" s="40" t="str">
        <f>251520*$C833</f>
        <v>0</v>
      </c>
    </row>
    <row r="676" spans="1:15">
      <c r="B676" s="55">
        <v>664</v>
      </c>
      <c r="C676" s="58">
        <v>51</v>
      </c>
      <c r="D676" s="58"/>
      <c r="E676" s="58" t="s">
        <v>1298</v>
      </c>
      <c r="F676" s="58" t="s">
        <v>1299</v>
      </c>
      <c r="G676" s="58" t="s">
        <v>1302</v>
      </c>
      <c r="H676" s="58" t="s">
        <v>1303</v>
      </c>
      <c r="I676" s="58" t="s">
        <v>623</v>
      </c>
      <c r="J676" s="34">
        <v>400</v>
      </c>
      <c r="K676" s="34">
        <v>400</v>
      </c>
      <c r="L676" s="34">
        <v>0</v>
      </c>
      <c r="M676" s="37" t="str">
        <f>4000*$C833</f>
        <v>0</v>
      </c>
      <c r="N676" s="34">
        <v>400</v>
      </c>
      <c r="O676" s="40" t="str">
        <f>4000*$C833</f>
        <v>0</v>
      </c>
    </row>
    <row r="677" spans="1:15">
      <c r="B677" s="55">
        <v>665</v>
      </c>
      <c r="C677" s="58">
        <v>51</v>
      </c>
      <c r="D677" s="58"/>
      <c r="E677" s="58" t="s">
        <v>1298</v>
      </c>
      <c r="F677" s="58" t="s">
        <v>1299</v>
      </c>
      <c r="G677" s="58" t="s">
        <v>1304</v>
      </c>
      <c r="H677" s="58" t="s">
        <v>1305</v>
      </c>
      <c r="I677" s="58" t="s">
        <v>623</v>
      </c>
      <c r="J677" s="34">
        <v>0</v>
      </c>
      <c r="K677" s="34">
        <v>0</v>
      </c>
      <c r="L677" s="34">
        <v>0</v>
      </c>
      <c r="M677" s="37">
        <v>0</v>
      </c>
      <c r="N677" s="34">
        <v>1000</v>
      </c>
      <c r="O677" s="40" t="str">
        <f>25000*$C833</f>
        <v>0</v>
      </c>
    </row>
    <row r="678" spans="1:15">
      <c r="B678" s="55">
        <v>666</v>
      </c>
      <c r="C678" s="58">
        <v>51</v>
      </c>
      <c r="D678" s="58"/>
      <c r="E678" s="58" t="s">
        <v>1298</v>
      </c>
      <c r="F678" s="58" t="s">
        <v>1299</v>
      </c>
      <c r="G678" s="58" t="s">
        <v>1306</v>
      </c>
      <c r="H678" s="58" t="s">
        <v>694</v>
      </c>
      <c r="I678" s="58" t="s">
        <v>623</v>
      </c>
      <c r="J678" s="34">
        <v>360</v>
      </c>
      <c r="K678" s="34">
        <v>240</v>
      </c>
      <c r="L678" s="34">
        <v>-120</v>
      </c>
      <c r="M678" s="37" t="str">
        <f>49920*$C833</f>
        <v>0</v>
      </c>
      <c r="N678" s="34">
        <v>360</v>
      </c>
      <c r="O678" s="40" t="str">
        <f>74880*$C833</f>
        <v>0</v>
      </c>
    </row>
    <row r="679" spans="1:15">
      <c r="B679" s="55">
        <v>667</v>
      </c>
      <c r="C679" s="58">
        <v>51</v>
      </c>
      <c r="D679" s="58"/>
      <c r="E679" s="58" t="s">
        <v>1298</v>
      </c>
      <c r="F679" s="58" t="s">
        <v>1299</v>
      </c>
      <c r="G679" s="58" t="s">
        <v>1307</v>
      </c>
      <c r="H679" s="58" t="s">
        <v>1308</v>
      </c>
      <c r="I679" s="58" t="s">
        <v>548</v>
      </c>
      <c r="J679" s="34">
        <v>6000</v>
      </c>
      <c r="K679" s="34">
        <v>4000</v>
      </c>
      <c r="L679" s="34">
        <v>-2000</v>
      </c>
      <c r="M679" s="37" t="str">
        <f>52000*$C833</f>
        <v>0</v>
      </c>
      <c r="N679" s="34">
        <v>7600</v>
      </c>
      <c r="O679" s="40" t="str">
        <f>98800*$C833</f>
        <v>0</v>
      </c>
    </row>
    <row r="680" spans="1:15">
      <c r="B680" s="55">
        <v>668</v>
      </c>
      <c r="C680" s="58">
        <v>51</v>
      </c>
      <c r="D680" s="58"/>
      <c r="E680" s="58" t="s">
        <v>1298</v>
      </c>
      <c r="F680" s="58" t="s">
        <v>1299</v>
      </c>
      <c r="G680" s="58" t="s">
        <v>1309</v>
      </c>
      <c r="H680" s="58" t="s">
        <v>629</v>
      </c>
      <c r="I680" s="58" t="s">
        <v>623</v>
      </c>
      <c r="J680" s="34">
        <v>500</v>
      </c>
      <c r="K680" s="34">
        <v>200</v>
      </c>
      <c r="L680" s="34">
        <v>-300</v>
      </c>
      <c r="M680" s="37" t="str">
        <f>385000*$C833</f>
        <v>0</v>
      </c>
      <c r="N680" s="34">
        <v>600</v>
      </c>
      <c r="O680" s="40" t="str">
        <f>1155000*$C833</f>
        <v>0</v>
      </c>
    </row>
    <row r="681" spans="1:15">
      <c r="B681" s="55">
        <v>669</v>
      </c>
      <c r="C681" s="58">
        <v>51</v>
      </c>
      <c r="D681" s="58"/>
      <c r="E681" s="58" t="s">
        <v>1298</v>
      </c>
      <c r="F681" s="58" t="s">
        <v>1299</v>
      </c>
      <c r="G681" s="58" t="s">
        <v>1310</v>
      </c>
      <c r="H681" s="58" t="s">
        <v>1311</v>
      </c>
      <c r="I681" s="58" t="s">
        <v>548</v>
      </c>
      <c r="J681" s="34">
        <v>2520</v>
      </c>
      <c r="K681" s="34">
        <v>1680</v>
      </c>
      <c r="L681" s="34">
        <v>-840</v>
      </c>
      <c r="M681" s="37" t="str">
        <f>6259680*$C833</f>
        <v>0</v>
      </c>
      <c r="N681" s="34">
        <v>2940</v>
      </c>
      <c r="O681" s="40" t="str">
        <f>10954440*$C833</f>
        <v>0</v>
      </c>
    </row>
    <row r="682" spans="1:15">
      <c r="B682" s="55">
        <v>670</v>
      </c>
      <c r="C682" s="58">
        <v>51</v>
      </c>
      <c r="D682" s="58"/>
      <c r="E682" s="58" t="s">
        <v>1298</v>
      </c>
      <c r="F682" s="58" t="s">
        <v>1299</v>
      </c>
      <c r="G682" s="58" t="s">
        <v>1312</v>
      </c>
      <c r="H682" s="58" t="s">
        <v>25</v>
      </c>
      <c r="I682" s="58" t="s">
        <v>1313</v>
      </c>
      <c r="J682" s="34">
        <v>0</v>
      </c>
      <c r="K682" s="34">
        <v>0</v>
      </c>
      <c r="L682" s="34">
        <v>0</v>
      </c>
      <c r="M682" s="37">
        <v>0</v>
      </c>
      <c r="N682" s="34">
        <v>0</v>
      </c>
      <c r="O682" s="40">
        <v>0</v>
      </c>
    </row>
    <row r="683" spans="1:15">
      <c r="B683" s="55">
        <v>671</v>
      </c>
      <c r="C683" s="58">
        <v>51</v>
      </c>
      <c r="D683" s="58"/>
      <c r="E683" s="58" t="s">
        <v>1298</v>
      </c>
      <c r="F683" s="58" t="s">
        <v>1299</v>
      </c>
      <c r="G683" s="58" t="s">
        <v>1314</v>
      </c>
      <c r="H683" s="58" t="s">
        <v>1315</v>
      </c>
      <c r="I683" s="58" t="s">
        <v>688</v>
      </c>
      <c r="J683" s="34">
        <v>0</v>
      </c>
      <c r="K683" s="34">
        <v>0</v>
      </c>
      <c r="L683" s="34">
        <v>0</v>
      </c>
      <c r="M683" s="37">
        <v>0</v>
      </c>
      <c r="N683" s="34">
        <v>0</v>
      </c>
      <c r="O683" s="40">
        <v>0</v>
      </c>
    </row>
    <row r="684" spans="1:15">
      <c r="B684" s="55">
        <v>672</v>
      </c>
      <c r="C684" s="58">
        <v>51</v>
      </c>
      <c r="D684" s="58"/>
      <c r="E684" s="58" t="s">
        <v>1298</v>
      </c>
      <c r="F684" s="58" t="s">
        <v>1299</v>
      </c>
      <c r="G684" s="58" t="s">
        <v>1316</v>
      </c>
      <c r="H684" s="58" t="s">
        <v>1317</v>
      </c>
      <c r="I684" s="58" t="s">
        <v>688</v>
      </c>
      <c r="J684" s="34">
        <v>0</v>
      </c>
      <c r="K684" s="34">
        <v>0</v>
      </c>
      <c r="L684" s="34">
        <v>0</v>
      </c>
      <c r="M684" s="37">
        <v>0</v>
      </c>
      <c r="N684" s="34">
        <v>0</v>
      </c>
      <c r="O684" s="40">
        <v>0</v>
      </c>
    </row>
    <row r="685" spans="1:15">
      <c r="B685" s="55">
        <v>673</v>
      </c>
      <c r="C685" s="58">
        <v>51</v>
      </c>
      <c r="D685" s="58"/>
      <c r="E685" s="58" t="s">
        <v>1298</v>
      </c>
      <c r="F685" s="58" t="s">
        <v>1299</v>
      </c>
      <c r="G685" s="58" t="s">
        <v>1318</v>
      </c>
      <c r="H685" s="58" t="s">
        <v>1319</v>
      </c>
      <c r="I685" s="58" t="s">
        <v>455</v>
      </c>
      <c r="J685" s="34">
        <v>0</v>
      </c>
      <c r="K685" s="34">
        <v>0</v>
      </c>
      <c r="L685" s="34">
        <v>0</v>
      </c>
      <c r="M685" s="37">
        <v>0</v>
      </c>
      <c r="N685" s="34">
        <v>1000</v>
      </c>
      <c r="O685" s="40" t="str">
        <f>35000*$C833</f>
        <v>0</v>
      </c>
    </row>
    <row r="686" spans="1:15">
      <c r="B686" s="55">
        <v>674</v>
      </c>
      <c r="C686" s="58">
        <v>51</v>
      </c>
      <c r="D686" s="58"/>
      <c r="E686" s="58" t="s">
        <v>1298</v>
      </c>
      <c r="F686" s="58" t="s">
        <v>1299</v>
      </c>
      <c r="G686" s="58" t="s">
        <v>1320</v>
      </c>
      <c r="H686" s="58" t="s">
        <v>957</v>
      </c>
      <c r="I686" s="58" t="s">
        <v>455</v>
      </c>
      <c r="J686" s="34">
        <v>1000</v>
      </c>
      <c r="K686" s="34">
        <v>0</v>
      </c>
      <c r="L686" s="34">
        <v>-1000</v>
      </c>
      <c r="M686" s="37">
        <v>0</v>
      </c>
      <c r="N686" s="34">
        <v>1000</v>
      </c>
      <c r="O686" s="40" t="str">
        <f>15000*$C833</f>
        <v>0</v>
      </c>
    </row>
    <row r="687" spans="1:15">
      <c r="B687" s="55">
        <v>675</v>
      </c>
      <c r="C687" s="58">
        <v>51</v>
      </c>
      <c r="D687" s="58"/>
      <c r="E687" s="58" t="s">
        <v>1298</v>
      </c>
      <c r="F687" s="58" t="s">
        <v>1299</v>
      </c>
      <c r="G687" s="58" t="s">
        <v>1321</v>
      </c>
      <c r="H687" s="58" t="s">
        <v>1322</v>
      </c>
      <c r="I687" s="58" t="s">
        <v>455</v>
      </c>
      <c r="J687" s="34">
        <v>0</v>
      </c>
      <c r="K687" s="34">
        <v>0</v>
      </c>
      <c r="L687" s="34">
        <v>0</v>
      </c>
      <c r="M687" s="37">
        <v>0</v>
      </c>
      <c r="N687" s="34">
        <v>0</v>
      </c>
      <c r="O687" s="40">
        <v>0</v>
      </c>
    </row>
    <row r="688" spans="1:15">
      <c r="B688" s="55">
        <v>676</v>
      </c>
      <c r="C688" s="58">
        <v>51</v>
      </c>
      <c r="D688" s="58"/>
      <c r="E688" s="58" t="s">
        <v>1298</v>
      </c>
      <c r="F688" s="58" t="s">
        <v>1299</v>
      </c>
      <c r="G688" s="58" t="s">
        <v>1323</v>
      </c>
      <c r="H688" s="58" t="s">
        <v>1324</v>
      </c>
      <c r="I688" s="58" t="s">
        <v>548</v>
      </c>
      <c r="J688" s="34">
        <v>0</v>
      </c>
      <c r="K688" s="34">
        <v>0</v>
      </c>
      <c r="L688" s="34">
        <v>0</v>
      </c>
      <c r="M688" s="37">
        <v>0</v>
      </c>
      <c r="N688" s="34">
        <v>0</v>
      </c>
      <c r="O688" s="40">
        <v>0</v>
      </c>
    </row>
    <row r="689" spans="1:15">
      <c r="B689" s="55">
        <v>677</v>
      </c>
      <c r="C689" s="58">
        <v>51</v>
      </c>
      <c r="D689" s="58"/>
      <c r="E689" s="58" t="s">
        <v>1298</v>
      </c>
      <c r="F689" s="58" t="s">
        <v>1299</v>
      </c>
      <c r="G689" s="58" t="s">
        <v>1325</v>
      </c>
      <c r="H689" s="58" t="s">
        <v>872</v>
      </c>
      <c r="I689" s="58" t="s">
        <v>548</v>
      </c>
      <c r="J689" s="34">
        <v>0</v>
      </c>
      <c r="K689" s="34">
        <v>0</v>
      </c>
      <c r="L689" s="34">
        <v>0</v>
      </c>
      <c r="M689" s="37">
        <v>0</v>
      </c>
      <c r="N689" s="34">
        <v>0</v>
      </c>
      <c r="O689" s="40">
        <v>0</v>
      </c>
    </row>
    <row r="690" spans="1:15">
      <c r="B690" s="55">
        <v>678</v>
      </c>
      <c r="C690" s="58">
        <v>51</v>
      </c>
      <c r="D690" s="58"/>
      <c r="E690" s="58" t="s">
        <v>1298</v>
      </c>
      <c r="F690" s="58" t="s">
        <v>1299</v>
      </c>
      <c r="G690" s="58" t="s">
        <v>1326</v>
      </c>
      <c r="H690" s="58" t="s">
        <v>1327</v>
      </c>
      <c r="I690" s="58" t="s">
        <v>623</v>
      </c>
      <c r="J690" s="34">
        <v>1050</v>
      </c>
      <c r="K690" s="34">
        <v>350</v>
      </c>
      <c r="L690" s="34">
        <v>-700</v>
      </c>
      <c r="M690" s="37" t="str">
        <f>1086050*$C833</f>
        <v>0</v>
      </c>
      <c r="N690" s="34">
        <v>1350</v>
      </c>
      <c r="O690" s="40" t="str">
        <f>4189050*$C833</f>
        <v>0</v>
      </c>
    </row>
    <row r="691" spans="1:15">
      <c r="B691" s="55">
        <v>679</v>
      </c>
      <c r="C691" s="58">
        <v>51</v>
      </c>
      <c r="D691" s="58"/>
      <c r="E691" s="58" t="s">
        <v>1298</v>
      </c>
      <c r="F691" s="58" t="s">
        <v>1299</v>
      </c>
      <c r="G691" s="58" t="s">
        <v>1328</v>
      </c>
      <c r="H691" s="58" t="s">
        <v>1329</v>
      </c>
      <c r="I691" s="58" t="s">
        <v>623</v>
      </c>
      <c r="J691" s="34">
        <v>0</v>
      </c>
      <c r="K691" s="34">
        <v>0</v>
      </c>
      <c r="L691" s="34">
        <v>0</v>
      </c>
      <c r="M691" s="37">
        <v>0</v>
      </c>
      <c r="N691" s="34">
        <v>0</v>
      </c>
      <c r="O691" s="40">
        <v>0</v>
      </c>
    </row>
    <row r="692" spans="1:15">
      <c r="B692" s="55">
        <v>680</v>
      </c>
      <c r="C692" s="58">
        <v>51</v>
      </c>
      <c r="D692" s="58"/>
      <c r="E692" s="58" t="s">
        <v>1298</v>
      </c>
      <c r="F692" s="58" t="s">
        <v>1299</v>
      </c>
      <c r="G692" s="58" t="s">
        <v>1330</v>
      </c>
      <c r="H692" s="58" t="s">
        <v>1322</v>
      </c>
      <c r="I692" s="58" t="s">
        <v>623</v>
      </c>
      <c r="J692" s="34">
        <v>800</v>
      </c>
      <c r="K692" s="34">
        <v>400</v>
      </c>
      <c r="L692" s="34">
        <v>-400</v>
      </c>
      <c r="M692" s="37" t="str">
        <f>92800*$C833</f>
        <v>0</v>
      </c>
      <c r="N692" s="34">
        <v>800</v>
      </c>
      <c r="O692" s="40" t="str">
        <f>185600*$C833</f>
        <v>0</v>
      </c>
    </row>
    <row r="693" spans="1:15">
      <c r="B693" s="55">
        <v>681</v>
      </c>
      <c r="C693" s="58">
        <v>51</v>
      </c>
      <c r="D693" s="58"/>
      <c r="E693" s="58" t="s">
        <v>1298</v>
      </c>
      <c r="F693" s="58" t="s">
        <v>1299</v>
      </c>
      <c r="G693" s="58" t="s">
        <v>1331</v>
      </c>
      <c r="H693" s="58" t="s">
        <v>1332</v>
      </c>
      <c r="I693" s="58" t="s">
        <v>623</v>
      </c>
      <c r="J693" s="34">
        <v>1200</v>
      </c>
      <c r="K693" s="34">
        <v>900</v>
      </c>
      <c r="L693" s="34">
        <v>-300</v>
      </c>
      <c r="M693" s="37" t="str">
        <f>3478500*$C833</f>
        <v>0</v>
      </c>
      <c r="N693" s="34">
        <v>750</v>
      </c>
      <c r="O693" s="40" t="str">
        <f>2898750*$C833</f>
        <v>0</v>
      </c>
    </row>
    <row r="694" spans="1:15">
      <c r="B694" s="55">
        <v>682</v>
      </c>
      <c r="C694" s="58">
        <v>51</v>
      </c>
      <c r="D694" s="58"/>
      <c r="E694" s="58" t="s">
        <v>1298</v>
      </c>
      <c r="F694" s="58" t="s">
        <v>1299</v>
      </c>
      <c r="G694" s="58" t="s">
        <v>1333</v>
      </c>
      <c r="H694" s="58" t="s">
        <v>1334</v>
      </c>
      <c r="I694" s="58" t="s">
        <v>623</v>
      </c>
      <c r="J694" s="34">
        <v>2000</v>
      </c>
      <c r="K694" s="34">
        <v>0</v>
      </c>
      <c r="L694" s="34">
        <v>-2000</v>
      </c>
      <c r="M694" s="37">
        <v>0</v>
      </c>
      <c r="N694" s="34">
        <v>4000</v>
      </c>
      <c r="O694" s="40" t="str">
        <f>48000*$C833</f>
        <v>0</v>
      </c>
    </row>
    <row r="695" spans="1:15">
      <c r="B695" s="55">
        <v>683</v>
      </c>
      <c r="C695" s="58">
        <v>51</v>
      </c>
      <c r="D695" s="58"/>
      <c r="E695" s="58" t="s">
        <v>1298</v>
      </c>
      <c r="F695" s="58" t="s">
        <v>1299</v>
      </c>
      <c r="G695" s="58" t="s">
        <v>1335</v>
      </c>
      <c r="H695" s="58" t="s">
        <v>1336</v>
      </c>
      <c r="I695" s="58" t="s">
        <v>1337</v>
      </c>
      <c r="J695" s="34">
        <v>0</v>
      </c>
      <c r="K695" s="34">
        <v>0</v>
      </c>
      <c r="L695" s="34">
        <v>0</v>
      </c>
      <c r="M695" s="37">
        <v>0</v>
      </c>
      <c r="N695" s="34">
        <v>0</v>
      </c>
      <c r="O695" s="40">
        <v>0</v>
      </c>
    </row>
    <row r="696" spans="1:15">
      <c r="B696" s="55">
        <v>684</v>
      </c>
      <c r="C696" s="58">
        <v>51</v>
      </c>
      <c r="D696" s="58"/>
      <c r="E696" s="58" t="s">
        <v>1298</v>
      </c>
      <c r="F696" s="58" t="s">
        <v>1299</v>
      </c>
      <c r="G696" s="58" t="s">
        <v>1338</v>
      </c>
      <c r="H696" s="58" t="s">
        <v>1339</v>
      </c>
      <c r="I696" s="58" t="s">
        <v>623</v>
      </c>
      <c r="J696" s="34">
        <v>800</v>
      </c>
      <c r="K696" s="34">
        <v>400</v>
      </c>
      <c r="L696" s="34">
        <v>-400</v>
      </c>
      <c r="M696" s="37" t="str">
        <f>5200*$C833</f>
        <v>0</v>
      </c>
      <c r="N696" s="34">
        <v>1200</v>
      </c>
      <c r="O696" s="40" t="str">
        <f>15600*$C833</f>
        <v>0</v>
      </c>
    </row>
    <row r="697" spans="1:15">
      <c r="B697" s="55">
        <v>685</v>
      </c>
      <c r="C697" s="58">
        <v>51</v>
      </c>
      <c r="D697" s="58"/>
      <c r="E697" s="58" t="s">
        <v>1298</v>
      </c>
      <c r="F697" s="58" t="s">
        <v>1299</v>
      </c>
      <c r="G697" s="58" t="s">
        <v>1340</v>
      </c>
      <c r="H697" s="58" t="s">
        <v>1341</v>
      </c>
      <c r="I697" s="58" t="s">
        <v>455</v>
      </c>
      <c r="J697" s="34">
        <v>2000</v>
      </c>
      <c r="K697" s="34">
        <v>0</v>
      </c>
      <c r="L697" s="34">
        <v>-2000</v>
      </c>
      <c r="M697" s="37">
        <v>0</v>
      </c>
      <c r="N697" s="34">
        <v>2000</v>
      </c>
      <c r="O697" s="40" t="str">
        <f>30000*$C833</f>
        <v>0</v>
      </c>
    </row>
    <row r="698" spans="1:15">
      <c r="B698" s="55">
        <v>686</v>
      </c>
      <c r="C698" s="58">
        <v>51</v>
      </c>
      <c r="D698" s="58"/>
      <c r="E698" s="58" t="s">
        <v>1298</v>
      </c>
      <c r="F698" s="58" t="s">
        <v>1299</v>
      </c>
      <c r="G698" s="58" t="s">
        <v>1342</v>
      </c>
      <c r="H698" s="58" t="s">
        <v>640</v>
      </c>
      <c r="I698" s="58" t="s">
        <v>455</v>
      </c>
      <c r="J698" s="34">
        <v>400</v>
      </c>
      <c r="K698" s="34">
        <v>300</v>
      </c>
      <c r="L698" s="34">
        <v>-100</v>
      </c>
      <c r="M698" s="37" t="str">
        <f>372900*$C833</f>
        <v>0</v>
      </c>
      <c r="N698" s="34">
        <v>300</v>
      </c>
      <c r="O698" s="40" t="str">
        <f>372900*$C833</f>
        <v>0</v>
      </c>
    </row>
    <row r="699" spans="1:15">
      <c r="B699" s="55">
        <v>687</v>
      </c>
      <c r="C699" s="58">
        <v>51</v>
      </c>
      <c r="D699" s="58"/>
      <c r="E699" s="58" t="s">
        <v>1298</v>
      </c>
      <c r="F699" s="58" t="s">
        <v>1299</v>
      </c>
      <c r="G699" s="58" t="s">
        <v>1343</v>
      </c>
      <c r="H699" s="58" t="s">
        <v>1324</v>
      </c>
      <c r="I699" s="58" t="s">
        <v>548</v>
      </c>
      <c r="J699" s="34">
        <v>0</v>
      </c>
      <c r="K699" s="34">
        <v>0</v>
      </c>
      <c r="L699" s="34">
        <v>0</v>
      </c>
      <c r="M699" s="37">
        <v>0</v>
      </c>
      <c r="N699" s="34">
        <v>0</v>
      </c>
      <c r="O699" s="40">
        <v>0</v>
      </c>
    </row>
    <row r="700" spans="1:15">
      <c r="B700" s="55">
        <v>688</v>
      </c>
      <c r="C700" s="58">
        <v>51</v>
      </c>
      <c r="D700" s="58"/>
      <c r="E700" s="58" t="s">
        <v>1298</v>
      </c>
      <c r="F700" s="58" t="s">
        <v>1299</v>
      </c>
      <c r="G700" s="58" t="s">
        <v>1344</v>
      </c>
      <c r="H700" s="58" t="s">
        <v>1345</v>
      </c>
      <c r="I700" s="58" t="s">
        <v>623</v>
      </c>
      <c r="J700" s="34">
        <v>200</v>
      </c>
      <c r="K700" s="34">
        <v>200</v>
      </c>
      <c r="L700" s="34">
        <v>0</v>
      </c>
      <c r="M700" s="37" t="str">
        <f>44400*$C833</f>
        <v>0</v>
      </c>
      <c r="N700" s="34">
        <v>600</v>
      </c>
      <c r="O700" s="40" t="str">
        <f>133200*$C833</f>
        <v>0</v>
      </c>
    </row>
    <row r="701" spans="1:15">
      <c r="B701" s="55">
        <v>689</v>
      </c>
      <c r="C701" s="58">
        <v>51</v>
      </c>
      <c r="D701" s="58"/>
      <c r="E701" s="58" t="s">
        <v>1298</v>
      </c>
      <c r="F701" s="58" t="s">
        <v>1299</v>
      </c>
      <c r="G701" s="58" t="s">
        <v>1346</v>
      </c>
      <c r="H701" s="58" t="s">
        <v>629</v>
      </c>
      <c r="I701" s="58" t="s">
        <v>623</v>
      </c>
      <c r="J701" s="34">
        <v>200</v>
      </c>
      <c r="K701" s="34">
        <v>100</v>
      </c>
      <c r="L701" s="34">
        <v>-100</v>
      </c>
      <c r="M701" s="37" t="str">
        <f>213300*$C833</f>
        <v>0</v>
      </c>
      <c r="N701" s="34">
        <v>0</v>
      </c>
      <c r="O701" s="40">
        <v>0</v>
      </c>
    </row>
    <row r="702" spans="1:15">
      <c r="B702" s="55">
        <v>690</v>
      </c>
      <c r="C702" s="58">
        <v>51</v>
      </c>
      <c r="D702" s="58"/>
      <c r="E702" s="58" t="s">
        <v>1298</v>
      </c>
      <c r="F702" s="58" t="s">
        <v>1299</v>
      </c>
      <c r="G702" s="58" t="s">
        <v>1347</v>
      </c>
      <c r="H702" s="58" t="s">
        <v>629</v>
      </c>
      <c r="I702" s="58" t="s">
        <v>623</v>
      </c>
      <c r="J702" s="34">
        <v>100</v>
      </c>
      <c r="K702" s="34">
        <v>97</v>
      </c>
      <c r="L702" s="34">
        <v>-3</v>
      </c>
      <c r="M702" s="37" t="str">
        <f>206901*$C833</f>
        <v>0</v>
      </c>
      <c r="N702" s="34">
        <v>100</v>
      </c>
      <c r="O702" s="40" t="str">
        <f>213300*$C833</f>
        <v>0</v>
      </c>
    </row>
    <row r="703" spans="1:15">
      <c r="B703" s="55">
        <v>691</v>
      </c>
      <c r="C703" s="58">
        <v>51</v>
      </c>
      <c r="D703" s="58"/>
      <c r="E703" s="58" t="s">
        <v>1298</v>
      </c>
      <c r="F703" s="58" t="s">
        <v>1299</v>
      </c>
      <c r="G703" s="58" t="s">
        <v>1348</v>
      </c>
      <c r="H703" s="58" t="s">
        <v>1349</v>
      </c>
      <c r="I703" s="58" t="s">
        <v>623</v>
      </c>
      <c r="J703" s="34">
        <v>0</v>
      </c>
      <c r="K703" s="34">
        <v>0</v>
      </c>
      <c r="L703" s="34">
        <v>0</v>
      </c>
      <c r="M703" s="37">
        <v>0</v>
      </c>
      <c r="N703" s="34">
        <v>0</v>
      </c>
      <c r="O703" s="40">
        <v>0</v>
      </c>
    </row>
    <row r="704" spans="1:15">
      <c r="B704" s="55">
        <v>692</v>
      </c>
      <c r="C704" s="58">
        <v>51</v>
      </c>
      <c r="D704" s="58"/>
      <c r="E704" s="58" t="s">
        <v>1298</v>
      </c>
      <c r="F704" s="58" t="s">
        <v>1299</v>
      </c>
      <c r="G704" s="58" t="s">
        <v>1350</v>
      </c>
      <c r="H704" s="58" t="s">
        <v>1351</v>
      </c>
      <c r="I704" s="58" t="s">
        <v>623</v>
      </c>
      <c r="J704" s="34">
        <v>8000</v>
      </c>
      <c r="K704" s="34">
        <v>4800</v>
      </c>
      <c r="L704" s="34">
        <v>-3200</v>
      </c>
      <c r="M704" s="37" t="str">
        <f>139200*$C833</f>
        <v>0</v>
      </c>
      <c r="N704" s="34">
        <v>8400</v>
      </c>
      <c r="O704" s="40" t="str">
        <f>243600*$C833</f>
        <v>0</v>
      </c>
    </row>
    <row r="705" spans="1:15">
      <c r="B705" s="55">
        <v>693</v>
      </c>
      <c r="C705" s="58">
        <v>51</v>
      </c>
      <c r="D705" s="58"/>
      <c r="E705" s="58" t="s">
        <v>1298</v>
      </c>
      <c r="F705" s="58" t="s">
        <v>1299</v>
      </c>
      <c r="G705" s="58" t="s">
        <v>1352</v>
      </c>
      <c r="H705" s="58" t="s">
        <v>1353</v>
      </c>
      <c r="I705" s="58" t="s">
        <v>548</v>
      </c>
      <c r="J705" s="34">
        <v>1452</v>
      </c>
      <c r="K705" s="34">
        <v>1056</v>
      </c>
      <c r="L705" s="34">
        <v>-396</v>
      </c>
      <c r="M705" s="37" t="str">
        <f>2519616*$C833</f>
        <v>0</v>
      </c>
      <c r="N705" s="34">
        <v>924</v>
      </c>
      <c r="O705" s="40" t="str">
        <f>2204664*$C833</f>
        <v>0</v>
      </c>
    </row>
    <row r="706" spans="1:15">
      <c r="B706" s="55">
        <v>694</v>
      </c>
      <c r="C706" s="58">
        <v>51</v>
      </c>
      <c r="D706" s="58"/>
      <c r="E706" s="58" t="s">
        <v>1298</v>
      </c>
      <c r="F706" s="58" t="s">
        <v>1299</v>
      </c>
      <c r="G706" s="58" t="s">
        <v>1354</v>
      </c>
      <c r="H706" s="58" t="s">
        <v>1355</v>
      </c>
      <c r="I706" s="58" t="s">
        <v>548</v>
      </c>
      <c r="J706" s="34">
        <v>0</v>
      </c>
      <c r="K706" s="34">
        <v>0</v>
      </c>
      <c r="L706" s="34">
        <v>0</v>
      </c>
      <c r="M706" s="37">
        <v>0</v>
      </c>
      <c r="N706" s="34">
        <v>2800</v>
      </c>
      <c r="O706" s="40" t="str">
        <f>14000*$C833</f>
        <v>0</v>
      </c>
    </row>
    <row r="707" spans="1:15">
      <c r="B707" s="55">
        <v>695</v>
      </c>
      <c r="C707" s="58">
        <v>51</v>
      </c>
      <c r="D707" s="58"/>
      <c r="E707" s="58" t="s">
        <v>1298</v>
      </c>
      <c r="F707" s="58" t="s">
        <v>1299</v>
      </c>
      <c r="G707" s="58" t="s">
        <v>1356</v>
      </c>
      <c r="H707" s="58" t="s">
        <v>1074</v>
      </c>
      <c r="I707" s="58" t="s">
        <v>455</v>
      </c>
      <c r="J707" s="34">
        <v>400</v>
      </c>
      <c r="K707" s="34">
        <v>400</v>
      </c>
      <c r="L707" s="34">
        <v>0</v>
      </c>
      <c r="M707" s="37" t="str">
        <f>1088800*$C833</f>
        <v>0</v>
      </c>
      <c r="N707" s="34">
        <v>400</v>
      </c>
      <c r="O707" s="40" t="str">
        <f>1088800*$C833</f>
        <v>0</v>
      </c>
    </row>
    <row r="708" spans="1:15">
      <c r="B708" s="55">
        <v>696</v>
      </c>
      <c r="C708" s="58">
        <v>51</v>
      </c>
      <c r="D708" s="58"/>
      <c r="E708" s="58" t="s">
        <v>1298</v>
      </c>
      <c r="F708" s="58" t="s">
        <v>1299</v>
      </c>
      <c r="G708" s="58" t="s">
        <v>1357</v>
      </c>
      <c r="H708" s="58" t="s">
        <v>620</v>
      </c>
      <c r="I708" s="58" t="s">
        <v>455</v>
      </c>
      <c r="J708" s="34">
        <v>50</v>
      </c>
      <c r="K708" s="34">
        <v>301</v>
      </c>
      <c r="L708" s="34">
        <v>251</v>
      </c>
      <c r="M708" s="37" t="str">
        <f>870191*$C833</f>
        <v>0</v>
      </c>
      <c r="N708" s="34">
        <v>100</v>
      </c>
      <c r="O708" s="40" t="str">
        <f>289100*$C833</f>
        <v>0</v>
      </c>
    </row>
    <row r="709" spans="1:15">
      <c r="B709" s="55">
        <v>697</v>
      </c>
      <c r="C709" s="58">
        <v>51</v>
      </c>
      <c r="D709" s="58"/>
      <c r="E709" s="58" t="s">
        <v>1298</v>
      </c>
      <c r="F709" s="58" t="s">
        <v>1299</v>
      </c>
      <c r="G709" s="58" t="s">
        <v>1358</v>
      </c>
      <c r="H709" s="58" t="s">
        <v>1359</v>
      </c>
      <c r="I709" s="58" t="s">
        <v>548</v>
      </c>
      <c r="J709" s="34">
        <v>2000</v>
      </c>
      <c r="K709" s="34">
        <v>2000</v>
      </c>
      <c r="L709" s="34">
        <v>0</v>
      </c>
      <c r="M709" s="37" t="str">
        <f>18000*$C833</f>
        <v>0</v>
      </c>
      <c r="N709" s="34">
        <v>2000</v>
      </c>
      <c r="O709" s="40" t="str">
        <f>18000*$C833</f>
        <v>0</v>
      </c>
    </row>
    <row r="710" spans="1:15">
      <c r="B710" s="55">
        <v>698</v>
      </c>
      <c r="C710" s="58">
        <v>51</v>
      </c>
      <c r="D710" s="58"/>
      <c r="E710" s="58" t="s">
        <v>1298</v>
      </c>
      <c r="F710" s="58" t="s">
        <v>1299</v>
      </c>
      <c r="G710" s="58" t="s">
        <v>1360</v>
      </c>
      <c r="H710" s="58" t="s">
        <v>694</v>
      </c>
      <c r="I710" s="58" t="s">
        <v>455</v>
      </c>
      <c r="J710" s="34">
        <v>200</v>
      </c>
      <c r="K710" s="34">
        <v>0</v>
      </c>
      <c r="L710" s="34">
        <v>-200</v>
      </c>
      <c r="M710" s="37">
        <v>0</v>
      </c>
      <c r="N710" s="34">
        <v>200</v>
      </c>
      <c r="O710" s="40" t="str">
        <f>81200*$C833</f>
        <v>0</v>
      </c>
    </row>
    <row r="711" spans="1:15">
      <c r="B711" s="55">
        <v>699</v>
      </c>
      <c r="C711" s="58">
        <v>51</v>
      </c>
      <c r="D711" s="58"/>
      <c r="E711" s="58" t="s">
        <v>1298</v>
      </c>
      <c r="F711" s="58" t="s">
        <v>1299</v>
      </c>
      <c r="G711" s="58" t="s">
        <v>1361</v>
      </c>
      <c r="H711" s="58" t="s">
        <v>627</v>
      </c>
      <c r="I711" s="58" t="s">
        <v>455</v>
      </c>
      <c r="J711" s="34">
        <v>250</v>
      </c>
      <c r="K711" s="34">
        <v>150</v>
      </c>
      <c r="L711" s="34">
        <v>-100</v>
      </c>
      <c r="M711" s="37" t="str">
        <f>186450*$C833</f>
        <v>0</v>
      </c>
      <c r="N711" s="34">
        <v>500</v>
      </c>
      <c r="O711" s="40" t="str">
        <f>621500*$C833</f>
        <v>0</v>
      </c>
    </row>
    <row r="712" spans="1:15">
      <c r="B712" s="55">
        <v>700</v>
      </c>
      <c r="C712" s="58">
        <v>51</v>
      </c>
      <c r="D712" s="58"/>
      <c r="E712" s="58" t="s">
        <v>1298</v>
      </c>
      <c r="F712" s="58" t="s">
        <v>1299</v>
      </c>
      <c r="G712" s="58" t="s">
        <v>1362</v>
      </c>
      <c r="H712" s="58" t="s">
        <v>454</v>
      </c>
      <c r="I712" s="58" t="s">
        <v>1363</v>
      </c>
      <c r="J712" s="34">
        <v>600</v>
      </c>
      <c r="K712" s="34">
        <v>600</v>
      </c>
      <c r="L712" s="34">
        <v>0</v>
      </c>
      <c r="M712" s="37" t="str">
        <f>132600*$C833</f>
        <v>0</v>
      </c>
      <c r="N712" s="34">
        <v>1200</v>
      </c>
      <c r="O712" s="40" t="str">
        <f>265200*$C833</f>
        <v>0</v>
      </c>
    </row>
    <row r="713" spans="1:15">
      <c r="B713" s="55">
        <v>701</v>
      </c>
      <c r="C713" s="58">
        <v>51</v>
      </c>
      <c r="D713" s="58"/>
      <c r="E713" s="58" t="s">
        <v>1298</v>
      </c>
      <c r="F713" s="58" t="s">
        <v>1299</v>
      </c>
      <c r="G713" s="58" t="s">
        <v>1364</v>
      </c>
      <c r="H713" s="58" t="s">
        <v>659</v>
      </c>
      <c r="I713" s="58" t="s">
        <v>623</v>
      </c>
      <c r="J713" s="34">
        <v>0</v>
      </c>
      <c r="K713" s="34">
        <v>0</v>
      </c>
      <c r="L713" s="34">
        <v>0</v>
      </c>
      <c r="M713" s="37">
        <v>0</v>
      </c>
      <c r="N713" s="34">
        <v>0</v>
      </c>
      <c r="O713" s="40">
        <v>0</v>
      </c>
    </row>
    <row r="714" spans="1:15">
      <c r="B714" s="55">
        <v>702</v>
      </c>
      <c r="C714" s="58">
        <v>51</v>
      </c>
      <c r="D714" s="58"/>
      <c r="E714" s="58" t="s">
        <v>1298</v>
      </c>
      <c r="F714" s="58" t="s">
        <v>1299</v>
      </c>
      <c r="G714" s="58" t="s">
        <v>1365</v>
      </c>
      <c r="H714" s="58" t="s">
        <v>1366</v>
      </c>
      <c r="I714" s="58" t="s">
        <v>623</v>
      </c>
      <c r="J714" s="34">
        <v>432</v>
      </c>
      <c r="K714" s="34">
        <v>288</v>
      </c>
      <c r="L714" s="34">
        <v>-144</v>
      </c>
      <c r="M714" s="37" t="str">
        <f>61056*$C833</f>
        <v>0</v>
      </c>
      <c r="N714" s="34">
        <v>840</v>
      </c>
      <c r="O714" s="40" t="str">
        <f>178080*$C833</f>
        <v>0</v>
      </c>
    </row>
    <row r="715" spans="1:15">
      <c r="B715" s="55">
        <v>703</v>
      </c>
      <c r="C715" s="58">
        <v>51</v>
      </c>
      <c r="D715" s="58"/>
      <c r="E715" s="58" t="s">
        <v>1298</v>
      </c>
      <c r="F715" s="58" t="s">
        <v>1299</v>
      </c>
      <c r="G715" s="58" t="s">
        <v>1367</v>
      </c>
      <c r="H715" s="58" t="s">
        <v>1368</v>
      </c>
      <c r="I715" s="58" t="s">
        <v>623</v>
      </c>
      <c r="J715" s="34">
        <v>3000</v>
      </c>
      <c r="K715" s="34">
        <v>2000</v>
      </c>
      <c r="L715" s="34">
        <v>-1000</v>
      </c>
      <c r="M715" s="37" t="str">
        <f>44000*$C833</f>
        <v>0</v>
      </c>
      <c r="N715" s="34">
        <v>5000</v>
      </c>
      <c r="O715" s="40" t="str">
        <f>110000*$C833</f>
        <v>0</v>
      </c>
    </row>
    <row r="716" spans="1:15">
      <c r="B716" s="55">
        <v>704</v>
      </c>
      <c r="C716" s="58">
        <v>51</v>
      </c>
      <c r="D716" s="58"/>
      <c r="E716" s="58" t="s">
        <v>1298</v>
      </c>
      <c r="F716" s="58" t="s">
        <v>1299</v>
      </c>
      <c r="G716" s="58" t="s">
        <v>1369</v>
      </c>
      <c r="H716" s="58" t="s">
        <v>782</v>
      </c>
      <c r="I716" s="58" t="s">
        <v>1301</v>
      </c>
      <c r="J716" s="34">
        <v>756</v>
      </c>
      <c r="K716" s="34">
        <v>504</v>
      </c>
      <c r="L716" s="34">
        <v>-252</v>
      </c>
      <c r="M716" s="37" t="str">
        <f>132048*$C833</f>
        <v>0</v>
      </c>
      <c r="N716" s="34">
        <v>864</v>
      </c>
      <c r="O716" s="40" t="str">
        <f>226368*$C833</f>
        <v>0</v>
      </c>
    </row>
    <row r="717" spans="1:15">
      <c r="B717" s="55">
        <v>705</v>
      </c>
      <c r="C717" s="58">
        <v>51</v>
      </c>
      <c r="D717" s="58"/>
      <c r="E717" s="58" t="s">
        <v>1298</v>
      </c>
      <c r="F717" s="58" t="s">
        <v>1299</v>
      </c>
      <c r="G717" s="58" t="s">
        <v>1370</v>
      </c>
      <c r="H717" s="58" t="s">
        <v>1020</v>
      </c>
      <c r="I717" s="58" t="s">
        <v>623</v>
      </c>
      <c r="J717" s="34">
        <v>0</v>
      </c>
      <c r="K717" s="34">
        <v>0</v>
      </c>
      <c r="L717" s="34">
        <v>0</v>
      </c>
      <c r="M717" s="37">
        <v>0</v>
      </c>
      <c r="N717" s="34">
        <v>3000</v>
      </c>
      <c r="O717" s="40" t="str">
        <f>6000*$C833</f>
        <v>0</v>
      </c>
    </row>
    <row r="718" spans="1:15">
      <c r="B718" s="55">
        <v>706</v>
      </c>
      <c r="C718" s="58">
        <v>51</v>
      </c>
      <c r="D718" s="58"/>
      <c r="E718" s="58" t="s">
        <v>1298</v>
      </c>
      <c r="F718" s="58" t="s">
        <v>1299</v>
      </c>
      <c r="G718" s="58" t="s">
        <v>1371</v>
      </c>
      <c r="H718" s="58" t="s">
        <v>1372</v>
      </c>
      <c r="I718" s="58" t="s">
        <v>999</v>
      </c>
      <c r="J718" s="34">
        <v>0</v>
      </c>
      <c r="K718" s="34">
        <v>0</v>
      </c>
      <c r="L718" s="34">
        <v>0</v>
      </c>
      <c r="M718" s="37">
        <v>0</v>
      </c>
      <c r="N718" s="34">
        <v>0</v>
      </c>
      <c r="O718" s="40">
        <v>0</v>
      </c>
    </row>
    <row r="719" spans="1:15">
      <c r="B719" s="55">
        <v>707</v>
      </c>
      <c r="C719" s="58">
        <v>51</v>
      </c>
      <c r="D719" s="58"/>
      <c r="E719" s="58" t="s">
        <v>1298</v>
      </c>
      <c r="F719" s="58" t="s">
        <v>1299</v>
      </c>
      <c r="G719" s="58" t="s">
        <v>1373</v>
      </c>
      <c r="H719" s="58" t="s">
        <v>1374</v>
      </c>
      <c r="I719" s="58" t="s">
        <v>688</v>
      </c>
      <c r="J719" s="34">
        <v>0</v>
      </c>
      <c r="K719" s="34">
        <v>0</v>
      </c>
      <c r="L719" s="34">
        <v>0</v>
      </c>
      <c r="M719" s="37">
        <v>0</v>
      </c>
      <c r="N719" s="34">
        <v>0</v>
      </c>
      <c r="O719" s="40">
        <v>0</v>
      </c>
    </row>
    <row r="720" spans="1:15">
      <c r="B720" s="55">
        <v>708</v>
      </c>
      <c r="C720" s="58">
        <v>51</v>
      </c>
      <c r="D720" s="58"/>
      <c r="E720" s="58" t="s">
        <v>1298</v>
      </c>
      <c r="F720" s="58" t="s">
        <v>1299</v>
      </c>
      <c r="G720" s="58" t="s">
        <v>1375</v>
      </c>
      <c r="H720" s="58" t="s">
        <v>1368</v>
      </c>
      <c r="I720" s="58" t="s">
        <v>455</v>
      </c>
      <c r="J720" s="34">
        <v>1000</v>
      </c>
      <c r="K720" s="34">
        <v>0</v>
      </c>
      <c r="L720" s="34">
        <v>-1000</v>
      </c>
      <c r="M720" s="37">
        <v>0</v>
      </c>
      <c r="N720" s="34">
        <v>1000</v>
      </c>
      <c r="O720" s="40" t="str">
        <f>22000*$C833</f>
        <v>0</v>
      </c>
    </row>
    <row r="721" spans="1:15">
      <c r="B721" s="55">
        <v>709</v>
      </c>
      <c r="C721" s="58">
        <v>51</v>
      </c>
      <c r="D721" s="58"/>
      <c r="E721" s="58" t="s">
        <v>1298</v>
      </c>
      <c r="F721" s="58" t="s">
        <v>1299</v>
      </c>
      <c r="G721" s="58" t="s">
        <v>1376</v>
      </c>
      <c r="H721" s="58" t="s">
        <v>454</v>
      </c>
      <c r="I721" s="58" t="s">
        <v>623</v>
      </c>
      <c r="J721" s="34">
        <v>960</v>
      </c>
      <c r="K721" s="34">
        <v>640</v>
      </c>
      <c r="L721" s="34">
        <v>-320</v>
      </c>
      <c r="M721" s="37" t="str">
        <f>128000*$C833</f>
        <v>0</v>
      </c>
      <c r="N721" s="34">
        <v>1920</v>
      </c>
      <c r="O721" s="40" t="str">
        <f>384000*$C833</f>
        <v>0</v>
      </c>
    </row>
    <row r="722" spans="1:15">
      <c r="B722" s="55">
        <v>710</v>
      </c>
      <c r="C722" s="58">
        <v>51</v>
      </c>
      <c r="D722" s="58"/>
      <c r="E722" s="58" t="s">
        <v>1298</v>
      </c>
      <c r="F722" s="58" t="s">
        <v>1299</v>
      </c>
      <c r="G722" s="58" t="s">
        <v>1377</v>
      </c>
      <c r="H722" s="58" t="s">
        <v>1378</v>
      </c>
      <c r="I722" s="58" t="s">
        <v>1363</v>
      </c>
      <c r="J722" s="34">
        <v>320</v>
      </c>
      <c r="K722" s="34">
        <v>320</v>
      </c>
      <c r="L722" s="34">
        <v>0</v>
      </c>
      <c r="M722" s="37" t="str">
        <f>70720*$C833</f>
        <v>0</v>
      </c>
      <c r="N722" s="34">
        <v>400</v>
      </c>
      <c r="O722" s="40" t="str">
        <f>88400*$C833</f>
        <v>0</v>
      </c>
    </row>
    <row r="723" spans="1:15">
      <c r="B723" s="55">
        <v>711</v>
      </c>
      <c r="C723" s="58">
        <v>51</v>
      </c>
      <c r="D723" s="58"/>
      <c r="E723" s="58" t="s">
        <v>1298</v>
      </c>
      <c r="F723" s="58" t="s">
        <v>1299</v>
      </c>
      <c r="G723" s="58" t="s">
        <v>1379</v>
      </c>
      <c r="H723" s="58" t="s">
        <v>1380</v>
      </c>
      <c r="I723" s="58" t="s">
        <v>623</v>
      </c>
      <c r="J723" s="34">
        <v>2400</v>
      </c>
      <c r="K723" s="34">
        <v>1200</v>
      </c>
      <c r="L723" s="34">
        <v>-1200</v>
      </c>
      <c r="M723" s="37" t="str">
        <f>54000*$C833</f>
        <v>0</v>
      </c>
      <c r="N723" s="34">
        <v>3200</v>
      </c>
      <c r="O723" s="40" t="str">
        <f>144000*$C833</f>
        <v>0</v>
      </c>
    </row>
    <row r="724" spans="1:15">
      <c r="B724" s="55">
        <v>712</v>
      </c>
      <c r="C724" s="58">
        <v>51</v>
      </c>
      <c r="D724" s="58"/>
      <c r="E724" s="58" t="s">
        <v>1298</v>
      </c>
      <c r="F724" s="58" t="s">
        <v>1299</v>
      </c>
      <c r="G724" s="58" t="s">
        <v>1381</v>
      </c>
      <c r="H724" s="58" t="s">
        <v>1317</v>
      </c>
      <c r="I724" s="58" t="s">
        <v>688</v>
      </c>
      <c r="J724" s="34">
        <v>20</v>
      </c>
      <c r="K724" s="34">
        <v>0</v>
      </c>
      <c r="L724" s="34">
        <v>-20</v>
      </c>
      <c r="M724" s="37">
        <v>0</v>
      </c>
      <c r="N724" s="34">
        <v>50</v>
      </c>
      <c r="O724" s="40" t="str">
        <f>116350*$C833</f>
        <v>0</v>
      </c>
    </row>
    <row r="725" spans="1:15">
      <c r="B725" s="55">
        <v>713</v>
      </c>
      <c r="C725" s="58">
        <v>51</v>
      </c>
      <c r="D725" s="58"/>
      <c r="E725" s="58" t="s">
        <v>1298</v>
      </c>
      <c r="F725" s="58" t="s">
        <v>1299</v>
      </c>
      <c r="G725" s="58" t="s">
        <v>1382</v>
      </c>
      <c r="H725" s="58" t="s">
        <v>872</v>
      </c>
      <c r="I725" s="58" t="s">
        <v>688</v>
      </c>
      <c r="J725" s="34">
        <v>0</v>
      </c>
      <c r="K725" s="34">
        <v>0</v>
      </c>
      <c r="L725" s="34">
        <v>0</v>
      </c>
      <c r="M725" s="37">
        <v>0</v>
      </c>
      <c r="N725" s="34">
        <v>0</v>
      </c>
      <c r="O725" s="40">
        <v>0</v>
      </c>
    </row>
    <row r="726" spans="1:15">
      <c r="B726" s="55">
        <v>714</v>
      </c>
      <c r="C726" s="58">
        <v>51</v>
      </c>
      <c r="D726" s="58"/>
      <c r="E726" s="58" t="s">
        <v>1298</v>
      </c>
      <c r="F726" s="58" t="s">
        <v>1299</v>
      </c>
      <c r="G726" s="58" t="s">
        <v>1383</v>
      </c>
      <c r="H726" s="58" t="s">
        <v>694</v>
      </c>
      <c r="I726" s="58" t="s">
        <v>455</v>
      </c>
      <c r="J726" s="34">
        <v>200</v>
      </c>
      <c r="K726" s="34">
        <v>0</v>
      </c>
      <c r="L726" s="34">
        <v>-200</v>
      </c>
      <c r="M726" s="37">
        <v>0</v>
      </c>
      <c r="N726" s="34">
        <v>200</v>
      </c>
      <c r="O726" s="40" t="str">
        <f>81200*$C833</f>
        <v>0</v>
      </c>
    </row>
    <row r="727" spans="1:15">
      <c r="B727" s="55">
        <v>715</v>
      </c>
      <c r="C727" s="58">
        <v>51</v>
      </c>
      <c r="D727" s="58"/>
      <c r="E727" s="58" t="s">
        <v>1298</v>
      </c>
      <c r="F727" s="58" t="s">
        <v>1299</v>
      </c>
      <c r="G727" s="58" t="s">
        <v>1384</v>
      </c>
      <c r="H727" s="58" t="s">
        <v>620</v>
      </c>
      <c r="I727" s="58" t="s">
        <v>455</v>
      </c>
      <c r="J727" s="34">
        <v>400</v>
      </c>
      <c r="K727" s="34">
        <v>100</v>
      </c>
      <c r="L727" s="34">
        <v>-300</v>
      </c>
      <c r="M727" s="37" t="str">
        <f>221800*$C833</f>
        <v>0</v>
      </c>
      <c r="N727" s="34">
        <v>400</v>
      </c>
      <c r="O727" s="40" t="str">
        <f>887200*$C833</f>
        <v>0</v>
      </c>
    </row>
    <row r="728" spans="1:15">
      <c r="B728" s="55">
        <v>716</v>
      </c>
      <c r="C728" s="58">
        <v>51</v>
      </c>
      <c r="D728" s="58"/>
      <c r="E728" s="58" t="s">
        <v>1298</v>
      </c>
      <c r="F728" s="58" t="s">
        <v>1299</v>
      </c>
      <c r="G728" s="58" t="s">
        <v>1385</v>
      </c>
      <c r="H728" s="58" t="s">
        <v>1386</v>
      </c>
      <c r="I728" s="58" t="s">
        <v>548</v>
      </c>
      <c r="J728" s="34">
        <v>0</v>
      </c>
      <c r="K728" s="34">
        <v>0</v>
      </c>
      <c r="L728" s="34">
        <v>0</v>
      </c>
      <c r="M728" s="37">
        <v>0</v>
      </c>
      <c r="N728" s="34">
        <v>0</v>
      </c>
      <c r="O728" s="40">
        <v>0</v>
      </c>
    </row>
    <row r="729" spans="1:15">
      <c r="B729" s="55">
        <v>717</v>
      </c>
      <c r="C729" s="58">
        <v>51</v>
      </c>
      <c r="D729" s="58"/>
      <c r="E729" s="58" t="s">
        <v>1298</v>
      </c>
      <c r="F729" s="58" t="s">
        <v>1299</v>
      </c>
      <c r="G729" s="58" t="s">
        <v>1387</v>
      </c>
      <c r="H729" s="58" t="s">
        <v>1388</v>
      </c>
      <c r="I729" s="58" t="s">
        <v>623</v>
      </c>
      <c r="J729" s="34">
        <v>200</v>
      </c>
      <c r="K729" s="34">
        <v>0</v>
      </c>
      <c r="L729" s="34">
        <v>-200</v>
      </c>
      <c r="M729" s="37">
        <v>0</v>
      </c>
      <c r="N729" s="34">
        <v>200</v>
      </c>
      <c r="O729" s="40" t="str">
        <f>13200*$C833</f>
        <v>0</v>
      </c>
    </row>
    <row r="730" spans="1:15">
      <c r="B730" s="55">
        <v>718</v>
      </c>
      <c r="C730" s="58">
        <v>51</v>
      </c>
      <c r="D730" s="58"/>
      <c r="E730" s="58" t="s">
        <v>1298</v>
      </c>
      <c r="F730" s="58" t="s">
        <v>1299</v>
      </c>
      <c r="G730" s="58" t="s">
        <v>1389</v>
      </c>
      <c r="H730" s="58" t="s">
        <v>1390</v>
      </c>
      <c r="I730" s="58" t="s">
        <v>623</v>
      </c>
      <c r="J730" s="34">
        <v>0</v>
      </c>
      <c r="K730" s="34">
        <v>0</v>
      </c>
      <c r="L730" s="34">
        <v>0</v>
      </c>
      <c r="M730" s="37">
        <v>0</v>
      </c>
      <c r="N730" s="34">
        <v>2000</v>
      </c>
      <c r="O730" s="40" t="str">
        <f>128000*$C833</f>
        <v>0</v>
      </c>
    </row>
    <row r="731" spans="1:15">
      <c r="B731" s="55">
        <v>719</v>
      </c>
      <c r="C731" s="58">
        <v>51</v>
      </c>
      <c r="D731" s="58"/>
      <c r="E731" s="58" t="s">
        <v>1298</v>
      </c>
      <c r="F731" s="58" t="s">
        <v>1299</v>
      </c>
      <c r="G731" s="58" t="s">
        <v>1391</v>
      </c>
      <c r="H731" s="58" t="s">
        <v>1392</v>
      </c>
      <c r="I731" s="58" t="s">
        <v>623</v>
      </c>
      <c r="J731" s="34">
        <v>300</v>
      </c>
      <c r="K731" s="34">
        <v>200</v>
      </c>
      <c r="L731" s="34">
        <v>-100</v>
      </c>
      <c r="M731" s="37" t="str">
        <f>45200*$C833</f>
        <v>0</v>
      </c>
      <c r="N731" s="34">
        <v>800</v>
      </c>
      <c r="O731" s="40" t="str">
        <f>180800*$C833</f>
        <v>0</v>
      </c>
    </row>
    <row r="732" spans="1:15">
      <c r="B732" s="55">
        <v>720</v>
      </c>
      <c r="C732" s="58">
        <v>51</v>
      </c>
      <c r="D732" s="58"/>
      <c r="E732" s="58" t="s">
        <v>1298</v>
      </c>
      <c r="F732" s="58" t="s">
        <v>1299</v>
      </c>
      <c r="G732" s="58" t="s">
        <v>1393</v>
      </c>
      <c r="H732" s="58" t="s">
        <v>622</v>
      </c>
      <c r="I732" s="58" t="s">
        <v>623</v>
      </c>
      <c r="J732" s="34">
        <v>450</v>
      </c>
      <c r="K732" s="34">
        <v>300</v>
      </c>
      <c r="L732" s="34">
        <v>-150</v>
      </c>
      <c r="M732" s="37" t="str">
        <f>316500*$C833</f>
        <v>0</v>
      </c>
      <c r="N732" s="34">
        <v>450</v>
      </c>
      <c r="O732" s="40" t="str">
        <f>474750*$C833</f>
        <v>0</v>
      </c>
    </row>
    <row r="733" spans="1:15">
      <c r="B733" s="55">
        <v>721</v>
      </c>
      <c r="C733" s="58">
        <v>51</v>
      </c>
      <c r="D733" s="58"/>
      <c r="E733" s="58" t="s">
        <v>1298</v>
      </c>
      <c r="F733" s="58" t="s">
        <v>1299</v>
      </c>
      <c r="G733" s="58" t="s">
        <v>1394</v>
      </c>
      <c r="H733" s="58" t="s">
        <v>694</v>
      </c>
      <c r="I733" s="58" t="s">
        <v>548</v>
      </c>
      <c r="J733" s="34">
        <v>2880</v>
      </c>
      <c r="K733" s="34">
        <v>2040</v>
      </c>
      <c r="L733" s="34">
        <v>-840</v>
      </c>
      <c r="M733" s="37" t="str">
        <f>573240*$C833</f>
        <v>0</v>
      </c>
      <c r="N733" s="34">
        <v>3216</v>
      </c>
      <c r="O733" s="40" t="str">
        <f>903696*$C833</f>
        <v>0</v>
      </c>
    </row>
    <row r="734" spans="1:15">
      <c r="B734" s="55">
        <v>722</v>
      </c>
      <c r="C734" s="58">
        <v>51</v>
      </c>
      <c r="D734" s="58"/>
      <c r="E734" s="58" t="s">
        <v>1298</v>
      </c>
      <c r="F734" s="58" t="s">
        <v>1299</v>
      </c>
      <c r="G734" s="58" t="s">
        <v>1395</v>
      </c>
      <c r="H734" s="58" t="s">
        <v>694</v>
      </c>
      <c r="I734" s="58" t="s">
        <v>455</v>
      </c>
      <c r="J734" s="34">
        <v>600</v>
      </c>
      <c r="K734" s="34">
        <v>0</v>
      </c>
      <c r="L734" s="34">
        <v>-600</v>
      </c>
      <c r="M734" s="37">
        <v>0</v>
      </c>
      <c r="N734" s="34">
        <v>1200</v>
      </c>
      <c r="O734" s="40" t="str">
        <f>403200*$C833</f>
        <v>0</v>
      </c>
    </row>
    <row r="735" spans="1:15">
      <c r="B735" s="55">
        <v>723</v>
      </c>
      <c r="C735" s="58">
        <v>51</v>
      </c>
      <c r="D735" s="58"/>
      <c r="E735" s="58" t="s">
        <v>1298</v>
      </c>
      <c r="F735" s="58" t="s">
        <v>1299</v>
      </c>
      <c r="G735" s="58" t="s">
        <v>1396</v>
      </c>
      <c r="H735" s="58" t="s">
        <v>620</v>
      </c>
      <c r="I735" s="58" t="s">
        <v>455</v>
      </c>
      <c r="J735" s="34">
        <v>400</v>
      </c>
      <c r="K735" s="34">
        <v>100</v>
      </c>
      <c r="L735" s="34">
        <v>-300</v>
      </c>
      <c r="M735" s="37" t="str">
        <f>221800*$C833</f>
        <v>0</v>
      </c>
      <c r="N735" s="34">
        <v>400</v>
      </c>
      <c r="O735" s="40" t="str">
        <f>887200*$C833</f>
        <v>0</v>
      </c>
    </row>
    <row r="736" spans="1:15">
      <c r="B736" s="55">
        <v>724</v>
      </c>
      <c r="C736" s="58">
        <v>51</v>
      </c>
      <c r="D736" s="58"/>
      <c r="E736" s="58" t="s">
        <v>1298</v>
      </c>
      <c r="F736" s="58" t="s">
        <v>1299</v>
      </c>
      <c r="G736" s="58" t="s">
        <v>1397</v>
      </c>
      <c r="H736" s="58" t="s">
        <v>1390</v>
      </c>
      <c r="I736" s="58" t="s">
        <v>1301</v>
      </c>
      <c r="J736" s="34">
        <v>0</v>
      </c>
      <c r="K736" s="34">
        <v>0</v>
      </c>
      <c r="L736" s="34">
        <v>0</v>
      </c>
      <c r="M736" s="37">
        <v>0</v>
      </c>
      <c r="N736" s="34">
        <v>200</v>
      </c>
      <c r="O736" s="40" t="str">
        <f>11000*$C833</f>
        <v>0</v>
      </c>
    </row>
    <row r="737" spans="1:15">
      <c r="B737" s="55">
        <v>725</v>
      </c>
      <c r="C737" s="58">
        <v>51</v>
      </c>
      <c r="D737" s="58"/>
      <c r="E737" s="58" t="s">
        <v>1298</v>
      </c>
      <c r="F737" s="58" t="s">
        <v>1299</v>
      </c>
      <c r="G737" s="58" t="s">
        <v>1398</v>
      </c>
      <c r="H737" s="58" t="s">
        <v>1399</v>
      </c>
      <c r="I737" s="58" t="s">
        <v>1400</v>
      </c>
      <c r="J737" s="34">
        <v>12000</v>
      </c>
      <c r="K737" s="34">
        <v>0</v>
      </c>
      <c r="L737" s="34">
        <v>-12000</v>
      </c>
      <c r="M737" s="37">
        <v>0</v>
      </c>
      <c r="N737" s="34">
        <v>0</v>
      </c>
      <c r="O737" s="40">
        <v>0</v>
      </c>
    </row>
    <row r="738" spans="1:15">
      <c r="B738" s="55">
        <v>726</v>
      </c>
      <c r="C738" s="58">
        <v>51</v>
      </c>
      <c r="D738" s="58"/>
      <c r="E738" s="58" t="s">
        <v>1298</v>
      </c>
      <c r="F738" s="58" t="s">
        <v>1299</v>
      </c>
      <c r="G738" s="58" t="s">
        <v>1401</v>
      </c>
      <c r="H738" s="58" t="s">
        <v>1308</v>
      </c>
      <c r="I738" s="58" t="s">
        <v>1301</v>
      </c>
      <c r="J738" s="34">
        <v>2700</v>
      </c>
      <c r="K738" s="34">
        <v>1800</v>
      </c>
      <c r="L738" s="34">
        <v>-900</v>
      </c>
      <c r="M738" s="37" t="str">
        <f>28800*$C833</f>
        <v>0</v>
      </c>
      <c r="N738" s="34">
        <v>3300</v>
      </c>
      <c r="O738" s="40" t="str">
        <f>52800*$C833</f>
        <v>0</v>
      </c>
    </row>
    <row r="739" spans="1:15">
      <c r="B739" s="55">
        <v>727</v>
      </c>
      <c r="C739" s="58">
        <v>51</v>
      </c>
      <c r="D739" s="58"/>
      <c r="E739" s="58" t="s">
        <v>1298</v>
      </c>
      <c r="F739" s="58" t="s">
        <v>1299</v>
      </c>
      <c r="G739" s="58" t="s">
        <v>1402</v>
      </c>
      <c r="H739" s="58" t="s">
        <v>1403</v>
      </c>
      <c r="I739" s="58" t="s">
        <v>623</v>
      </c>
      <c r="J739" s="34">
        <v>486</v>
      </c>
      <c r="K739" s="34">
        <v>324</v>
      </c>
      <c r="L739" s="34">
        <v>-162</v>
      </c>
      <c r="M739" s="37" t="str">
        <f>752652*$C833</f>
        <v>0</v>
      </c>
      <c r="N739" s="34">
        <v>486</v>
      </c>
      <c r="O739" s="40" t="str">
        <f>1128978*$C833</f>
        <v>0</v>
      </c>
    </row>
    <row r="740" spans="1:15">
      <c r="B740" s="55">
        <v>728</v>
      </c>
      <c r="C740" s="58">
        <v>51</v>
      </c>
      <c r="D740" s="58"/>
      <c r="E740" s="58" t="s">
        <v>1298</v>
      </c>
      <c r="F740" s="58" t="s">
        <v>1299</v>
      </c>
      <c r="G740" s="58" t="s">
        <v>1404</v>
      </c>
      <c r="H740" s="58" t="s">
        <v>555</v>
      </c>
      <c r="I740" s="58" t="s">
        <v>623</v>
      </c>
      <c r="J740" s="34">
        <v>1800</v>
      </c>
      <c r="K740" s="34">
        <v>1200</v>
      </c>
      <c r="L740" s="34">
        <v>-600</v>
      </c>
      <c r="M740" s="37" t="str">
        <f>177600*$C833</f>
        <v>0</v>
      </c>
      <c r="N740" s="34">
        <v>2400</v>
      </c>
      <c r="O740" s="40" t="str">
        <f>355200*$C833</f>
        <v>0</v>
      </c>
    </row>
    <row r="741" spans="1:15">
      <c r="B741" s="55">
        <v>729</v>
      </c>
      <c r="C741" s="58">
        <v>51</v>
      </c>
      <c r="D741" s="58"/>
      <c r="E741" s="58" t="s">
        <v>1298</v>
      </c>
      <c r="F741" s="58" t="s">
        <v>1299</v>
      </c>
      <c r="G741" s="58" t="s">
        <v>1405</v>
      </c>
      <c r="H741" s="58" t="s">
        <v>659</v>
      </c>
      <c r="I741" s="58" t="s">
        <v>623</v>
      </c>
      <c r="J741" s="34">
        <v>100</v>
      </c>
      <c r="K741" s="34">
        <v>100</v>
      </c>
      <c r="L741" s="34">
        <v>0</v>
      </c>
      <c r="M741" s="37" t="str">
        <f>43600*$C833</f>
        <v>0</v>
      </c>
      <c r="N741" s="34">
        <v>0</v>
      </c>
      <c r="O741" s="40">
        <v>0</v>
      </c>
    </row>
    <row r="742" spans="1:15">
      <c r="B742" s="55">
        <v>730</v>
      </c>
      <c r="C742" s="58">
        <v>51</v>
      </c>
      <c r="D742" s="58"/>
      <c r="E742" s="58" t="s">
        <v>1298</v>
      </c>
      <c r="F742" s="58" t="s">
        <v>1299</v>
      </c>
      <c r="G742" s="58" t="s">
        <v>1406</v>
      </c>
      <c r="H742" s="58" t="s">
        <v>1407</v>
      </c>
      <c r="I742" s="58" t="s">
        <v>688</v>
      </c>
      <c r="J742" s="34">
        <v>0</v>
      </c>
      <c r="K742" s="34">
        <v>0</v>
      </c>
      <c r="L742" s="34">
        <v>0</v>
      </c>
      <c r="M742" s="37">
        <v>0</v>
      </c>
      <c r="N742" s="34">
        <v>0</v>
      </c>
      <c r="O742" s="40">
        <v>0</v>
      </c>
    </row>
    <row r="743" spans="1:15">
      <c r="B743" s="55">
        <v>731</v>
      </c>
      <c r="C743" s="58">
        <v>51</v>
      </c>
      <c r="D743" s="58"/>
      <c r="E743" s="58" t="s">
        <v>1298</v>
      </c>
      <c r="F743" s="58" t="s">
        <v>1299</v>
      </c>
      <c r="G743" s="58" t="s">
        <v>1408</v>
      </c>
      <c r="H743" s="58" t="s">
        <v>622</v>
      </c>
      <c r="I743" s="58" t="s">
        <v>623</v>
      </c>
      <c r="J743" s="34">
        <v>450</v>
      </c>
      <c r="K743" s="34">
        <v>300</v>
      </c>
      <c r="L743" s="34">
        <v>-150</v>
      </c>
      <c r="M743" s="37" t="str">
        <f>316500*$C833</f>
        <v>0</v>
      </c>
      <c r="N743" s="34">
        <v>600</v>
      </c>
      <c r="O743" s="40" t="str">
        <f>633000*$C833</f>
        <v>0</v>
      </c>
    </row>
    <row r="744" spans="1:15">
      <c r="B744" s="55">
        <v>732</v>
      </c>
      <c r="C744" s="58">
        <v>51</v>
      </c>
      <c r="D744" s="58"/>
      <c r="E744" s="58" t="s">
        <v>1298</v>
      </c>
      <c r="F744" s="58" t="s">
        <v>1299</v>
      </c>
      <c r="G744" s="58" t="s">
        <v>1409</v>
      </c>
      <c r="H744" s="58" t="s">
        <v>1315</v>
      </c>
      <c r="I744" s="58" t="s">
        <v>688</v>
      </c>
      <c r="J744" s="34">
        <v>0</v>
      </c>
      <c r="K744" s="34">
        <v>0</v>
      </c>
      <c r="L744" s="34">
        <v>0</v>
      </c>
      <c r="M744" s="37">
        <v>0</v>
      </c>
      <c r="N744" s="34">
        <v>0</v>
      </c>
      <c r="O744" s="40">
        <v>0</v>
      </c>
    </row>
    <row r="745" spans="1:15">
      <c r="B745" s="55">
        <v>733</v>
      </c>
      <c r="C745" s="58">
        <v>51</v>
      </c>
      <c r="D745" s="58"/>
      <c r="E745" s="58" t="s">
        <v>1298</v>
      </c>
      <c r="F745" s="58" t="s">
        <v>1299</v>
      </c>
      <c r="G745" s="58" t="s">
        <v>1410</v>
      </c>
      <c r="H745" s="58" t="s">
        <v>1411</v>
      </c>
      <c r="I745" s="58"/>
      <c r="J745" s="34">
        <v>0</v>
      </c>
      <c r="K745" s="34">
        <v>0</v>
      </c>
      <c r="L745" s="34">
        <v>0</v>
      </c>
      <c r="M745" s="37">
        <v>0</v>
      </c>
      <c r="N745" s="34">
        <v>2</v>
      </c>
      <c r="O745" s="40" t="str">
        <f>8770*$C833</f>
        <v>0</v>
      </c>
    </row>
    <row r="746" spans="1:15">
      <c r="B746" s="55">
        <v>734</v>
      </c>
      <c r="C746" s="58">
        <v>51</v>
      </c>
      <c r="D746" s="58"/>
      <c r="E746" s="58" t="s">
        <v>1298</v>
      </c>
      <c r="F746" s="58" t="s">
        <v>1299</v>
      </c>
      <c r="G746" s="58" t="s">
        <v>1412</v>
      </c>
      <c r="H746" s="58" t="s">
        <v>1355</v>
      </c>
      <c r="I746" s="58" t="s">
        <v>548</v>
      </c>
      <c r="J746" s="34">
        <v>2000</v>
      </c>
      <c r="K746" s="34">
        <v>1000</v>
      </c>
      <c r="L746" s="34">
        <v>-1000</v>
      </c>
      <c r="M746" s="37" t="str">
        <f>8000*$C833</f>
        <v>0</v>
      </c>
      <c r="N746" s="34">
        <v>7000</v>
      </c>
      <c r="O746" s="40" t="str">
        <f>56000*$C833</f>
        <v>0</v>
      </c>
    </row>
    <row r="747" spans="1:15">
      <c r="B747" s="55">
        <v>735</v>
      </c>
      <c r="C747" s="58">
        <v>51</v>
      </c>
      <c r="D747" s="58"/>
      <c r="E747" s="58" t="s">
        <v>1298</v>
      </c>
      <c r="F747" s="58" t="s">
        <v>1299</v>
      </c>
      <c r="G747" s="58" t="s">
        <v>1413</v>
      </c>
      <c r="H747" s="58" t="s">
        <v>1403</v>
      </c>
      <c r="I747" s="58" t="s">
        <v>623</v>
      </c>
      <c r="J747" s="34">
        <v>729</v>
      </c>
      <c r="K747" s="34">
        <v>486</v>
      </c>
      <c r="L747" s="34">
        <v>-243</v>
      </c>
      <c r="M747" s="37" t="str">
        <f>971514*$C833</f>
        <v>0</v>
      </c>
      <c r="N747" s="34">
        <v>1944</v>
      </c>
      <c r="O747" s="40" t="str">
        <f>3886056*$C833</f>
        <v>0</v>
      </c>
    </row>
    <row r="748" spans="1:15">
      <c r="B748" s="55">
        <v>736</v>
      </c>
      <c r="C748" s="58">
        <v>51</v>
      </c>
      <c r="D748" s="58"/>
      <c r="E748" s="58" t="s">
        <v>1298</v>
      </c>
      <c r="F748" s="58" t="s">
        <v>1299</v>
      </c>
      <c r="G748" s="58" t="s">
        <v>1414</v>
      </c>
      <c r="H748" s="58" t="s">
        <v>629</v>
      </c>
      <c r="I748" s="58" t="s">
        <v>623</v>
      </c>
      <c r="J748" s="34">
        <v>600</v>
      </c>
      <c r="K748" s="34">
        <v>200</v>
      </c>
      <c r="L748" s="34">
        <v>-400</v>
      </c>
      <c r="M748" s="37" t="str">
        <f>385000*$C833</f>
        <v>0</v>
      </c>
      <c r="N748" s="34">
        <v>600</v>
      </c>
      <c r="O748" s="40" t="str">
        <f>1155000*$C833</f>
        <v>0</v>
      </c>
    </row>
    <row r="749" spans="1:15">
      <c r="B749" s="55">
        <v>737</v>
      </c>
      <c r="C749" s="58">
        <v>51</v>
      </c>
      <c r="D749" s="58"/>
      <c r="E749" s="58" t="s">
        <v>1298</v>
      </c>
      <c r="F749" s="58" t="s">
        <v>1299</v>
      </c>
      <c r="G749" s="58" t="s">
        <v>1415</v>
      </c>
      <c r="H749" s="58" t="s">
        <v>1416</v>
      </c>
      <c r="I749" s="58" t="s">
        <v>623</v>
      </c>
      <c r="J749" s="34">
        <v>2000</v>
      </c>
      <c r="K749" s="34">
        <v>2000</v>
      </c>
      <c r="L749" s="34">
        <v>0</v>
      </c>
      <c r="M749" s="37" t="str">
        <f>14000*$C833</f>
        <v>0</v>
      </c>
      <c r="N749" s="34">
        <v>2000</v>
      </c>
      <c r="O749" s="40" t="str">
        <f>14000*$C833</f>
        <v>0</v>
      </c>
    </row>
    <row r="750" spans="1:15">
      <c r="B750" s="55">
        <v>738</v>
      </c>
      <c r="C750" s="58">
        <v>51</v>
      </c>
      <c r="D750" s="58"/>
      <c r="E750" s="58" t="s">
        <v>1298</v>
      </c>
      <c r="F750" s="58" t="s">
        <v>1299</v>
      </c>
      <c r="G750" s="58" t="s">
        <v>621</v>
      </c>
      <c r="H750" s="58" t="s">
        <v>622</v>
      </c>
      <c r="I750" s="58" t="s">
        <v>623</v>
      </c>
      <c r="J750" s="34">
        <v>0</v>
      </c>
      <c r="K750" s="34">
        <v>0</v>
      </c>
      <c r="L750" s="34">
        <v>0</v>
      </c>
      <c r="M750" s="37">
        <v>0</v>
      </c>
      <c r="N750" s="34">
        <v>0</v>
      </c>
      <c r="O750" s="40">
        <v>0</v>
      </c>
    </row>
    <row r="751" spans="1:15">
      <c r="B751" s="55">
        <v>739</v>
      </c>
      <c r="C751" s="58">
        <v>51</v>
      </c>
      <c r="D751" s="58"/>
      <c r="E751" s="58" t="s">
        <v>1298</v>
      </c>
      <c r="F751" s="58" t="s">
        <v>1299</v>
      </c>
      <c r="G751" s="58" t="s">
        <v>1417</v>
      </c>
      <c r="H751" s="58" t="s">
        <v>620</v>
      </c>
      <c r="I751" s="58" t="s">
        <v>455</v>
      </c>
      <c r="J751" s="34">
        <v>50</v>
      </c>
      <c r="K751" s="34">
        <v>300</v>
      </c>
      <c r="L751" s="34">
        <v>250</v>
      </c>
      <c r="M751" s="37" t="str">
        <f>867300*$C833</f>
        <v>0</v>
      </c>
      <c r="N751" s="34">
        <v>100</v>
      </c>
      <c r="O751" s="40" t="str">
        <f>289100*$C833</f>
        <v>0</v>
      </c>
    </row>
    <row r="752" spans="1:15">
      <c r="B752" s="55">
        <v>740</v>
      </c>
      <c r="C752" s="58">
        <v>51</v>
      </c>
      <c r="D752" s="58"/>
      <c r="E752" s="58" t="s">
        <v>1298</v>
      </c>
      <c r="F752" s="58" t="s">
        <v>1299</v>
      </c>
      <c r="G752" s="58" t="s">
        <v>1418</v>
      </c>
      <c r="H752" s="58" t="s">
        <v>1308</v>
      </c>
      <c r="I752" s="58" t="s">
        <v>1301</v>
      </c>
      <c r="J752" s="34">
        <v>300</v>
      </c>
      <c r="K752" s="34">
        <v>300</v>
      </c>
      <c r="L752" s="34">
        <v>0</v>
      </c>
      <c r="M752" s="37" t="str">
        <f>4200*$C833</f>
        <v>0</v>
      </c>
      <c r="N752" s="34">
        <v>0</v>
      </c>
      <c r="O752" s="40">
        <v>0</v>
      </c>
    </row>
    <row r="753" spans="1:15">
      <c r="B753" s="55">
        <v>741</v>
      </c>
      <c r="C753" s="58">
        <v>51</v>
      </c>
      <c r="D753" s="58"/>
      <c r="E753" s="58" t="s">
        <v>1298</v>
      </c>
      <c r="F753" s="58" t="s">
        <v>1299</v>
      </c>
      <c r="G753" s="58" t="s">
        <v>1419</v>
      </c>
      <c r="H753" s="58" t="s">
        <v>232</v>
      </c>
      <c r="I753" s="58" t="s">
        <v>1420</v>
      </c>
      <c r="J753" s="34">
        <v>0</v>
      </c>
      <c r="K753" s="34">
        <v>3000</v>
      </c>
      <c r="L753" s="34">
        <v>3000</v>
      </c>
      <c r="M753" s="37" t="str">
        <f>54000*$C833</f>
        <v>0</v>
      </c>
      <c r="N753" s="34">
        <v>1600</v>
      </c>
      <c r="O753" s="40" t="str">
        <f>28800*$C833</f>
        <v>0</v>
      </c>
    </row>
    <row r="754" spans="1:15">
      <c r="B754" s="55">
        <v>742</v>
      </c>
      <c r="C754" s="58">
        <v>51</v>
      </c>
      <c r="D754" s="58"/>
      <c r="E754" s="58" t="s">
        <v>1298</v>
      </c>
      <c r="F754" s="58" t="s">
        <v>1299</v>
      </c>
      <c r="G754" s="58" t="s">
        <v>1421</v>
      </c>
      <c r="H754" s="58" t="s">
        <v>828</v>
      </c>
      <c r="I754" s="58" t="s">
        <v>1301</v>
      </c>
      <c r="J754" s="34">
        <v>840</v>
      </c>
      <c r="K754" s="34">
        <v>560</v>
      </c>
      <c r="L754" s="34">
        <v>-280</v>
      </c>
      <c r="M754" s="37" t="str">
        <f>146720*$C833</f>
        <v>0</v>
      </c>
      <c r="N754" s="34">
        <v>960</v>
      </c>
      <c r="O754" s="40" t="str">
        <f>251520*$C833</f>
        <v>0</v>
      </c>
    </row>
    <row r="755" spans="1:15">
      <c r="B755" s="55">
        <v>743</v>
      </c>
      <c r="C755" s="58">
        <v>51</v>
      </c>
      <c r="D755" s="58"/>
      <c r="E755" s="58" t="s">
        <v>1298</v>
      </c>
      <c r="F755" s="58" t="s">
        <v>1299</v>
      </c>
      <c r="G755" s="58" t="s">
        <v>1422</v>
      </c>
      <c r="H755" s="58" t="s">
        <v>1423</v>
      </c>
      <c r="I755" s="58" t="s">
        <v>623</v>
      </c>
      <c r="J755" s="34">
        <v>288</v>
      </c>
      <c r="K755" s="34">
        <v>288</v>
      </c>
      <c r="L755" s="34">
        <v>0</v>
      </c>
      <c r="M755" s="37" t="str">
        <f>63072*$C833</f>
        <v>0</v>
      </c>
      <c r="N755" s="34">
        <v>864</v>
      </c>
      <c r="O755" s="40" t="str">
        <f>189216*$C833</f>
        <v>0</v>
      </c>
    </row>
    <row r="756" spans="1:15">
      <c r="B756" s="55">
        <v>744</v>
      </c>
      <c r="C756" s="58">
        <v>51</v>
      </c>
      <c r="D756" s="58"/>
      <c r="E756" s="58" t="s">
        <v>1298</v>
      </c>
      <c r="F756" s="58" t="s">
        <v>1299</v>
      </c>
      <c r="G756" s="58" t="s">
        <v>1424</v>
      </c>
      <c r="H756" s="58" t="s">
        <v>1425</v>
      </c>
      <c r="I756" s="58" t="s">
        <v>623</v>
      </c>
      <c r="J756" s="34">
        <v>1350</v>
      </c>
      <c r="K756" s="34">
        <v>1260</v>
      </c>
      <c r="L756" s="34">
        <v>-90</v>
      </c>
      <c r="M756" s="37" t="str">
        <f>306180*$C833</f>
        <v>0</v>
      </c>
      <c r="N756" s="34">
        <v>2400</v>
      </c>
      <c r="O756" s="40" t="str">
        <f>583200*$C833</f>
        <v>0</v>
      </c>
    </row>
    <row r="757" spans="1:15">
      <c r="B757" s="55">
        <v>745</v>
      </c>
      <c r="C757" s="58">
        <v>51</v>
      </c>
      <c r="D757" s="58"/>
      <c r="E757" s="58" t="s">
        <v>1298</v>
      </c>
      <c r="F757" s="58" t="s">
        <v>1299</v>
      </c>
      <c r="G757" s="58" t="s">
        <v>1426</v>
      </c>
      <c r="H757" s="58" t="s">
        <v>1427</v>
      </c>
      <c r="I757" s="58" t="s">
        <v>623</v>
      </c>
      <c r="J757" s="34">
        <v>0</v>
      </c>
      <c r="K757" s="34">
        <v>0</v>
      </c>
      <c r="L757" s="34">
        <v>0</v>
      </c>
      <c r="M757" s="37">
        <v>0</v>
      </c>
      <c r="N757" s="34">
        <v>2400</v>
      </c>
      <c r="O757" s="40" t="str">
        <f>9600*$C833</f>
        <v>0</v>
      </c>
    </row>
    <row r="758" spans="1:15">
      <c r="B758" s="55">
        <v>746</v>
      </c>
      <c r="C758" s="58">
        <v>51</v>
      </c>
      <c r="D758" s="58"/>
      <c r="E758" s="58" t="s">
        <v>1298</v>
      </c>
      <c r="F758" s="58" t="s">
        <v>1299</v>
      </c>
      <c r="G758" s="58" t="s">
        <v>1428</v>
      </c>
      <c r="H758" s="58" t="s">
        <v>1399</v>
      </c>
      <c r="I758" s="58" t="s">
        <v>1363</v>
      </c>
      <c r="J758" s="34">
        <v>102000</v>
      </c>
      <c r="K758" s="34">
        <v>36000</v>
      </c>
      <c r="L758" s="34">
        <v>-66000</v>
      </c>
      <c r="M758" s="37" t="str">
        <f>108000*$C833</f>
        <v>0</v>
      </c>
      <c r="N758" s="34">
        <v>150000</v>
      </c>
      <c r="O758" s="40" t="str">
        <f>450000*$C833</f>
        <v>0</v>
      </c>
    </row>
    <row r="759" spans="1:15">
      <c r="B759" s="55">
        <v>747</v>
      </c>
      <c r="C759" s="58">
        <v>51</v>
      </c>
      <c r="D759" s="58"/>
      <c r="E759" s="58" t="s">
        <v>1298</v>
      </c>
      <c r="F759" s="58" t="s">
        <v>1299</v>
      </c>
      <c r="G759" s="58" t="s">
        <v>1429</v>
      </c>
      <c r="H759" s="58" t="s">
        <v>629</v>
      </c>
      <c r="I759" s="58" t="s">
        <v>623</v>
      </c>
      <c r="J759" s="34">
        <v>50</v>
      </c>
      <c r="K759" s="34">
        <v>50</v>
      </c>
      <c r="L759" s="34">
        <v>0</v>
      </c>
      <c r="M759" s="37" t="str">
        <f>120550*$C833</f>
        <v>0</v>
      </c>
      <c r="N759" s="34">
        <v>50</v>
      </c>
      <c r="O759" s="40" t="str">
        <f>120550*$C833</f>
        <v>0</v>
      </c>
    </row>
    <row r="760" spans="1:15">
      <c r="B760" s="55">
        <v>748</v>
      </c>
      <c r="C760" s="58">
        <v>51</v>
      </c>
      <c r="D760" s="58"/>
      <c r="E760" s="58" t="s">
        <v>1298</v>
      </c>
      <c r="F760" s="58" t="s">
        <v>1299</v>
      </c>
      <c r="G760" s="58" t="s">
        <v>1430</v>
      </c>
      <c r="H760" s="58" t="s">
        <v>1431</v>
      </c>
      <c r="I760" s="58" t="s">
        <v>999</v>
      </c>
      <c r="J760" s="34">
        <v>0</v>
      </c>
      <c r="K760" s="34">
        <v>0</v>
      </c>
      <c r="L760" s="34">
        <v>0</v>
      </c>
      <c r="M760" s="37">
        <v>0</v>
      </c>
      <c r="N760" s="34">
        <v>0</v>
      </c>
      <c r="O760" s="40">
        <v>0</v>
      </c>
    </row>
    <row r="761" spans="1:15">
      <c r="B761" s="55">
        <v>749</v>
      </c>
      <c r="C761" s="58">
        <v>51</v>
      </c>
      <c r="D761" s="58"/>
      <c r="E761" s="58" t="s">
        <v>1298</v>
      </c>
      <c r="F761" s="58" t="s">
        <v>1299</v>
      </c>
      <c r="G761" s="58" t="s">
        <v>1432</v>
      </c>
      <c r="H761" s="58" t="s">
        <v>620</v>
      </c>
      <c r="I761" s="58" t="s">
        <v>455</v>
      </c>
      <c r="J761" s="34">
        <v>150</v>
      </c>
      <c r="K761" s="34">
        <v>50</v>
      </c>
      <c r="L761" s="34">
        <v>-100</v>
      </c>
      <c r="M761" s="37" t="str">
        <f>127550*$C833</f>
        <v>0</v>
      </c>
      <c r="N761" s="34">
        <v>100</v>
      </c>
      <c r="O761" s="40" t="str">
        <f>255100*$C833</f>
        <v>0</v>
      </c>
    </row>
    <row r="762" spans="1:15">
      <c r="B762" s="55">
        <v>750</v>
      </c>
      <c r="C762" s="58">
        <v>51</v>
      </c>
      <c r="D762" s="58"/>
      <c r="E762" s="58" t="s">
        <v>1298</v>
      </c>
      <c r="F762" s="58" t="s">
        <v>1299</v>
      </c>
      <c r="G762" s="58" t="s">
        <v>1433</v>
      </c>
      <c r="H762" s="58" t="s">
        <v>1390</v>
      </c>
      <c r="I762" s="58" t="s">
        <v>1301</v>
      </c>
      <c r="J762" s="34">
        <v>2800</v>
      </c>
      <c r="K762" s="34">
        <v>1800</v>
      </c>
      <c r="L762" s="34">
        <v>-1000</v>
      </c>
      <c r="M762" s="37" t="str">
        <f>102600*$C833</f>
        <v>0</v>
      </c>
      <c r="N762" s="34">
        <v>2300</v>
      </c>
      <c r="O762" s="40" t="str">
        <f>131100*$C833</f>
        <v>0</v>
      </c>
    </row>
    <row r="763" spans="1:15">
      <c r="B763" s="55">
        <v>751</v>
      </c>
      <c r="C763" s="58">
        <v>51</v>
      </c>
      <c r="D763" s="58"/>
      <c r="E763" s="58" t="s">
        <v>1298</v>
      </c>
      <c r="F763" s="58" t="s">
        <v>1299</v>
      </c>
      <c r="G763" s="58" t="s">
        <v>1434</v>
      </c>
      <c r="H763" s="58" t="s">
        <v>1435</v>
      </c>
      <c r="I763" s="58" t="s">
        <v>623</v>
      </c>
      <c r="J763" s="34">
        <v>300</v>
      </c>
      <c r="K763" s="34">
        <v>100</v>
      </c>
      <c r="L763" s="34">
        <v>-200</v>
      </c>
      <c r="M763" s="37" t="str">
        <f>4000*$C833</f>
        <v>0</v>
      </c>
      <c r="N763" s="34">
        <v>500</v>
      </c>
      <c r="O763" s="40" t="str">
        <f>20000*$C833</f>
        <v>0</v>
      </c>
    </row>
    <row r="764" spans="1:15">
      <c r="B764" s="55">
        <v>752</v>
      </c>
      <c r="C764" s="58">
        <v>51</v>
      </c>
      <c r="D764" s="58"/>
      <c r="E764" s="58" t="s">
        <v>1298</v>
      </c>
      <c r="F764" s="58" t="s">
        <v>1299</v>
      </c>
      <c r="G764" s="58" t="s">
        <v>1436</v>
      </c>
      <c r="H764" s="58" t="s">
        <v>1437</v>
      </c>
      <c r="I764" s="58" t="s">
        <v>623</v>
      </c>
      <c r="J764" s="34">
        <v>2000</v>
      </c>
      <c r="K764" s="34">
        <v>800</v>
      </c>
      <c r="L764" s="34">
        <v>-1200</v>
      </c>
      <c r="M764" s="37" t="str">
        <f>24800*$C833</f>
        <v>0</v>
      </c>
      <c r="N764" s="34">
        <v>2400</v>
      </c>
      <c r="O764" s="40" t="str">
        <f>74400*$C833</f>
        <v>0</v>
      </c>
    </row>
    <row r="765" spans="1:15">
      <c r="B765" s="55">
        <v>753</v>
      </c>
      <c r="C765" s="58">
        <v>51</v>
      </c>
      <c r="D765" s="58"/>
      <c r="E765" s="58" t="s">
        <v>1298</v>
      </c>
      <c r="F765" s="58" t="s">
        <v>1299</v>
      </c>
      <c r="G765" s="58" t="s">
        <v>1438</v>
      </c>
      <c r="H765" s="58" t="s">
        <v>1425</v>
      </c>
      <c r="I765" s="58" t="s">
        <v>623</v>
      </c>
      <c r="J765" s="34">
        <v>1920</v>
      </c>
      <c r="K765" s="34">
        <v>2720</v>
      </c>
      <c r="L765" s="34">
        <v>800</v>
      </c>
      <c r="M765" s="37" t="str">
        <f>796960*$C833</f>
        <v>0</v>
      </c>
      <c r="N765" s="34">
        <v>2400</v>
      </c>
      <c r="O765" s="40" t="str">
        <f>703200*$C833</f>
        <v>0</v>
      </c>
    </row>
    <row r="766" spans="1:15">
      <c r="B766" s="55">
        <v>754</v>
      </c>
      <c r="C766" s="58">
        <v>51</v>
      </c>
      <c r="D766" s="58"/>
      <c r="E766" s="58" t="s">
        <v>1298</v>
      </c>
      <c r="F766" s="58" t="s">
        <v>1299</v>
      </c>
      <c r="G766" s="58" t="s">
        <v>1439</v>
      </c>
      <c r="H766" s="58" t="s">
        <v>1440</v>
      </c>
      <c r="I766" s="58" t="s">
        <v>623</v>
      </c>
      <c r="J766" s="34">
        <v>1800</v>
      </c>
      <c r="K766" s="34">
        <v>1200</v>
      </c>
      <c r="L766" s="34">
        <v>-600</v>
      </c>
      <c r="M766" s="37" t="str">
        <f>70800*$C833</f>
        <v>0</v>
      </c>
      <c r="N766" s="34">
        <v>2100</v>
      </c>
      <c r="O766" s="40" t="str">
        <f>123900*$C833</f>
        <v>0</v>
      </c>
    </row>
    <row r="767" spans="1:15">
      <c r="B767" s="55">
        <v>755</v>
      </c>
      <c r="C767" s="58">
        <v>51</v>
      </c>
      <c r="D767" s="58"/>
      <c r="E767" s="58" t="s">
        <v>1298</v>
      </c>
      <c r="F767" s="58" t="s">
        <v>1299</v>
      </c>
      <c r="G767" s="58" t="s">
        <v>1441</v>
      </c>
      <c r="H767" s="58" t="s">
        <v>629</v>
      </c>
      <c r="I767" s="58" t="s">
        <v>623</v>
      </c>
      <c r="J767" s="34">
        <v>50</v>
      </c>
      <c r="K767" s="34">
        <v>50</v>
      </c>
      <c r="L767" s="34">
        <v>0</v>
      </c>
      <c r="M767" s="37" t="str">
        <f>120550*$C833</f>
        <v>0</v>
      </c>
      <c r="N767" s="34">
        <v>50</v>
      </c>
      <c r="O767" s="40" t="str">
        <f>120550*$C833</f>
        <v>0</v>
      </c>
    </row>
    <row r="768" spans="1:15">
      <c r="B768" s="55">
        <v>756</v>
      </c>
      <c r="C768" s="58">
        <v>51</v>
      </c>
      <c r="D768" s="58"/>
      <c r="E768" s="58" t="s">
        <v>1298</v>
      </c>
      <c r="F768" s="58" t="s">
        <v>1299</v>
      </c>
      <c r="G768" s="58" t="s">
        <v>1442</v>
      </c>
      <c r="H768" s="58" t="s">
        <v>454</v>
      </c>
      <c r="I768" s="58" t="s">
        <v>548</v>
      </c>
      <c r="J768" s="34">
        <v>1440</v>
      </c>
      <c r="K768" s="34">
        <v>960</v>
      </c>
      <c r="L768" s="34">
        <v>-480</v>
      </c>
      <c r="M768" s="37" t="str">
        <f>261120*$C833</f>
        <v>0</v>
      </c>
      <c r="N768" s="34">
        <v>1040</v>
      </c>
      <c r="O768" s="40" t="str">
        <f>282880*$C833</f>
        <v>0</v>
      </c>
    </row>
    <row r="769" spans="1:15">
      <c r="B769" s="55">
        <v>757</v>
      </c>
      <c r="C769" s="58">
        <v>51</v>
      </c>
      <c r="D769" s="58"/>
      <c r="E769" s="58" t="s">
        <v>1298</v>
      </c>
      <c r="F769" s="58" t="s">
        <v>1299</v>
      </c>
      <c r="G769" s="58" t="s">
        <v>1443</v>
      </c>
      <c r="H769" s="58" t="s">
        <v>1427</v>
      </c>
      <c r="I769" s="58" t="s">
        <v>455</v>
      </c>
      <c r="J769" s="34">
        <v>0</v>
      </c>
      <c r="K769" s="34">
        <v>0</v>
      </c>
      <c r="L769" s="34">
        <v>0</v>
      </c>
      <c r="M769" s="37">
        <v>0</v>
      </c>
      <c r="N769" s="34">
        <v>1200</v>
      </c>
      <c r="O769" s="40" t="str">
        <f>4800*$C833</f>
        <v>0</v>
      </c>
    </row>
    <row r="770" spans="1:15">
      <c r="B770" s="55">
        <v>758</v>
      </c>
      <c r="C770" s="58">
        <v>51</v>
      </c>
      <c r="D770" s="58"/>
      <c r="E770" s="58" t="s">
        <v>1298</v>
      </c>
      <c r="F770" s="58" t="s">
        <v>1299</v>
      </c>
      <c r="G770" s="58" t="s">
        <v>1444</v>
      </c>
      <c r="H770" s="58" t="s">
        <v>957</v>
      </c>
      <c r="I770" s="58" t="s">
        <v>623</v>
      </c>
      <c r="J770" s="34">
        <v>3000</v>
      </c>
      <c r="K770" s="34">
        <v>2000</v>
      </c>
      <c r="L770" s="34">
        <v>-1000</v>
      </c>
      <c r="M770" s="37" t="str">
        <f>30000*$C833</f>
        <v>0</v>
      </c>
      <c r="N770" s="34">
        <v>5000</v>
      </c>
      <c r="O770" s="40" t="str">
        <f>75000*$C833</f>
        <v>0</v>
      </c>
    </row>
    <row r="771" spans="1:15">
      <c r="B771" s="55">
        <v>759</v>
      </c>
      <c r="C771" s="58">
        <v>51</v>
      </c>
      <c r="D771" s="58"/>
      <c r="E771" s="58" t="s">
        <v>1298</v>
      </c>
      <c r="F771" s="58" t="s">
        <v>1299</v>
      </c>
      <c r="G771" s="58" t="s">
        <v>1445</v>
      </c>
      <c r="H771" s="58" t="s">
        <v>1368</v>
      </c>
      <c r="I771" s="58" t="s">
        <v>623</v>
      </c>
      <c r="J771" s="34">
        <v>0</v>
      </c>
      <c r="K771" s="34">
        <v>0</v>
      </c>
      <c r="L771" s="34">
        <v>0</v>
      </c>
      <c r="M771" s="37">
        <v>0</v>
      </c>
      <c r="N771" s="34">
        <v>2000</v>
      </c>
      <c r="O771" s="40" t="str">
        <f>24000*$C833</f>
        <v>0</v>
      </c>
    </row>
    <row r="772" spans="1:15">
      <c r="B772" s="55">
        <v>760</v>
      </c>
      <c r="C772" s="58">
        <v>51</v>
      </c>
      <c r="D772" s="58"/>
      <c r="E772" s="58" t="s">
        <v>1298</v>
      </c>
      <c r="F772" s="58" t="s">
        <v>1299</v>
      </c>
      <c r="G772" s="58" t="s">
        <v>1446</v>
      </c>
      <c r="H772" s="58" t="s">
        <v>1447</v>
      </c>
      <c r="I772" s="58" t="s">
        <v>455</v>
      </c>
      <c r="J772" s="34">
        <v>250</v>
      </c>
      <c r="K772" s="34">
        <v>0</v>
      </c>
      <c r="L772" s="34">
        <v>-250</v>
      </c>
      <c r="M772" s="37">
        <v>0</v>
      </c>
      <c r="N772" s="34">
        <v>250</v>
      </c>
      <c r="O772" s="40" t="str">
        <f>101000*$C833</f>
        <v>0</v>
      </c>
    </row>
    <row r="773" spans="1:15">
      <c r="B773" s="55">
        <v>761</v>
      </c>
      <c r="C773" s="58">
        <v>51</v>
      </c>
      <c r="D773" s="58"/>
      <c r="E773" s="58" t="s">
        <v>1298</v>
      </c>
      <c r="F773" s="58" t="s">
        <v>1299</v>
      </c>
      <c r="G773" s="58" t="s">
        <v>1448</v>
      </c>
      <c r="H773" s="58" t="s">
        <v>620</v>
      </c>
      <c r="I773" s="58" t="s">
        <v>455</v>
      </c>
      <c r="J773" s="34">
        <v>150</v>
      </c>
      <c r="K773" s="34">
        <v>50</v>
      </c>
      <c r="L773" s="34">
        <v>-100</v>
      </c>
      <c r="M773" s="37" t="str">
        <f>127550*$C833</f>
        <v>0</v>
      </c>
      <c r="N773" s="34">
        <v>100</v>
      </c>
      <c r="O773" s="40" t="str">
        <f>255100*$C833</f>
        <v>0</v>
      </c>
    </row>
    <row r="774" spans="1:15">
      <c r="B774" s="55">
        <v>762</v>
      </c>
      <c r="C774" s="58">
        <v>51</v>
      </c>
      <c r="D774" s="58"/>
      <c r="E774" s="58" t="s">
        <v>1298</v>
      </c>
      <c r="F774" s="58" t="s">
        <v>1299</v>
      </c>
      <c r="G774" s="58" t="s">
        <v>1449</v>
      </c>
      <c r="H774" s="58" t="s">
        <v>1345</v>
      </c>
      <c r="I774" s="58" t="s">
        <v>623</v>
      </c>
      <c r="J774" s="34">
        <v>320</v>
      </c>
      <c r="K774" s="34">
        <v>320</v>
      </c>
      <c r="L774" s="34">
        <v>0</v>
      </c>
      <c r="M774" s="37" t="str">
        <f>77760*$C833</f>
        <v>0</v>
      </c>
      <c r="N774" s="34">
        <v>320</v>
      </c>
      <c r="O774" s="40" t="str">
        <f>77760*$C833</f>
        <v>0</v>
      </c>
    </row>
    <row r="775" spans="1:15">
      <c r="B775" s="55">
        <v>763</v>
      </c>
      <c r="C775" s="58">
        <v>51</v>
      </c>
      <c r="D775" s="58"/>
      <c r="E775" s="58" t="s">
        <v>1298</v>
      </c>
      <c r="F775" s="58" t="s">
        <v>1299</v>
      </c>
      <c r="G775" s="58" t="s">
        <v>1450</v>
      </c>
      <c r="H775" s="58" t="s">
        <v>1403</v>
      </c>
      <c r="I775" s="58" t="s">
        <v>623</v>
      </c>
      <c r="J775" s="34">
        <v>1944</v>
      </c>
      <c r="K775" s="34">
        <v>4428</v>
      </c>
      <c r="L775" s="34">
        <v>2484</v>
      </c>
      <c r="M775" s="37" t="str">
        <f>11574792*$C833</f>
        <v>0</v>
      </c>
      <c r="N775" s="34">
        <v>648</v>
      </c>
      <c r="O775" s="40" t="str">
        <f>1693872*$C833</f>
        <v>0</v>
      </c>
    </row>
    <row r="776" spans="1:15">
      <c r="B776" s="55">
        <v>764</v>
      </c>
      <c r="C776" s="58">
        <v>51</v>
      </c>
      <c r="D776" s="58"/>
      <c r="E776" s="58" t="s">
        <v>1298</v>
      </c>
      <c r="F776" s="58" t="s">
        <v>1299</v>
      </c>
      <c r="G776" s="58" t="s">
        <v>1451</v>
      </c>
      <c r="H776" s="58" t="s">
        <v>1452</v>
      </c>
      <c r="I776" s="58" t="s">
        <v>548</v>
      </c>
      <c r="J776" s="34">
        <v>648</v>
      </c>
      <c r="K776" s="34">
        <v>432</v>
      </c>
      <c r="L776" s="34">
        <v>-216</v>
      </c>
      <c r="M776" s="37" t="str">
        <f>959472*$C833</f>
        <v>0</v>
      </c>
      <c r="N776" s="34">
        <v>864</v>
      </c>
      <c r="O776" s="40" t="str">
        <f>1918944*$C833</f>
        <v>0</v>
      </c>
    </row>
    <row r="777" spans="1:15">
      <c r="B777" s="55">
        <v>765</v>
      </c>
      <c r="C777" s="58">
        <v>51</v>
      </c>
      <c r="D777" s="58"/>
      <c r="E777" s="58" t="s">
        <v>1298</v>
      </c>
      <c r="F777" s="58" t="s">
        <v>1299</v>
      </c>
      <c r="G777" s="58" t="s">
        <v>1453</v>
      </c>
      <c r="H777" s="58" t="s">
        <v>694</v>
      </c>
      <c r="I777" s="58" t="s">
        <v>623</v>
      </c>
      <c r="J777" s="34">
        <v>0</v>
      </c>
      <c r="K777" s="34">
        <v>0</v>
      </c>
      <c r="L777" s="34">
        <v>0</v>
      </c>
      <c r="M777" s="37">
        <v>0</v>
      </c>
      <c r="N777" s="34">
        <v>200</v>
      </c>
      <c r="O777" s="40" t="str">
        <f>78000*$C833</f>
        <v>0</v>
      </c>
    </row>
    <row r="778" spans="1:15">
      <c r="B778" s="55">
        <v>766</v>
      </c>
      <c r="C778" s="58">
        <v>51</v>
      </c>
      <c r="D778" s="58"/>
      <c r="E778" s="58" t="s">
        <v>1298</v>
      </c>
      <c r="F778" s="58" t="s">
        <v>1299</v>
      </c>
      <c r="G778" s="58" t="s">
        <v>1454</v>
      </c>
      <c r="H778" s="58" t="s">
        <v>246</v>
      </c>
      <c r="I778" s="58" t="s">
        <v>623</v>
      </c>
      <c r="J778" s="34">
        <v>300</v>
      </c>
      <c r="K778" s="34">
        <v>300</v>
      </c>
      <c r="L778" s="34">
        <v>0</v>
      </c>
      <c r="M778" s="37" t="str">
        <f>6600*$C833</f>
        <v>0</v>
      </c>
      <c r="N778" s="34">
        <v>300</v>
      </c>
      <c r="O778" s="40" t="str">
        <f>6600*$C833</f>
        <v>0</v>
      </c>
    </row>
    <row r="779" spans="1:15">
      <c r="B779" s="55">
        <v>767</v>
      </c>
      <c r="C779" s="58">
        <v>51</v>
      </c>
      <c r="D779" s="58"/>
      <c r="E779" s="58" t="s">
        <v>1298</v>
      </c>
      <c r="F779" s="58" t="s">
        <v>1299</v>
      </c>
      <c r="G779" s="58" t="s">
        <v>1455</v>
      </c>
      <c r="H779" s="58" t="s">
        <v>1399</v>
      </c>
      <c r="I779" s="58" t="s">
        <v>548</v>
      </c>
      <c r="J779" s="34">
        <v>126000</v>
      </c>
      <c r="K779" s="34">
        <v>84000</v>
      </c>
      <c r="L779" s="34">
        <v>-42000</v>
      </c>
      <c r="M779" s="37" t="str">
        <f>252000*$C833</f>
        <v>0</v>
      </c>
      <c r="N779" s="34">
        <v>102000</v>
      </c>
      <c r="O779" s="40" t="str">
        <f>306000*$C833</f>
        <v>0</v>
      </c>
    </row>
    <row r="780" spans="1:15">
      <c r="B780" s="55">
        <v>768</v>
      </c>
      <c r="C780" s="58">
        <v>51</v>
      </c>
      <c r="D780" s="58"/>
      <c r="E780" s="58" t="s">
        <v>1298</v>
      </c>
      <c r="F780" s="58" t="s">
        <v>1299</v>
      </c>
      <c r="G780" s="58" t="s">
        <v>1456</v>
      </c>
      <c r="H780" s="58" t="s">
        <v>694</v>
      </c>
      <c r="I780" s="58" t="s">
        <v>623</v>
      </c>
      <c r="J780" s="34">
        <v>200</v>
      </c>
      <c r="K780" s="34">
        <v>200</v>
      </c>
      <c r="L780" s="34">
        <v>0</v>
      </c>
      <c r="M780" s="37" t="str">
        <f>69600*$C833</f>
        <v>0</v>
      </c>
      <c r="N780" s="34">
        <v>300</v>
      </c>
      <c r="O780" s="40" t="str">
        <f>104400*$C833</f>
        <v>0</v>
      </c>
    </row>
    <row r="781" spans="1:15">
      <c r="B781" s="55">
        <v>769</v>
      </c>
      <c r="C781" s="58">
        <v>51</v>
      </c>
      <c r="D781" s="58"/>
      <c r="E781" s="58" t="s">
        <v>1298</v>
      </c>
      <c r="F781" s="58" t="s">
        <v>1299</v>
      </c>
      <c r="G781" s="58" t="s">
        <v>1457</v>
      </c>
      <c r="H781" s="58" t="s">
        <v>957</v>
      </c>
      <c r="I781" s="58" t="s">
        <v>455</v>
      </c>
      <c r="J781" s="34">
        <v>4000</v>
      </c>
      <c r="K781" s="34">
        <v>0</v>
      </c>
      <c r="L781" s="34">
        <v>-4000</v>
      </c>
      <c r="M781" s="37">
        <v>0</v>
      </c>
      <c r="N781" s="34">
        <v>4000</v>
      </c>
      <c r="O781" s="40" t="str">
        <f>16000*$C833</f>
        <v>0</v>
      </c>
    </row>
    <row r="782" spans="1:15">
      <c r="B782" s="55">
        <v>770</v>
      </c>
      <c r="C782" s="58">
        <v>51</v>
      </c>
      <c r="D782" s="58"/>
      <c r="E782" s="58" t="s">
        <v>1298</v>
      </c>
      <c r="F782" s="58" t="s">
        <v>1299</v>
      </c>
      <c r="G782" s="58" t="s">
        <v>1458</v>
      </c>
      <c r="H782" s="58" t="s">
        <v>555</v>
      </c>
      <c r="I782" s="58" t="s">
        <v>623</v>
      </c>
      <c r="J782" s="34">
        <v>1040</v>
      </c>
      <c r="K782" s="34">
        <v>640</v>
      </c>
      <c r="L782" s="34">
        <v>-400</v>
      </c>
      <c r="M782" s="37" t="str">
        <f>83200*$C833</f>
        <v>0</v>
      </c>
      <c r="N782" s="34">
        <v>1280</v>
      </c>
      <c r="O782" s="40" t="str">
        <f>166400*$C833</f>
        <v>0</v>
      </c>
    </row>
    <row r="783" spans="1:15">
      <c r="B783" s="55">
        <v>771</v>
      </c>
      <c r="C783" s="58">
        <v>51</v>
      </c>
      <c r="D783" s="58"/>
      <c r="E783" s="58" t="s">
        <v>1298</v>
      </c>
      <c r="F783" s="58" t="s">
        <v>1299</v>
      </c>
      <c r="G783" s="58" t="s">
        <v>1459</v>
      </c>
      <c r="H783" s="58" t="s">
        <v>1368</v>
      </c>
      <c r="I783" s="58" t="s">
        <v>455</v>
      </c>
      <c r="J783" s="34">
        <v>1000</v>
      </c>
      <c r="K783" s="34">
        <v>0</v>
      </c>
      <c r="L783" s="34">
        <v>-1000</v>
      </c>
      <c r="M783" s="37">
        <v>0</v>
      </c>
      <c r="N783" s="34">
        <v>0</v>
      </c>
      <c r="O783" s="40">
        <v>0</v>
      </c>
    </row>
    <row r="784" spans="1:15">
      <c r="B784" s="55">
        <v>772</v>
      </c>
      <c r="C784" s="58">
        <v>51</v>
      </c>
      <c r="D784" s="58"/>
      <c r="E784" s="58" t="s">
        <v>1298</v>
      </c>
      <c r="F784" s="58" t="s">
        <v>1299</v>
      </c>
      <c r="G784" s="58" t="s">
        <v>1460</v>
      </c>
      <c r="H784" s="58" t="s">
        <v>1461</v>
      </c>
      <c r="I784" s="58" t="s">
        <v>455</v>
      </c>
      <c r="J784" s="34">
        <v>0</v>
      </c>
      <c r="K784" s="34">
        <v>0</v>
      </c>
      <c r="L784" s="34">
        <v>0</v>
      </c>
      <c r="M784" s="37">
        <v>0</v>
      </c>
      <c r="N784" s="34">
        <v>0</v>
      </c>
      <c r="O784" s="40">
        <v>0</v>
      </c>
    </row>
    <row r="785" spans="1:15">
      <c r="B785" s="55">
        <v>773</v>
      </c>
      <c r="C785" s="58">
        <v>51</v>
      </c>
      <c r="D785" s="58"/>
      <c r="E785" s="58" t="s">
        <v>1298</v>
      </c>
      <c r="F785" s="58" t="s">
        <v>1299</v>
      </c>
      <c r="G785" s="58" t="s">
        <v>1462</v>
      </c>
      <c r="H785" s="58" t="s">
        <v>454</v>
      </c>
      <c r="I785" s="58" t="s">
        <v>1301</v>
      </c>
      <c r="J785" s="34">
        <v>2736</v>
      </c>
      <c r="K785" s="34">
        <v>1824</v>
      </c>
      <c r="L785" s="34">
        <v>-912</v>
      </c>
      <c r="M785" s="37" t="str">
        <f>578208*$C833</f>
        <v>0</v>
      </c>
      <c r="N785" s="34">
        <v>2944</v>
      </c>
      <c r="O785" s="40" t="str">
        <f>933248*$C833</f>
        <v>0</v>
      </c>
    </row>
    <row r="786" spans="1:15">
      <c r="B786" s="55">
        <v>774</v>
      </c>
      <c r="C786" s="58">
        <v>51</v>
      </c>
      <c r="D786" s="58"/>
      <c r="E786" s="58" t="s">
        <v>1298</v>
      </c>
      <c r="F786" s="58" t="s">
        <v>1299</v>
      </c>
      <c r="G786" s="58" t="s">
        <v>1463</v>
      </c>
      <c r="H786" s="58" t="s">
        <v>246</v>
      </c>
      <c r="I786" s="58" t="s">
        <v>1464</v>
      </c>
      <c r="J786" s="34">
        <v>0</v>
      </c>
      <c r="K786" s="34">
        <v>0</v>
      </c>
      <c r="L786" s="34">
        <v>0</v>
      </c>
      <c r="M786" s="37">
        <v>0</v>
      </c>
      <c r="N786" s="34">
        <v>0</v>
      </c>
      <c r="O786" s="40">
        <v>0</v>
      </c>
    </row>
    <row r="787" spans="1:15">
      <c r="B787" s="55">
        <v>775</v>
      </c>
      <c r="C787" s="58">
        <v>51</v>
      </c>
      <c r="D787" s="58"/>
      <c r="E787" s="58" t="s">
        <v>1298</v>
      </c>
      <c r="F787" s="58" t="s">
        <v>1299</v>
      </c>
      <c r="G787" s="58" t="s">
        <v>1465</v>
      </c>
      <c r="H787" s="58" t="s">
        <v>25</v>
      </c>
      <c r="I787" s="58" t="s">
        <v>1466</v>
      </c>
      <c r="J787" s="34">
        <v>240</v>
      </c>
      <c r="K787" s="34">
        <v>0</v>
      </c>
      <c r="L787" s="34">
        <v>-240</v>
      </c>
      <c r="M787" s="37">
        <v>0</v>
      </c>
      <c r="N787" s="34">
        <v>0</v>
      </c>
      <c r="O787" s="40">
        <v>0</v>
      </c>
    </row>
    <row r="788" spans="1:15">
      <c r="B788" s="55">
        <v>776</v>
      </c>
      <c r="C788" s="58">
        <v>51</v>
      </c>
      <c r="D788" s="58"/>
      <c r="E788" s="58" t="s">
        <v>1298</v>
      </c>
      <c r="F788" s="58" t="s">
        <v>1299</v>
      </c>
      <c r="G788" s="58" t="s">
        <v>1467</v>
      </c>
      <c r="H788" s="58" t="s">
        <v>1303</v>
      </c>
      <c r="I788" s="58" t="s">
        <v>455</v>
      </c>
      <c r="J788" s="34">
        <v>0</v>
      </c>
      <c r="K788" s="34">
        <v>0</v>
      </c>
      <c r="L788" s="34">
        <v>0</v>
      </c>
      <c r="M788" s="37">
        <v>0</v>
      </c>
      <c r="N788" s="34">
        <v>0</v>
      </c>
      <c r="O788" s="40">
        <v>0</v>
      </c>
    </row>
    <row r="789" spans="1:15">
      <c r="B789" s="55">
        <v>777</v>
      </c>
      <c r="C789" s="58">
        <v>51</v>
      </c>
      <c r="D789" s="58"/>
      <c r="E789" s="58" t="s">
        <v>1298</v>
      </c>
      <c r="F789" s="58" t="s">
        <v>1299</v>
      </c>
      <c r="G789" s="58" t="s">
        <v>1468</v>
      </c>
      <c r="H789" s="58" t="s">
        <v>1390</v>
      </c>
      <c r="I789" s="58" t="s">
        <v>548</v>
      </c>
      <c r="J789" s="34">
        <v>900</v>
      </c>
      <c r="K789" s="34">
        <v>600</v>
      </c>
      <c r="L789" s="34">
        <v>-300</v>
      </c>
      <c r="M789" s="37" t="str">
        <f>28800*$C833</f>
        <v>0</v>
      </c>
      <c r="N789" s="34">
        <v>1800</v>
      </c>
      <c r="O789" s="40" t="str">
        <f>86400*$C833</f>
        <v>0</v>
      </c>
    </row>
    <row r="790" spans="1:15">
      <c r="B790" s="55">
        <v>778</v>
      </c>
      <c r="C790" s="58">
        <v>51</v>
      </c>
      <c r="D790" s="58"/>
      <c r="E790" s="58" t="s">
        <v>1298</v>
      </c>
      <c r="F790" s="58" t="s">
        <v>1299</v>
      </c>
      <c r="G790" s="58" t="s">
        <v>1469</v>
      </c>
      <c r="H790" s="58" t="s">
        <v>1020</v>
      </c>
      <c r="I790" s="58" t="s">
        <v>623</v>
      </c>
      <c r="J790" s="34">
        <v>5000</v>
      </c>
      <c r="K790" s="34">
        <v>3000</v>
      </c>
      <c r="L790" s="34">
        <v>-2000</v>
      </c>
      <c r="M790" s="37" t="str">
        <f>9000*$C833</f>
        <v>0</v>
      </c>
      <c r="N790" s="34">
        <v>10000</v>
      </c>
      <c r="O790" s="40" t="str">
        <f>30000*$C833</f>
        <v>0</v>
      </c>
    </row>
    <row r="791" spans="1:15">
      <c r="B791" s="55">
        <v>779</v>
      </c>
      <c r="C791" s="58">
        <v>51</v>
      </c>
      <c r="D791" s="58"/>
      <c r="E791" s="58" t="s">
        <v>1298</v>
      </c>
      <c r="F791" s="58" t="s">
        <v>1299</v>
      </c>
      <c r="G791" s="58" t="s">
        <v>1470</v>
      </c>
      <c r="H791" s="58" t="s">
        <v>305</v>
      </c>
      <c r="I791" s="58" t="s">
        <v>548</v>
      </c>
      <c r="J791" s="34">
        <v>1500</v>
      </c>
      <c r="K791" s="34">
        <v>1000</v>
      </c>
      <c r="L791" s="34">
        <v>-500</v>
      </c>
      <c r="M791" s="37" t="str">
        <f>11000*$C833</f>
        <v>0</v>
      </c>
      <c r="N791" s="34">
        <v>4000</v>
      </c>
      <c r="O791" s="40" t="str">
        <f>44000*$C833</f>
        <v>0</v>
      </c>
    </row>
    <row r="792" spans="1:15">
      <c r="B792" s="55">
        <v>780</v>
      </c>
      <c r="C792" s="58">
        <v>51</v>
      </c>
      <c r="D792" s="58"/>
      <c r="E792" s="58" t="s">
        <v>1298</v>
      </c>
      <c r="F792" s="58" t="s">
        <v>1299</v>
      </c>
      <c r="G792" s="58" t="s">
        <v>1471</v>
      </c>
      <c r="H792" s="58" t="s">
        <v>1472</v>
      </c>
      <c r="I792" s="58" t="s">
        <v>548</v>
      </c>
      <c r="J792" s="34">
        <v>756</v>
      </c>
      <c r="K792" s="34">
        <v>432</v>
      </c>
      <c r="L792" s="34">
        <v>-324</v>
      </c>
      <c r="M792" s="37" t="str">
        <f>841104*$C833</f>
        <v>0</v>
      </c>
      <c r="N792" s="34">
        <v>756</v>
      </c>
      <c r="O792" s="40" t="str">
        <f>1471932*$C833</f>
        <v>0</v>
      </c>
    </row>
    <row r="793" spans="1:15">
      <c r="B793" s="55">
        <v>781</v>
      </c>
      <c r="C793" s="58">
        <v>51</v>
      </c>
      <c r="D793" s="58"/>
      <c r="E793" s="58" t="s">
        <v>1298</v>
      </c>
      <c r="F793" s="58" t="s">
        <v>1299</v>
      </c>
      <c r="G793" s="58" t="s">
        <v>1473</v>
      </c>
      <c r="H793" s="58" t="s">
        <v>292</v>
      </c>
      <c r="I793" s="58" t="s">
        <v>1337</v>
      </c>
      <c r="J793" s="34">
        <v>0</v>
      </c>
      <c r="K793" s="34">
        <v>0</v>
      </c>
      <c r="L793" s="34">
        <v>0</v>
      </c>
      <c r="M793" s="37">
        <v>0</v>
      </c>
      <c r="N793" s="34">
        <v>140</v>
      </c>
      <c r="O793" s="40" t="str">
        <f>22400*$C833</f>
        <v>0</v>
      </c>
    </row>
    <row r="794" spans="1:15">
      <c r="B794" s="55">
        <v>782</v>
      </c>
      <c r="C794" s="58">
        <v>51</v>
      </c>
      <c r="D794" s="58"/>
      <c r="E794" s="58" t="s">
        <v>1298</v>
      </c>
      <c r="F794" s="58" t="s">
        <v>1299</v>
      </c>
      <c r="G794" s="58" t="s">
        <v>1474</v>
      </c>
      <c r="H794" s="58" t="s">
        <v>1475</v>
      </c>
      <c r="I794" s="58" t="s">
        <v>688</v>
      </c>
      <c r="J794" s="34">
        <v>0</v>
      </c>
      <c r="K794" s="34">
        <v>0</v>
      </c>
      <c r="L794" s="34">
        <v>0</v>
      </c>
      <c r="M794" s="37">
        <v>0</v>
      </c>
      <c r="N794" s="34">
        <v>0</v>
      </c>
      <c r="O794" s="40">
        <v>0</v>
      </c>
    </row>
    <row r="795" spans="1:15">
      <c r="B795" s="55">
        <v>783</v>
      </c>
      <c r="C795" s="58">
        <v>51</v>
      </c>
      <c r="D795" s="58"/>
      <c r="E795" s="58" t="s">
        <v>1298</v>
      </c>
      <c r="F795" s="58" t="s">
        <v>1299</v>
      </c>
      <c r="G795" s="58" t="s">
        <v>1476</v>
      </c>
      <c r="H795" s="58" t="s">
        <v>1477</v>
      </c>
      <c r="I795" s="58" t="s">
        <v>1301</v>
      </c>
      <c r="J795" s="34">
        <v>144</v>
      </c>
      <c r="K795" s="34">
        <v>144</v>
      </c>
      <c r="L795" s="34">
        <v>0</v>
      </c>
      <c r="M795" s="37" t="str">
        <f>312624*$C833</f>
        <v>0</v>
      </c>
      <c r="N795" s="34">
        <v>0</v>
      </c>
      <c r="O795" s="40">
        <v>0</v>
      </c>
    </row>
    <row r="796" spans="1:15">
      <c r="B796" s="55">
        <v>784</v>
      </c>
      <c r="C796" s="58">
        <v>51</v>
      </c>
      <c r="D796" s="58"/>
      <c r="E796" s="58" t="s">
        <v>1298</v>
      </c>
      <c r="F796" s="58" t="s">
        <v>1299</v>
      </c>
      <c r="G796" s="58" t="s">
        <v>1478</v>
      </c>
      <c r="H796" s="58" t="s">
        <v>1479</v>
      </c>
      <c r="I796" s="58" t="s">
        <v>548</v>
      </c>
      <c r="J796" s="34">
        <v>6000</v>
      </c>
      <c r="K796" s="34">
        <v>6000</v>
      </c>
      <c r="L796" s="34">
        <v>0</v>
      </c>
      <c r="M796" s="37" t="str">
        <f>30000*$C833</f>
        <v>0</v>
      </c>
      <c r="N796" s="34">
        <v>5000</v>
      </c>
      <c r="O796" s="40" t="str">
        <f>25000*$C833</f>
        <v>0</v>
      </c>
    </row>
    <row r="797" spans="1:15">
      <c r="B797" s="55">
        <v>785</v>
      </c>
      <c r="C797" s="58">
        <v>51</v>
      </c>
      <c r="D797" s="58"/>
      <c r="E797" s="58" t="s">
        <v>1298</v>
      </c>
      <c r="F797" s="58" t="s">
        <v>1299</v>
      </c>
      <c r="G797" s="58" t="s">
        <v>1480</v>
      </c>
      <c r="H797" s="58" t="s">
        <v>1481</v>
      </c>
      <c r="I797" s="58" t="s">
        <v>623</v>
      </c>
      <c r="J797" s="34">
        <v>150</v>
      </c>
      <c r="K797" s="34">
        <v>150</v>
      </c>
      <c r="L797" s="34">
        <v>0</v>
      </c>
      <c r="M797" s="37" t="str">
        <f>39900*$C833</f>
        <v>0</v>
      </c>
      <c r="N797" s="34">
        <v>150</v>
      </c>
      <c r="O797" s="40" t="str">
        <f>39900*$C833</f>
        <v>0</v>
      </c>
    </row>
    <row r="798" spans="1:15">
      <c r="B798" s="55">
        <v>786</v>
      </c>
      <c r="C798" s="58">
        <v>51</v>
      </c>
      <c r="D798" s="58"/>
      <c r="E798" s="58" t="s">
        <v>1298</v>
      </c>
      <c r="F798" s="58" t="s">
        <v>1299</v>
      </c>
      <c r="G798" s="58" t="s">
        <v>1482</v>
      </c>
      <c r="H798" s="58" t="s">
        <v>1435</v>
      </c>
      <c r="I798" s="58" t="s">
        <v>623</v>
      </c>
      <c r="J798" s="34">
        <v>1500</v>
      </c>
      <c r="K798" s="34">
        <v>500</v>
      </c>
      <c r="L798" s="34">
        <v>-1000</v>
      </c>
      <c r="M798" s="37" t="str">
        <f>23000*$C833</f>
        <v>0</v>
      </c>
      <c r="N798" s="34">
        <v>2500</v>
      </c>
      <c r="O798" s="40" t="str">
        <f>115000*$C833</f>
        <v>0</v>
      </c>
    </row>
    <row r="799" spans="1:15">
      <c r="B799" s="55">
        <v>787</v>
      </c>
      <c r="C799" s="58">
        <v>51</v>
      </c>
      <c r="D799" s="58"/>
      <c r="E799" s="58" t="s">
        <v>1298</v>
      </c>
      <c r="F799" s="58" t="s">
        <v>1299</v>
      </c>
      <c r="G799" s="58" t="s">
        <v>1483</v>
      </c>
      <c r="H799" s="58" t="s">
        <v>1481</v>
      </c>
      <c r="I799" s="58" t="s">
        <v>623</v>
      </c>
      <c r="J799" s="34">
        <v>5000</v>
      </c>
      <c r="K799" s="34">
        <v>2500</v>
      </c>
      <c r="L799" s="34">
        <v>-2500</v>
      </c>
      <c r="M799" s="37" t="str">
        <f>282500*$C833</f>
        <v>0</v>
      </c>
      <c r="N799" s="34">
        <v>7500</v>
      </c>
      <c r="O799" s="40" t="str">
        <f>847500*$C833</f>
        <v>0</v>
      </c>
    </row>
    <row r="800" spans="1:15">
      <c r="B800" s="55">
        <v>788</v>
      </c>
      <c r="C800" s="58">
        <v>51</v>
      </c>
      <c r="D800" s="58"/>
      <c r="E800" s="58" t="s">
        <v>1298</v>
      </c>
      <c r="F800" s="58" t="s">
        <v>1299</v>
      </c>
      <c r="G800" s="58" t="s">
        <v>1484</v>
      </c>
      <c r="H800" s="58" t="s">
        <v>782</v>
      </c>
      <c r="I800" s="58" t="s">
        <v>1301</v>
      </c>
      <c r="J800" s="34">
        <v>864</v>
      </c>
      <c r="K800" s="34">
        <v>576</v>
      </c>
      <c r="L800" s="34">
        <v>-288</v>
      </c>
      <c r="M800" s="37" t="str">
        <f>150912*$C833</f>
        <v>0</v>
      </c>
      <c r="N800" s="34">
        <v>1008</v>
      </c>
      <c r="O800" s="40" t="str">
        <f>264096*$C833</f>
        <v>0</v>
      </c>
    </row>
    <row r="801" spans="1:15">
      <c r="B801" s="55">
        <v>789</v>
      </c>
      <c r="C801" s="58">
        <v>51</v>
      </c>
      <c r="D801" s="58"/>
      <c r="E801" s="58" t="s">
        <v>1298</v>
      </c>
      <c r="F801" s="58" t="s">
        <v>1299</v>
      </c>
      <c r="G801" s="58" t="s">
        <v>1485</v>
      </c>
      <c r="H801" s="58" t="s">
        <v>1390</v>
      </c>
      <c r="I801" s="58" t="s">
        <v>455</v>
      </c>
      <c r="J801" s="34">
        <v>0</v>
      </c>
      <c r="K801" s="34">
        <v>0</v>
      </c>
      <c r="L801" s="34">
        <v>0</v>
      </c>
      <c r="M801" s="37">
        <v>0</v>
      </c>
      <c r="N801" s="34">
        <v>1500</v>
      </c>
      <c r="O801" s="40" t="str">
        <f>55500*$C833</f>
        <v>0</v>
      </c>
    </row>
    <row r="802" spans="1:15">
      <c r="B802" s="55">
        <v>790</v>
      </c>
      <c r="C802" s="58">
        <v>51</v>
      </c>
      <c r="D802" s="58"/>
      <c r="E802" s="58" t="s">
        <v>1298</v>
      </c>
      <c r="F802" s="58" t="s">
        <v>1299</v>
      </c>
      <c r="G802" s="58" t="s">
        <v>1486</v>
      </c>
      <c r="H802" s="58" t="s">
        <v>292</v>
      </c>
      <c r="I802" s="58" t="s">
        <v>1337</v>
      </c>
      <c r="J802" s="34">
        <v>0</v>
      </c>
      <c r="K802" s="34">
        <v>0</v>
      </c>
      <c r="L802" s="34">
        <v>0</v>
      </c>
      <c r="M802" s="37">
        <v>0</v>
      </c>
      <c r="N802" s="34">
        <v>200</v>
      </c>
      <c r="O802" s="40" t="str">
        <f>11400*$C833</f>
        <v>0</v>
      </c>
    </row>
    <row r="803" spans="1:15">
      <c r="B803" s="55">
        <v>791</v>
      </c>
      <c r="C803" s="58">
        <v>51</v>
      </c>
      <c r="D803" s="58"/>
      <c r="E803" s="58" t="s">
        <v>1298</v>
      </c>
      <c r="F803" s="58" t="s">
        <v>1299</v>
      </c>
      <c r="G803" s="58" t="s">
        <v>1487</v>
      </c>
      <c r="H803" s="58" t="s">
        <v>826</v>
      </c>
      <c r="I803" s="58" t="s">
        <v>1488</v>
      </c>
      <c r="J803" s="34">
        <v>0</v>
      </c>
      <c r="K803" s="34">
        <v>0</v>
      </c>
      <c r="L803" s="34">
        <v>0</v>
      </c>
      <c r="M803" s="37">
        <v>0</v>
      </c>
      <c r="N803" s="34">
        <v>0</v>
      </c>
      <c r="O803" s="40">
        <v>0</v>
      </c>
    </row>
    <row r="804" spans="1:15">
      <c r="B804" s="55">
        <v>792</v>
      </c>
      <c r="C804" s="58">
        <v>51</v>
      </c>
      <c r="D804" s="58"/>
      <c r="E804" s="58" t="s">
        <v>1298</v>
      </c>
      <c r="F804" s="58" t="s">
        <v>1299</v>
      </c>
      <c r="G804" s="58" t="s">
        <v>1489</v>
      </c>
      <c r="H804" s="58" t="s">
        <v>1386</v>
      </c>
      <c r="I804" s="58" t="s">
        <v>548</v>
      </c>
      <c r="J804" s="34">
        <v>0</v>
      </c>
      <c r="K804" s="34">
        <v>0</v>
      </c>
      <c r="L804" s="34">
        <v>0</v>
      </c>
      <c r="M804" s="37">
        <v>0</v>
      </c>
      <c r="N804" s="34">
        <v>0</v>
      </c>
      <c r="O804" s="40">
        <v>0</v>
      </c>
    </row>
    <row r="805" spans="1:15">
      <c r="B805" s="55">
        <v>793</v>
      </c>
      <c r="C805" s="58">
        <v>51</v>
      </c>
      <c r="D805" s="58"/>
      <c r="E805" s="58" t="s">
        <v>1298</v>
      </c>
      <c r="F805" s="58" t="s">
        <v>1299</v>
      </c>
      <c r="G805" s="58" t="s">
        <v>1490</v>
      </c>
      <c r="H805" s="58" t="s">
        <v>1491</v>
      </c>
      <c r="I805" s="58" t="s">
        <v>548</v>
      </c>
      <c r="J805" s="34">
        <v>1320</v>
      </c>
      <c r="K805" s="34">
        <v>924</v>
      </c>
      <c r="L805" s="34">
        <v>-396</v>
      </c>
      <c r="M805" s="37" t="str">
        <f>2362668*$C833</f>
        <v>0</v>
      </c>
      <c r="N805" s="34">
        <v>990</v>
      </c>
      <c r="O805" s="40" t="str">
        <f>2531430*$C833</f>
        <v>0</v>
      </c>
    </row>
    <row r="806" spans="1:15">
      <c r="B806" s="55">
        <v>794</v>
      </c>
      <c r="C806" s="58">
        <v>51</v>
      </c>
      <c r="D806" s="58"/>
      <c r="E806" s="58" t="s">
        <v>1298</v>
      </c>
      <c r="F806" s="58" t="s">
        <v>1299</v>
      </c>
      <c r="G806" s="58" t="s">
        <v>1492</v>
      </c>
      <c r="H806" s="58" t="s">
        <v>1390</v>
      </c>
      <c r="I806" s="58" t="s">
        <v>623</v>
      </c>
      <c r="J806" s="34">
        <v>500</v>
      </c>
      <c r="K806" s="34">
        <v>750</v>
      </c>
      <c r="L806" s="34">
        <v>250</v>
      </c>
      <c r="M806" s="37" t="str">
        <f>38250*$C833</f>
        <v>0</v>
      </c>
      <c r="N806" s="34">
        <v>500</v>
      </c>
      <c r="O806" s="40" t="str">
        <f>25500*$C833</f>
        <v>0</v>
      </c>
    </row>
    <row r="807" spans="1:15">
      <c r="B807" s="55">
        <v>795</v>
      </c>
      <c r="C807" s="58">
        <v>51</v>
      </c>
      <c r="D807" s="58"/>
      <c r="E807" s="58" t="s">
        <v>1298</v>
      </c>
      <c r="F807" s="58" t="s">
        <v>1299</v>
      </c>
      <c r="G807" s="58" t="s">
        <v>1493</v>
      </c>
      <c r="H807" s="58" t="s">
        <v>1494</v>
      </c>
      <c r="I807" s="58" t="s">
        <v>623</v>
      </c>
      <c r="J807" s="34">
        <v>100</v>
      </c>
      <c r="K807" s="34">
        <v>0</v>
      </c>
      <c r="L807" s="34">
        <v>-100</v>
      </c>
      <c r="M807" s="37">
        <v>0</v>
      </c>
      <c r="N807" s="34">
        <v>900</v>
      </c>
      <c r="O807" s="40" t="str">
        <f>580500*$C833</f>
        <v>0</v>
      </c>
    </row>
    <row r="808" spans="1:15">
      <c r="B808" s="55">
        <v>796</v>
      </c>
      <c r="C808" s="58">
        <v>51</v>
      </c>
      <c r="D808" s="58"/>
      <c r="E808" s="58" t="s">
        <v>1495</v>
      </c>
      <c r="F808" s="58" t="s">
        <v>1496</v>
      </c>
      <c r="G808" s="58" t="s">
        <v>1497</v>
      </c>
      <c r="H808" s="58" t="s">
        <v>198</v>
      </c>
      <c r="I808" s="58" t="s">
        <v>623</v>
      </c>
      <c r="J808" s="34">
        <v>2304</v>
      </c>
      <c r="K808" s="34">
        <v>384</v>
      </c>
      <c r="L808" s="34">
        <v>-1920</v>
      </c>
      <c r="M808" s="37" t="str">
        <f>379776*$C833</f>
        <v>0</v>
      </c>
      <c r="N808" s="34">
        <v>1440</v>
      </c>
      <c r="O808" s="40" t="str">
        <f>1424160*$C833</f>
        <v>0</v>
      </c>
    </row>
    <row r="809" spans="1:15">
      <c r="B809" s="55">
        <v>797</v>
      </c>
      <c r="C809" s="58">
        <v>51</v>
      </c>
      <c r="D809" s="58"/>
      <c r="E809" s="58" t="s">
        <v>1495</v>
      </c>
      <c r="F809" s="58" t="s">
        <v>1496</v>
      </c>
      <c r="G809" s="58" t="s">
        <v>1498</v>
      </c>
      <c r="H809" s="58" t="s">
        <v>198</v>
      </c>
      <c r="I809" s="58" t="s">
        <v>455</v>
      </c>
      <c r="J809" s="34">
        <v>3360</v>
      </c>
      <c r="K809" s="34">
        <v>960</v>
      </c>
      <c r="L809" s="34">
        <v>-2400</v>
      </c>
      <c r="M809" s="37" t="str">
        <f>1222080*$C833</f>
        <v>0</v>
      </c>
      <c r="N809" s="34">
        <v>2400</v>
      </c>
      <c r="O809" s="40" t="str">
        <f>3055200*$C833</f>
        <v>0</v>
      </c>
    </row>
    <row r="810" spans="1:15">
      <c r="B810" s="55">
        <v>798</v>
      </c>
      <c r="C810" s="58">
        <v>51</v>
      </c>
      <c r="D810" s="58"/>
      <c r="E810" s="58" t="s">
        <v>1495</v>
      </c>
      <c r="F810" s="58" t="s">
        <v>1496</v>
      </c>
      <c r="G810" s="58" t="s">
        <v>1499</v>
      </c>
      <c r="H810" s="58" t="s">
        <v>198</v>
      </c>
      <c r="I810" s="58" t="s">
        <v>455</v>
      </c>
      <c r="J810" s="34">
        <v>0</v>
      </c>
      <c r="K810" s="34">
        <v>0</v>
      </c>
      <c r="L810" s="34">
        <v>0</v>
      </c>
      <c r="M810" s="37">
        <v>0</v>
      </c>
      <c r="N810" s="34">
        <v>0</v>
      </c>
      <c r="O810" s="40">
        <v>0</v>
      </c>
    </row>
    <row r="811" spans="1:15">
      <c r="B811" s="55">
        <v>799</v>
      </c>
      <c r="C811" s="58">
        <v>51</v>
      </c>
      <c r="D811" s="58"/>
      <c r="E811" s="58" t="s">
        <v>1495</v>
      </c>
      <c r="F811" s="58" t="s">
        <v>1496</v>
      </c>
      <c r="G811" s="58" t="s">
        <v>1500</v>
      </c>
      <c r="H811" s="58" t="s">
        <v>198</v>
      </c>
      <c r="I811" s="58" t="s">
        <v>455</v>
      </c>
      <c r="J811" s="34">
        <v>1440</v>
      </c>
      <c r="K811" s="34">
        <v>960</v>
      </c>
      <c r="L811" s="34">
        <v>-480</v>
      </c>
      <c r="M811" s="37" t="str">
        <f>779520*$C833</f>
        <v>0</v>
      </c>
      <c r="N811" s="34">
        <v>1920</v>
      </c>
      <c r="O811" s="40" t="str">
        <f>1559040*$C833</f>
        <v>0</v>
      </c>
    </row>
    <row r="812" spans="1:15">
      <c r="B812" s="55">
        <v>800</v>
      </c>
      <c r="C812" s="58">
        <v>51</v>
      </c>
      <c r="D812" s="58"/>
      <c r="E812" s="58" t="s">
        <v>1495</v>
      </c>
      <c r="F812" s="58" t="s">
        <v>1496</v>
      </c>
      <c r="G812" s="58" t="s">
        <v>1501</v>
      </c>
      <c r="H812" s="58" t="s">
        <v>198</v>
      </c>
      <c r="I812" s="58" t="s">
        <v>623</v>
      </c>
      <c r="J812" s="34">
        <v>1312</v>
      </c>
      <c r="K812" s="34">
        <v>352</v>
      </c>
      <c r="L812" s="34">
        <v>-960</v>
      </c>
      <c r="M812" s="37" t="str">
        <f>425568*$C833</f>
        <v>0</v>
      </c>
      <c r="N812" s="34">
        <v>960</v>
      </c>
      <c r="O812" s="40" t="str">
        <f>1160640*$C833</f>
        <v>0</v>
      </c>
    </row>
    <row r="813" spans="1:15">
      <c r="B813" s="55">
        <v>801</v>
      </c>
      <c r="C813" s="58">
        <v>51</v>
      </c>
      <c r="D813" s="58"/>
      <c r="E813" s="58" t="s">
        <v>1495</v>
      </c>
      <c r="F813" s="58" t="s">
        <v>1496</v>
      </c>
      <c r="G813" s="58" t="s">
        <v>1502</v>
      </c>
      <c r="H813" s="58" t="s">
        <v>198</v>
      </c>
      <c r="I813" s="58" t="s">
        <v>1400</v>
      </c>
      <c r="J813" s="34">
        <v>400</v>
      </c>
      <c r="K813" s="34">
        <v>400</v>
      </c>
      <c r="L813" s="34">
        <v>0</v>
      </c>
      <c r="M813" s="37" t="str">
        <f>311600*$C833</f>
        <v>0</v>
      </c>
      <c r="N813" s="34">
        <v>0</v>
      </c>
      <c r="O813" s="40">
        <v>0</v>
      </c>
    </row>
    <row r="814" spans="1:15">
      <c r="B814" s="55">
        <v>802</v>
      </c>
      <c r="C814" s="58">
        <v>51</v>
      </c>
      <c r="D814" s="58"/>
      <c r="E814" s="58" t="s">
        <v>1495</v>
      </c>
      <c r="F814" s="58" t="s">
        <v>1496</v>
      </c>
      <c r="G814" s="58" t="s">
        <v>1503</v>
      </c>
      <c r="H814" s="58" t="s">
        <v>198</v>
      </c>
      <c r="I814" s="58" t="s">
        <v>623</v>
      </c>
      <c r="J814" s="34">
        <v>2560</v>
      </c>
      <c r="K814" s="34">
        <v>640</v>
      </c>
      <c r="L814" s="34">
        <v>-1920</v>
      </c>
      <c r="M814" s="37" t="str">
        <f>549760*$C833</f>
        <v>0</v>
      </c>
      <c r="N814" s="34">
        <v>3840</v>
      </c>
      <c r="O814" s="40" t="str">
        <f>3298560*$C833</f>
        <v>0</v>
      </c>
    </row>
    <row r="815" spans="1:15">
      <c r="B815" s="55">
        <v>803</v>
      </c>
      <c r="C815" s="58">
        <v>51</v>
      </c>
      <c r="D815" s="58"/>
      <c r="E815" s="58" t="s">
        <v>1495</v>
      </c>
      <c r="F815" s="58" t="s">
        <v>1496</v>
      </c>
      <c r="G815" s="58" t="s">
        <v>1504</v>
      </c>
      <c r="H815" s="58" t="s">
        <v>198</v>
      </c>
      <c r="I815" s="58" t="s">
        <v>1400</v>
      </c>
      <c r="J815" s="34">
        <v>384</v>
      </c>
      <c r="K815" s="34">
        <v>384</v>
      </c>
      <c r="L815" s="34">
        <v>0</v>
      </c>
      <c r="M815" s="37" t="str">
        <f>408576*$C833</f>
        <v>0</v>
      </c>
      <c r="N815" s="34">
        <v>0</v>
      </c>
      <c r="O815" s="40">
        <v>0</v>
      </c>
    </row>
    <row r="816" spans="1:15">
      <c r="B816" s="55">
        <v>804</v>
      </c>
      <c r="C816" s="58">
        <v>51</v>
      </c>
      <c r="D816" s="58"/>
      <c r="E816" s="58" t="s">
        <v>1495</v>
      </c>
      <c r="F816" s="58" t="s">
        <v>1496</v>
      </c>
      <c r="G816" s="58" t="s">
        <v>1505</v>
      </c>
      <c r="H816" s="58" t="s">
        <v>198</v>
      </c>
      <c r="I816" s="58" t="s">
        <v>623</v>
      </c>
      <c r="J816" s="34">
        <v>960</v>
      </c>
      <c r="K816" s="34">
        <v>0</v>
      </c>
      <c r="L816" s="34">
        <v>-960</v>
      </c>
      <c r="M816" s="37">
        <v>0</v>
      </c>
      <c r="N816" s="34">
        <v>960</v>
      </c>
      <c r="O816" s="40" t="str">
        <f>944640*$C833</f>
        <v>0</v>
      </c>
    </row>
    <row r="817" spans="1:15">
      <c r="B817" s="55">
        <v>805</v>
      </c>
      <c r="C817" s="58">
        <v>51</v>
      </c>
      <c r="D817" s="58"/>
      <c r="E817" s="58" t="s">
        <v>1495</v>
      </c>
      <c r="F817" s="58" t="s">
        <v>1496</v>
      </c>
      <c r="G817" s="58" t="s">
        <v>1506</v>
      </c>
      <c r="H817" s="58" t="s">
        <v>198</v>
      </c>
      <c r="I817" s="58" t="s">
        <v>623</v>
      </c>
      <c r="J817" s="34">
        <v>2880</v>
      </c>
      <c r="K817" s="34">
        <v>960</v>
      </c>
      <c r="L817" s="34">
        <v>-1920</v>
      </c>
      <c r="M817" s="37" t="str">
        <f>1373760*$C833</f>
        <v>0</v>
      </c>
      <c r="N817" s="34">
        <v>1760</v>
      </c>
      <c r="O817" s="40" t="str">
        <f>2518560*$C833</f>
        <v>0</v>
      </c>
    </row>
    <row r="818" spans="1:15">
      <c r="B818" s="55">
        <v>806</v>
      </c>
      <c r="C818" s="58">
        <v>51</v>
      </c>
      <c r="D818" s="58"/>
      <c r="E818" s="58" t="s">
        <v>1495</v>
      </c>
      <c r="F818" s="58" t="s">
        <v>1496</v>
      </c>
      <c r="G818" s="58" t="s">
        <v>1507</v>
      </c>
      <c r="H818" s="58" t="s">
        <v>198</v>
      </c>
      <c r="I818" s="58" t="s">
        <v>623</v>
      </c>
      <c r="J818" s="34">
        <v>2880</v>
      </c>
      <c r="K818" s="34">
        <v>960</v>
      </c>
      <c r="L818" s="34">
        <v>-1920</v>
      </c>
      <c r="M818" s="37" t="str">
        <f>1109760*$C833</f>
        <v>0</v>
      </c>
      <c r="N818" s="34">
        <v>2400</v>
      </c>
      <c r="O818" s="40" t="str">
        <f>2774400*$C833</f>
        <v>0</v>
      </c>
    </row>
    <row r="819" spans="1:15">
      <c r="B819" s="55">
        <v>807</v>
      </c>
      <c r="C819" s="58">
        <v>51</v>
      </c>
      <c r="D819" s="58"/>
      <c r="E819" s="58" t="s">
        <v>1495</v>
      </c>
      <c r="F819" s="58" t="s">
        <v>1496</v>
      </c>
      <c r="G819" s="58" t="s">
        <v>1508</v>
      </c>
      <c r="H819" s="58" t="s">
        <v>198</v>
      </c>
      <c r="I819" s="58" t="s">
        <v>548</v>
      </c>
      <c r="J819" s="34">
        <v>3760</v>
      </c>
      <c r="K819" s="34">
        <v>3760</v>
      </c>
      <c r="L819" s="34">
        <v>0</v>
      </c>
      <c r="M819" s="37" t="str">
        <f>4042000*$C833</f>
        <v>0</v>
      </c>
      <c r="N819" s="34">
        <v>6720</v>
      </c>
      <c r="O819" s="40" t="str">
        <f>7224000*$C833</f>
        <v>0</v>
      </c>
    </row>
    <row r="820" spans="1:15">
      <c r="B820" s="55">
        <v>808</v>
      </c>
      <c r="C820" s="58">
        <v>51</v>
      </c>
      <c r="D820" s="58"/>
      <c r="E820" s="58" t="s">
        <v>1495</v>
      </c>
      <c r="F820" s="58" t="s">
        <v>1496</v>
      </c>
      <c r="G820" s="58" t="s">
        <v>1509</v>
      </c>
      <c r="H820" s="58" t="s">
        <v>198</v>
      </c>
      <c r="I820" s="58" t="s">
        <v>455</v>
      </c>
      <c r="J820" s="34">
        <v>1440</v>
      </c>
      <c r="K820" s="34">
        <v>960</v>
      </c>
      <c r="L820" s="34">
        <v>-480</v>
      </c>
      <c r="M820" s="37" t="str">
        <f>930240*$C833</f>
        <v>0</v>
      </c>
      <c r="N820" s="34">
        <v>1920</v>
      </c>
      <c r="O820" s="40" t="str">
        <f>1860480*$C833</f>
        <v>0</v>
      </c>
    </row>
    <row r="821" spans="1:15">
      <c r="B821" s="55">
        <v>809</v>
      </c>
      <c r="C821" s="58">
        <v>51</v>
      </c>
      <c r="D821" s="58"/>
      <c r="E821" s="58" t="s">
        <v>1495</v>
      </c>
      <c r="F821" s="58" t="s">
        <v>1496</v>
      </c>
      <c r="G821" s="58" t="s">
        <v>1510</v>
      </c>
      <c r="H821" s="58" t="s">
        <v>198</v>
      </c>
      <c r="I821" s="58" t="s">
        <v>455</v>
      </c>
      <c r="J821" s="34">
        <v>0</v>
      </c>
      <c r="K821" s="34">
        <v>0</v>
      </c>
      <c r="L821" s="34">
        <v>0</v>
      </c>
      <c r="M821" s="37">
        <v>0</v>
      </c>
      <c r="N821" s="34">
        <v>0</v>
      </c>
      <c r="O821" s="40">
        <v>0</v>
      </c>
    </row>
    <row r="822" spans="1:15">
      <c r="B822" s="55">
        <v>810</v>
      </c>
      <c r="C822" s="58">
        <v>51</v>
      </c>
      <c r="D822" s="58"/>
      <c r="E822" s="58" t="s">
        <v>1495</v>
      </c>
      <c r="F822" s="58" t="s">
        <v>1496</v>
      </c>
      <c r="G822" s="58" t="s">
        <v>1511</v>
      </c>
      <c r="H822" s="58" t="s">
        <v>198</v>
      </c>
      <c r="I822" s="58" t="s">
        <v>455</v>
      </c>
      <c r="J822" s="34">
        <v>2400</v>
      </c>
      <c r="K822" s="34">
        <v>0</v>
      </c>
      <c r="L822" s="34">
        <v>-2400</v>
      </c>
      <c r="M822" s="37">
        <v>0</v>
      </c>
      <c r="N822" s="34">
        <v>2400</v>
      </c>
      <c r="O822" s="40" t="str">
        <f>2613600*$C833</f>
        <v>0</v>
      </c>
    </row>
    <row r="823" spans="1:15">
      <c r="B823" s="55">
        <v>811</v>
      </c>
      <c r="C823" s="58">
        <v>51</v>
      </c>
      <c r="D823" s="58"/>
      <c r="E823" s="58" t="s">
        <v>1495</v>
      </c>
      <c r="F823" s="58" t="s">
        <v>1496</v>
      </c>
      <c r="G823" s="58" t="s">
        <v>1512</v>
      </c>
      <c r="H823" s="58" t="s">
        <v>198</v>
      </c>
      <c r="I823" s="58" t="s">
        <v>548</v>
      </c>
      <c r="J823" s="34">
        <v>1920</v>
      </c>
      <c r="K823" s="34">
        <v>1920</v>
      </c>
      <c r="L823" s="34">
        <v>0</v>
      </c>
      <c r="M823" s="37" t="str">
        <f>1595520*$C833</f>
        <v>0</v>
      </c>
      <c r="N823" s="34">
        <v>2880</v>
      </c>
      <c r="O823" s="40" t="str">
        <f>2393280*$C833</f>
        <v>0</v>
      </c>
    </row>
    <row r="824" spans="1:15">
      <c r="B824" s="55">
        <v>812</v>
      </c>
      <c r="C824" s="58">
        <v>51</v>
      </c>
      <c r="D824" s="58"/>
      <c r="E824" s="58" t="s">
        <v>1513</v>
      </c>
      <c r="F824" s="58" t="s">
        <v>1514</v>
      </c>
      <c r="G824" s="58" t="s">
        <v>1508</v>
      </c>
      <c r="H824" s="58" t="s">
        <v>198</v>
      </c>
      <c r="I824" s="58" t="s">
        <v>548</v>
      </c>
      <c r="J824" s="34">
        <v>816</v>
      </c>
      <c r="K824" s="34">
        <v>816</v>
      </c>
      <c r="L824" s="34">
        <v>0</v>
      </c>
      <c r="M824" s="37">
        <v>373728</v>
      </c>
      <c r="N824" s="34">
        <v>0</v>
      </c>
      <c r="O824" s="40">
        <v>0</v>
      </c>
    </row>
    <row r="825" spans="1:15">
      <c r="B825" s="55">
        <v>813</v>
      </c>
      <c r="C825" s="58">
        <v>51</v>
      </c>
      <c r="D825" s="58"/>
      <c r="E825" s="58" t="s">
        <v>1513</v>
      </c>
      <c r="F825" s="58" t="s">
        <v>1514</v>
      </c>
      <c r="G825" s="58" t="s">
        <v>1512</v>
      </c>
      <c r="H825" s="58" t="s">
        <v>198</v>
      </c>
      <c r="I825" s="58" t="s">
        <v>548</v>
      </c>
      <c r="J825" s="34">
        <v>2128</v>
      </c>
      <c r="K825" s="34">
        <v>2128</v>
      </c>
      <c r="L825" s="34">
        <v>0</v>
      </c>
      <c r="M825" s="37">
        <v>749056</v>
      </c>
      <c r="N825" s="34">
        <v>0</v>
      </c>
      <c r="O825" s="40">
        <v>0</v>
      </c>
    </row>
    <row r="826" spans="1:15">
      <c r="B826" s="55">
        <v>814</v>
      </c>
      <c r="C826" s="58">
        <v>51</v>
      </c>
      <c r="D826" s="58"/>
      <c r="E826" s="58" t="s">
        <v>1513</v>
      </c>
      <c r="F826" s="58" t="s">
        <v>1514</v>
      </c>
      <c r="G826" s="58" t="s">
        <v>1515</v>
      </c>
      <c r="H826" s="58" t="s">
        <v>198</v>
      </c>
      <c r="I826" s="58" t="s">
        <v>548</v>
      </c>
      <c r="J826" s="34">
        <v>384</v>
      </c>
      <c r="K826" s="34">
        <v>384</v>
      </c>
      <c r="L826" s="34">
        <v>0</v>
      </c>
      <c r="M826" s="37">
        <v>187392</v>
      </c>
      <c r="N826" s="34">
        <v>0</v>
      </c>
      <c r="O826" s="40">
        <v>0</v>
      </c>
    </row>
    <row r="827" spans="1:15">
      <c r="B827" s="55">
        <v>815</v>
      </c>
      <c r="C827" s="58">
        <v>51</v>
      </c>
      <c r="D827" s="58"/>
      <c r="E827" s="58" t="s">
        <v>1513</v>
      </c>
      <c r="F827" s="58" t="s">
        <v>1514</v>
      </c>
      <c r="G827" s="58" t="s">
        <v>1516</v>
      </c>
      <c r="H827" s="58" t="s">
        <v>198</v>
      </c>
      <c r="I827" s="58" t="s">
        <v>548</v>
      </c>
      <c r="J827" s="34">
        <v>0</v>
      </c>
      <c r="K827" s="34">
        <v>0</v>
      </c>
      <c r="L827" s="34">
        <v>0</v>
      </c>
      <c r="M827" s="37">
        <v>0</v>
      </c>
      <c r="N827" s="34">
        <v>0</v>
      </c>
      <c r="O827" s="40">
        <v>0</v>
      </c>
    </row>
    <row r="828" spans="1:15">
      <c r="B828" s="3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8"/>
    </row>
    <row r="830" spans="1:15">
      <c r="B830" s="31" t="s">
        <v>1517</v>
      </c>
      <c r="C830" s="32"/>
      <c r="D830" s="32"/>
    </row>
    <row r="831" spans="1:15" hidden="true" collapsed="true" outlineLevel="1">
      <c r="B831" s="10" t="s">
        <v>1518</v>
      </c>
      <c r="C831" s="10">
        <v>32.9601</v>
      </c>
      <c r="D831" s="10"/>
    </row>
    <row r="832" spans="1:15" hidden="true" collapsed="true" outlineLevel="1">
      <c r="B832" s="10" t="s">
        <v>1519</v>
      </c>
      <c r="C832" s="10">
        <v>37.5662</v>
      </c>
      <c r="D832" s="10"/>
    </row>
    <row r="833" spans="1:15" hidden="true" collapsed="true" outlineLevel="1">
      <c r="B833" s="10" t="s">
        <v>1520</v>
      </c>
      <c r="C833" s="10">
        <v>0.29</v>
      </c>
      <c r="D833" s="1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2:O12"/>
  <mergeCells>
    <mergeCell ref="C3:H4"/>
    <mergeCell ref="C5:H6"/>
    <mergeCell ref="J3:N3"/>
    <mergeCell ref="L4:N4"/>
    <mergeCell ref="J4:K4"/>
    <mergeCell ref="L5:N5"/>
    <mergeCell ref="J5:K5"/>
    <mergeCell ref="L6:N6"/>
    <mergeCell ref="J6:K6"/>
    <mergeCell ref="L7:N7"/>
    <mergeCell ref="J7:K7"/>
    <mergeCell ref="L8:N8"/>
    <mergeCell ref="J8:K8"/>
    <mergeCell ref="L9:N9"/>
    <mergeCell ref="J9:K9"/>
    <mergeCell ref="B830:D830"/>
    <mergeCell ref="C831:D831"/>
    <mergeCell ref="C832:D832"/>
    <mergeCell ref="C833:D83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AH819"/>
  <sheetViews>
    <sheetView tabSelected="0" workbookViewId="0" zoomScale="80" showGridLines="false" showRowColHeaders="1">
      <pane ySplit="19" topLeftCell="A20" activePane="bottomLeft" state="frozen"/>
      <selection pane="bottomLeft" activeCell="A20" sqref="A20"/>
    </sheetView>
  </sheetViews>
  <sheetFormatPr defaultRowHeight="14.4" outlineLevelRow="1" outlineLevelCol="1"/>
  <cols>
    <col min="10" max="10" width="14.71" hidden="true" customWidth="true" collapsed="true" outlineLevel="1" style="0"/>
    <col min="11" max="11" width="14.71" hidden="true" customWidth="true" collapsed="true" outlineLevel="1" style="0"/>
    <col min="12" max="12" width="14.71" hidden="true" customWidth="true" collapsed="true" outlineLevel="1" style="0"/>
    <col min="13" max="13" width="14.71" hidden="true" customWidth="true" collapsed="true" outlineLevel="1" style="0"/>
    <col min="14" max="14" width="14.71" hidden="true" customWidth="true" collapsed="true" outlineLevel="1" style="0"/>
    <col min="15" max="15" width="14.71" hidden="true" customWidth="true" collapsed="true" outlineLevel="1" style="0"/>
    <col min="16" max="16" width="14.71" hidden="true" customWidth="true" collapsed="true" outlineLevel="1" style="0"/>
    <col min="17" max="17" width="14.71" hidden="true" customWidth="true" collapsed="true" outlineLevel="1" style="0"/>
    <col min="18" max="18" width="14.71" hidden="true" customWidth="true" collapsed="true" outlineLevel="1" style="0"/>
    <col min="19" max="19" width="14.71" hidden="true" customWidth="true" collapsed="true" outlineLevel="1" style="0"/>
    <col min="20" max="20" width="14.71" hidden="true" customWidth="true" collapsed="true" outlineLevel="1" style="0"/>
    <col min="21" max="21" width="14.71" hidden="true" customWidth="true" collapsed="true" outlineLevel="1" style="0"/>
    <col min="22" max="22" width="14.71" hidden="true" customWidth="true" collapsed="true" outlineLevel="1" style="0"/>
    <col min="23" max="23" width="14.71" hidden="true" customWidth="true" collapsed="true" outlineLevel="1" style="0"/>
    <col min="24" max="24" width="14.71" hidden="true" customWidth="true" collapsed="true" outlineLevel="1" style="0"/>
    <col min="25" max="25" width="14.71" hidden="true" customWidth="true" collapsed="true" outlineLevel="1" style="0"/>
    <col min="26" max="26" width="14.71" hidden="true" customWidth="true" collapsed="true" outlineLevel="1" style="0"/>
    <col min="27" max="27" width="14.71" hidden="true" customWidth="true" collapsed="true" outlineLevel="1" style="0"/>
    <col min="28" max="28" width="14.71" hidden="true" customWidth="true" collapsed="true" outlineLevel="1" style="0"/>
    <col min="29" max="29" width="14.71" hidden="true" customWidth="true" collapsed="true" outlineLevel="1" style="0"/>
    <col min="30" max="30" width="14.71" hidden="true" customWidth="true" collapsed="true" outlineLevel="1" style="0"/>
    <col min="31" max="31" width="14.71" hidden="true" customWidth="true" collapsed="true" outlineLevel="1" style="0"/>
    <col min="32" max="32" width="14.71" hidden="true" customWidth="true" collapsed="true" outlineLevel="1" style="0"/>
    <col min="33" max="33" width="14.71" hidden="true" customWidth="true" collapsed="true" outlineLevel="1" style="0"/>
    <col min="1" max="1" width="2" customWidth="true" style="0"/>
    <col min="2" max="2" width="5" customWidth="true" style="0"/>
    <col min="3" max="3" width="8" customWidth="true" style="0"/>
    <col min="5" max="5" width="19" customWidth="true" style="0"/>
    <col min="6" max="6" width="19" customWidth="true" style="0"/>
    <col min="7" max="7" width="19" customWidth="true" style="0"/>
    <col min="8" max="8" width="30" customWidth="true" style="0"/>
    <col min="9" max="9" width="30" customWidth="true" style="0"/>
    <col min="34" max="34" width="15.71" customWidth="true" style="0"/>
  </cols>
  <sheetData>
    <row r="1" spans="1:34" customHeight="1" ht="10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34" customHeight="1" ht="10">
      <c r="A2" s="11"/>
      <c r="B2" s="91"/>
      <c r="C2" s="14"/>
      <c r="D2" s="14"/>
      <c r="E2" s="14"/>
      <c r="F2" s="14"/>
      <c r="G2" s="14"/>
      <c r="H2" s="14"/>
      <c r="I2" s="15"/>
      <c r="J2" s="11"/>
      <c r="K2" s="11"/>
      <c r="L2" s="11"/>
      <c r="M2" s="11"/>
      <c r="AH2" s="96" t="s">
        <v>1521</v>
      </c>
    </row>
    <row r="3" spans="1:34">
      <c r="A3" s="11"/>
      <c r="B3" s="92"/>
      <c r="C3" s="11"/>
      <c r="D3" s="11"/>
      <c r="E3" s="11"/>
      <c r="F3" s="11"/>
      <c r="G3" s="63"/>
      <c r="H3" s="94" t="s">
        <v>1522</v>
      </c>
      <c r="I3" s="95" t="s">
        <v>1523</v>
      </c>
      <c r="J3" s="11"/>
      <c r="K3" s="11"/>
      <c r="L3" s="11"/>
      <c r="M3" s="11"/>
      <c r="AH3"/>
    </row>
    <row r="4" spans="1:34">
      <c r="A4" s="11"/>
      <c r="B4" s="92"/>
      <c r="C4" s="11"/>
      <c r="D4" s="11"/>
      <c r="E4" s="11"/>
      <c r="F4" s="11"/>
      <c r="G4" s="66" t="s">
        <v>1524</v>
      </c>
      <c r="H4" s="64" t="str">
        <f>SUBTOTAL(9,AF20:AF813)</f>
        <v>0</v>
      </c>
      <c r="I4" s="79" t="str">
        <f>SUBTOTAL(9,AG20:AG813)</f>
        <v>0</v>
      </c>
      <c r="J4" s="11"/>
      <c r="K4" s="11"/>
      <c r="L4" s="11"/>
      <c r="M4" s="11"/>
      <c r="AH4"/>
    </row>
    <row r="5" spans="1:34">
      <c r="A5" s="11"/>
      <c r="B5" s="93" t="s">
        <v>1525</v>
      </c>
      <c r="C5" s="11"/>
      <c r="D5" s="11"/>
      <c r="E5" s="11"/>
      <c r="F5" s="11"/>
      <c r="G5" s="67" t="s">
        <v>1526</v>
      </c>
      <c r="H5" s="64" t="str">
        <f>SUBTOTAL(9,AD20:AD813)</f>
        <v>0</v>
      </c>
      <c r="I5" s="79" t="str">
        <f>SUBTOTAL(9,AE20:AE813)</f>
        <v>0</v>
      </c>
      <c r="J5" s="11"/>
      <c r="K5" s="11"/>
      <c r="L5" s="11"/>
      <c r="M5" s="11"/>
      <c r="AH5"/>
    </row>
    <row r="6" spans="1:34">
      <c r="A6" s="11"/>
      <c r="B6" s="76"/>
      <c r="C6" s="18"/>
      <c r="D6" s="18"/>
      <c r="E6" s="18"/>
      <c r="F6" s="18"/>
      <c r="G6" s="67" t="s">
        <v>1527</v>
      </c>
      <c r="H6" s="64" t="str">
        <f>SUBTOTAL(9,AB20:AB813)</f>
        <v>0</v>
      </c>
      <c r="I6" s="79" t="str">
        <f>SUBTOTAL(9,AC20:AC813)</f>
        <v>0</v>
      </c>
      <c r="J6" s="11"/>
      <c r="K6" s="11"/>
      <c r="L6" s="11"/>
      <c r="M6" s="11"/>
      <c r="AH6" s="97" t="s">
        <v>1528</v>
      </c>
    </row>
    <row r="7" spans="1:34">
      <c r="A7" s="11"/>
      <c r="B7" s="77" t="s">
        <v>1529</v>
      </c>
      <c r="C7" s="11"/>
      <c r="D7" s="11"/>
      <c r="E7" s="11"/>
      <c r="F7" s="11"/>
      <c r="G7" s="67" t="s">
        <v>1530</v>
      </c>
      <c r="H7" s="64" t="str">
        <f>SUBTOTAL(9,Z20:Z813)</f>
        <v>0</v>
      </c>
      <c r="I7" s="79" t="str">
        <f>SUBTOTAL(9,AA20:AA813)</f>
        <v>0</v>
      </c>
      <c r="J7" s="11"/>
      <c r="K7" s="11"/>
      <c r="L7" s="11"/>
      <c r="M7" s="11"/>
      <c r="AH7"/>
    </row>
    <row r="8" spans="1:34">
      <c r="A8" s="11"/>
      <c r="B8" s="78"/>
      <c r="C8" s="19"/>
      <c r="D8" s="19"/>
      <c r="E8" s="19"/>
      <c r="F8" s="19"/>
      <c r="G8" s="67" t="s">
        <v>1531</v>
      </c>
      <c r="H8" s="64" t="str">
        <f>SUBTOTAL(9,X20:X813)</f>
        <v>0</v>
      </c>
      <c r="I8" s="79" t="str">
        <f>SUBTOTAL(9,Y20:Y813)</f>
        <v>0</v>
      </c>
      <c r="J8" s="11"/>
      <c r="K8" s="11"/>
      <c r="L8" s="11"/>
      <c r="M8" s="11"/>
      <c r="AH8"/>
    </row>
    <row r="9" spans="1:34">
      <c r="A9" s="11"/>
      <c r="B9" s="13"/>
      <c r="C9" s="11"/>
      <c r="D9" s="11"/>
      <c r="E9" s="11"/>
      <c r="F9" s="11"/>
      <c r="G9" s="67" t="s">
        <v>1532</v>
      </c>
      <c r="H9" s="64" t="str">
        <f>SUBTOTAL(9,V20:V813)</f>
        <v>0</v>
      </c>
      <c r="I9" s="79" t="str">
        <f>SUBTOTAL(9,W20:W813)</f>
        <v>0</v>
      </c>
      <c r="J9" s="11"/>
      <c r="K9" s="11"/>
      <c r="L9" s="11"/>
      <c r="M9" s="11"/>
      <c r="AH9"/>
    </row>
    <row r="10" spans="1:34">
      <c r="B10" s="2"/>
      <c r="C10"/>
      <c r="D10"/>
      <c r="E10"/>
      <c r="F10"/>
      <c r="G10" s="67" t="s">
        <v>1533</v>
      </c>
      <c r="H10" s="64" t="str">
        <f>SUBTOTAL(9,T20:T813)</f>
        <v>0</v>
      </c>
      <c r="I10" s="79" t="str">
        <f>SUBTOTAL(9,U20:U813)</f>
        <v>0</v>
      </c>
      <c r="AH10"/>
    </row>
    <row r="11" spans="1:34">
      <c r="B11" s="2"/>
      <c r="C11"/>
      <c r="D11"/>
      <c r="E11"/>
      <c r="F11"/>
      <c r="G11" s="67" t="s">
        <v>1534</v>
      </c>
      <c r="H11" s="64" t="str">
        <f>SUBTOTAL(9,R20:R813)</f>
        <v>0</v>
      </c>
      <c r="I11" s="79" t="str">
        <f>SUBTOTAL(9,S20:S813)</f>
        <v>0</v>
      </c>
      <c r="AH11"/>
    </row>
    <row r="12" spans="1:34">
      <c r="B12" s="2"/>
      <c r="C12"/>
      <c r="D12"/>
      <c r="E12"/>
      <c r="F12"/>
      <c r="G12" s="67" t="s">
        <v>1535</v>
      </c>
      <c r="H12" s="64" t="str">
        <f>SUBTOTAL(9,P20:P813)</f>
        <v>0</v>
      </c>
      <c r="I12" s="79" t="str">
        <f>SUBTOTAL(9,Q20:Q813)</f>
        <v>0</v>
      </c>
      <c r="AH12"/>
    </row>
    <row r="13" spans="1:34">
      <c r="B13" s="2"/>
      <c r="C13"/>
      <c r="D13"/>
      <c r="E13"/>
      <c r="F13"/>
      <c r="G13" s="67" t="s">
        <v>1536</v>
      </c>
      <c r="H13" s="64" t="str">
        <f>SUBTOTAL(9,N20:N813)</f>
        <v>0</v>
      </c>
      <c r="I13" s="79" t="str">
        <f>SUBTOTAL(9,O20:O813)</f>
        <v>0</v>
      </c>
      <c r="AH13"/>
    </row>
    <row r="14" spans="1:34">
      <c r="B14" s="2"/>
      <c r="C14"/>
      <c r="D14"/>
      <c r="E14"/>
      <c r="F14"/>
      <c r="G14" s="67" t="s">
        <v>1537</v>
      </c>
      <c r="H14" s="64" t="str">
        <f>SUBTOTAL(9,L20:L813)</f>
        <v>0</v>
      </c>
      <c r="I14" s="79" t="str">
        <f>SUBTOTAL(9,M20:M813)</f>
        <v>0</v>
      </c>
      <c r="AH14"/>
    </row>
    <row r="15" spans="1:34">
      <c r="B15" s="2"/>
      <c r="C15"/>
      <c r="D15"/>
      <c r="E15"/>
      <c r="F15"/>
      <c r="G15" s="68" t="s">
        <v>1538</v>
      </c>
      <c r="H15" s="65" t="str">
        <f>SUBTOTAL(9,J20:J813)</f>
        <v>0</v>
      </c>
      <c r="I15" s="80" t="str">
        <f>SUBTOTAL(9,K20:K813)</f>
        <v>0</v>
      </c>
      <c r="AH15"/>
    </row>
    <row r="16" spans="1:34" customHeight="1" ht="10">
      <c r="B16" s="2"/>
      <c r="C16"/>
      <c r="D16"/>
      <c r="E16"/>
      <c r="F16"/>
      <c r="G16"/>
      <c r="H16" s="69"/>
      <c r="I16" s="81"/>
      <c r="J16" s="1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6"/>
      <c r="AH16"/>
    </row>
    <row r="17" spans="1:34">
      <c r="B17" s="99" t="s">
        <v>11</v>
      </c>
      <c r="C17" s="101" t="s">
        <v>12</v>
      </c>
      <c r="D17" s="101" t="s">
        <v>13</v>
      </c>
      <c r="E17" s="101" t="s">
        <v>14</v>
      </c>
      <c r="F17" s="101" t="s">
        <v>15</v>
      </c>
      <c r="G17" s="101" t="s">
        <v>16</v>
      </c>
      <c r="H17" s="101" t="s">
        <v>17</v>
      </c>
      <c r="I17" s="103" t="s">
        <v>18</v>
      </c>
      <c r="J17" s="105" t="s">
        <v>1538</v>
      </c>
      <c r="K17" s="107"/>
      <c r="L17" s="107" t="s">
        <v>1537</v>
      </c>
      <c r="M17" s="107"/>
      <c r="N17" s="110" t="s">
        <v>1536</v>
      </c>
      <c r="O17" s="107"/>
      <c r="P17" s="107" t="s">
        <v>1535</v>
      </c>
      <c r="Q17" s="107"/>
      <c r="R17" s="110" t="s">
        <v>1534</v>
      </c>
      <c r="S17" s="107"/>
      <c r="T17" s="107" t="s">
        <v>1533</v>
      </c>
      <c r="U17" s="107"/>
      <c r="V17" s="110" t="s">
        <v>1532</v>
      </c>
      <c r="W17" s="107"/>
      <c r="X17" s="107" t="s">
        <v>1531</v>
      </c>
      <c r="Y17" s="107"/>
      <c r="Z17" s="110" t="s">
        <v>1530</v>
      </c>
      <c r="AA17" s="107"/>
      <c r="AB17" s="107" t="s">
        <v>1527</v>
      </c>
      <c r="AC17" s="107"/>
      <c r="AD17" s="110" t="s">
        <v>1526</v>
      </c>
      <c r="AE17" s="107"/>
      <c r="AF17" s="107" t="s">
        <v>1524</v>
      </c>
      <c r="AG17" s="111"/>
    </row>
    <row r="18" spans="1:34">
      <c r="B18" s="100"/>
      <c r="C18" s="102"/>
      <c r="D18" s="102"/>
      <c r="E18" s="102"/>
      <c r="F18" s="102"/>
      <c r="G18" s="102"/>
      <c r="H18" s="102"/>
      <c r="I18" s="104"/>
      <c r="J18" s="106" t="s">
        <v>1539</v>
      </c>
      <c r="K18" s="108" t="s">
        <v>1540</v>
      </c>
      <c r="L18" s="109" t="s">
        <v>1539</v>
      </c>
      <c r="M18" s="108" t="s">
        <v>1540</v>
      </c>
      <c r="N18" s="109" t="s">
        <v>1539</v>
      </c>
      <c r="O18" s="108" t="s">
        <v>1540</v>
      </c>
      <c r="P18" s="109" t="s">
        <v>1539</v>
      </c>
      <c r="Q18" s="108" t="s">
        <v>1540</v>
      </c>
      <c r="R18" s="109" t="s">
        <v>1539</v>
      </c>
      <c r="S18" s="108" t="s">
        <v>1540</v>
      </c>
      <c r="T18" s="109" t="s">
        <v>1539</v>
      </c>
      <c r="U18" s="108" t="s">
        <v>1540</v>
      </c>
      <c r="V18" s="109" t="s">
        <v>1539</v>
      </c>
      <c r="W18" s="108" t="s">
        <v>1540</v>
      </c>
      <c r="X18" s="109" t="s">
        <v>1539</v>
      </c>
      <c r="Y18" s="108" t="s">
        <v>1540</v>
      </c>
      <c r="Z18" s="109" t="s">
        <v>1539</v>
      </c>
      <c r="AA18" s="108" t="s">
        <v>1540</v>
      </c>
      <c r="AB18" s="109" t="s">
        <v>1539</v>
      </c>
      <c r="AC18" s="108" t="s">
        <v>1540</v>
      </c>
      <c r="AD18" s="109" t="s">
        <v>1539</v>
      </c>
      <c r="AE18" s="108" t="s">
        <v>1540</v>
      </c>
      <c r="AF18" s="109" t="s">
        <v>1539</v>
      </c>
      <c r="AG18" s="112" t="s">
        <v>1540</v>
      </c>
    </row>
    <row r="19" spans="1:34" customHeight="1" ht="12">
      <c r="B19" s="2"/>
      <c r="C19"/>
      <c r="D19"/>
      <c r="E19"/>
      <c r="F19"/>
      <c r="G19"/>
      <c r="H19"/>
      <c r="I19" s="7"/>
      <c r="J19" s="82"/>
      <c r="K19" s="62"/>
      <c r="L19" s="61"/>
      <c r="M19" s="62"/>
      <c r="N19" s="61"/>
      <c r="O19" s="62"/>
      <c r="P19" s="61"/>
      <c r="Q19" s="62"/>
      <c r="R19" s="61"/>
      <c r="S19" s="62"/>
      <c r="T19" s="61"/>
      <c r="U19" s="62"/>
      <c r="V19" s="61"/>
      <c r="W19" s="62"/>
      <c r="X19" s="61"/>
      <c r="Y19" s="62"/>
      <c r="Z19" s="61"/>
      <c r="AA19" s="62"/>
      <c r="AB19" s="61"/>
      <c r="AC19" s="62"/>
      <c r="AD19" s="61"/>
      <c r="AE19" s="62"/>
      <c r="AF19" s="61"/>
      <c r="AG19" s="86"/>
    </row>
    <row r="20" spans="1:34">
      <c r="B20" s="113">
        <v>1</v>
      </c>
      <c r="C20" s="116">
        <v>51</v>
      </c>
      <c r="D20" s="116" t="s">
        <v>21</v>
      </c>
      <c r="E20" s="116" t="s">
        <v>22</v>
      </c>
      <c r="F20" s="116" t="s">
        <v>23</v>
      </c>
      <c r="G20" s="116" t="s">
        <v>33</v>
      </c>
      <c r="H20" s="116" t="s">
        <v>34</v>
      </c>
      <c r="I20" s="119" t="s">
        <v>34</v>
      </c>
      <c r="J20" s="83">
        <v>0</v>
      </c>
      <c r="K20" s="71">
        <v>0</v>
      </c>
      <c r="L20" s="70">
        <v>0</v>
      </c>
      <c r="M20" s="71">
        <v>0</v>
      </c>
      <c r="N20" s="70">
        <v>0</v>
      </c>
      <c r="O20" s="71">
        <v>0</v>
      </c>
      <c r="P20" s="70">
        <v>7090</v>
      </c>
      <c r="Q20" s="71">
        <v>0</v>
      </c>
      <c r="R20" s="70">
        <v>4652</v>
      </c>
      <c r="S20" s="71">
        <v>0</v>
      </c>
      <c r="T20" s="70">
        <v>4652</v>
      </c>
      <c r="U20" s="71">
        <v>0</v>
      </c>
      <c r="V20" s="70">
        <v>4652</v>
      </c>
      <c r="W20" s="71">
        <v>0</v>
      </c>
      <c r="X20" s="70">
        <v>0</v>
      </c>
      <c r="Y20" s="71">
        <v>0</v>
      </c>
      <c r="Z20" s="70">
        <v>5676</v>
      </c>
      <c r="AA20" s="71">
        <v>0</v>
      </c>
      <c r="AB20" s="70">
        <v>0</v>
      </c>
      <c r="AC20" s="71">
        <v>0</v>
      </c>
      <c r="AD20" s="70">
        <v>0</v>
      </c>
      <c r="AE20" s="71">
        <v>0</v>
      </c>
      <c r="AF20" s="70">
        <v>0</v>
      </c>
      <c r="AG20" s="87">
        <v>0</v>
      </c>
      <c r="AH20" s="98" t="s">
        <v>1541</v>
      </c>
    </row>
    <row r="21" spans="1:34">
      <c r="B21" s="114">
        <v>2</v>
      </c>
      <c r="C21" s="117">
        <v>51</v>
      </c>
      <c r="D21" s="117" t="s">
        <v>21</v>
      </c>
      <c r="E21" s="117" t="s">
        <v>22</v>
      </c>
      <c r="F21" s="117" t="s">
        <v>23</v>
      </c>
      <c r="G21" s="117" t="s">
        <v>35</v>
      </c>
      <c r="H21" s="117" t="s">
        <v>36</v>
      </c>
      <c r="I21" s="120" t="s">
        <v>36</v>
      </c>
      <c r="J21" s="84">
        <v>8889</v>
      </c>
      <c r="K21" s="73">
        <v>0</v>
      </c>
      <c r="L21" s="72">
        <v>0</v>
      </c>
      <c r="M21" s="73">
        <v>0</v>
      </c>
      <c r="N21" s="72">
        <v>0</v>
      </c>
      <c r="O21" s="73">
        <v>0</v>
      </c>
      <c r="P21" s="72">
        <v>0</v>
      </c>
      <c r="Q21" s="73">
        <v>0</v>
      </c>
      <c r="R21" s="72">
        <v>0</v>
      </c>
      <c r="S21" s="73">
        <v>0</v>
      </c>
      <c r="T21" s="72">
        <v>0</v>
      </c>
      <c r="U21" s="73">
        <v>0</v>
      </c>
      <c r="V21" s="72">
        <v>0</v>
      </c>
      <c r="W21" s="73">
        <v>0</v>
      </c>
      <c r="X21" s="72">
        <v>0</v>
      </c>
      <c r="Y21" s="73">
        <v>0</v>
      </c>
      <c r="Z21" s="72">
        <v>0</v>
      </c>
      <c r="AA21" s="73">
        <v>0</v>
      </c>
      <c r="AB21" s="72">
        <v>0</v>
      </c>
      <c r="AC21" s="73">
        <v>0</v>
      </c>
      <c r="AD21" s="72">
        <v>0</v>
      </c>
      <c r="AE21" s="73">
        <v>0</v>
      </c>
      <c r="AF21" s="72">
        <v>0</v>
      </c>
      <c r="AG21" s="88">
        <v>0</v>
      </c>
      <c r="AH21"/>
    </row>
    <row r="22" spans="1:34">
      <c r="B22" s="114">
        <v>3</v>
      </c>
      <c r="C22" s="117">
        <v>51</v>
      </c>
      <c r="D22" s="117" t="s">
        <v>21</v>
      </c>
      <c r="E22" s="117" t="s">
        <v>22</v>
      </c>
      <c r="F22" s="117" t="s">
        <v>23</v>
      </c>
      <c r="G22" s="117" t="s">
        <v>37</v>
      </c>
      <c r="H22" s="117" t="s">
        <v>38</v>
      </c>
      <c r="I22" s="120" t="s">
        <v>38</v>
      </c>
      <c r="J22" s="84">
        <v>5946</v>
      </c>
      <c r="K22" s="73">
        <v>0</v>
      </c>
      <c r="L22" s="72">
        <v>11677</v>
      </c>
      <c r="M22" s="73">
        <v>0</v>
      </c>
      <c r="N22" s="72">
        <v>18689</v>
      </c>
      <c r="O22" s="73">
        <v>0</v>
      </c>
      <c r="P22" s="72">
        <v>11295</v>
      </c>
      <c r="Q22" s="73">
        <v>0</v>
      </c>
      <c r="R22" s="72">
        <v>17344</v>
      </c>
      <c r="S22" s="73">
        <v>0</v>
      </c>
      <c r="T22" s="72">
        <v>18542</v>
      </c>
      <c r="U22" s="73">
        <v>0</v>
      </c>
      <c r="V22" s="72">
        <v>15480</v>
      </c>
      <c r="W22" s="73">
        <v>0</v>
      </c>
      <c r="X22" s="72">
        <v>10718</v>
      </c>
      <c r="Y22" s="73">
        <v>0</v>
      </c>
      <c r="Z22" s="72">
        <v>5865</v>
      </c>
      <c r="AA22" s="73">
        <v>0</v>
      </c>
      <c r="AB22" s="72">
        <v>6596</v>
      </c>
      <c r="AC22" s="73">
        <v>0</v>
      </c>
      <c r="AD22" s="72">
        <v>0</v>
      </c>
      <c r="AE22" s="73">
        <v>0</v>
      </c>
      <c r="AF22" s="72">
        <v>0</v>
      </c>
      <c r="AG22" s="88">
        <v>0</v>
      </c>
      <c r="AH22"/>
    </row>
    <row r="23" spans="1:34">
      <c r="B23" s="114">
        <v>4</v>
      </c>
      <c r="C23" s="117">
        <v>51</v>
      </c>
      <c r="D23" s="117" t="s">
        <v>21</v>
      </c>
      <c r="E23" s="117" t="s">
        <v>22</v>
      </c>
      <c r="F23" s="117" t="s">
        <v>23</v>
      </c>
      <c r="G23" s="117" t="s">
        <v>56</v>
      </c>
      <c r="H23" s="117" t="s">
        <v>57</v>
      </c>
      <c r="I23" s="120"/>
      <c r="J23" s="84">
        <v>0</v>
      </c>
      <c r="K23" s="73">
        <v>0</v>
      </c>
      <c r="L23" s="72">
        <v>0</v>
      </c>
      <c r="M23" s="73">
        <v>0</v>
      </c>
      <c r="N23" s="72">
        <v>0</v>
      </c>
      <c r="O23" s="73">
        <v>0</v>
      </c>
      <c r="P23" s="72">
        <v>0</v>
      </c>
      <c r="Q23" s="73">
        <v>0</v>
      </c>
      <c r="R23" s="72">
        <v>0</v>
      </c>
      <c r="S23" s="73">
        <v>0</v>
      </c>
      <c r="T23" s="72">
        <v>0</v>
      </c>
      <c r="U23" s="73">
        <v>0</v>
      </c>
      <c r="V23" s="72">
        <v>0</v>
      </c>
      <c r="W23" s="73">
        <v>0</v>
      </c>
      <c r="X23" s="72">
        <v>0</v>
      </c>
      <c r="Y23" s="73">
        <v>0</v>
      </c>
      <c r="Z23" s="72">
        <v>0</v>
      </c>
      <c r="AA23" s="73">
        <v>0</v>
      </c>
      <c r="AB23" s="72">
        <v>0</v>
      </c>
      <c r="AC23" s="73">
        <v>0</v>
      </c>
      <c r="AD23" s="72">
        <v>0</v>
      </c>
      <c r="AE23" s="73">
        <v>0</v>
      </c>
      <c r="AF23" s="72">
        <v>0</v>
      </c>
      <c r="AG23" s="88">
        <v>0</v>
      </c>
      <c r="AH23"/>
    </row>
    <row r="24" spans="1:34">
      <c r="B24" s="114">
        <v>5</v>
      </c>
      <c r="C24" s="117">
        <v>51</v>
      </c>
      <c r="D24" s="117" t="s">
        <v>21</v>
      </c>
      <c r="E24" s="117" t="s">
        <v>22</v>
      </c>
      <c r="F24" s="117" t="s">
        <v>23</v>
      </c>
      <c r="G24" s="117" t="s">
        <v>31</v>
      </c>
      <c r="H24" s="117" t="s">
        <v>32</v>
      </c>
      <c r="I24" s="120" t="s">
        <v>32</v>
      </c>
      <c r="J24" s="84">
        <v>0</v>
      </c>
      <c r="K24" s="73">
        <v>0</v>
      </c>
      <c r="L24" s="72">
        <v>0</v>
      </c>
      <c r="M24" s="73">
        <v>0</v>
      </c>
      <c r="N24" s="72">
        <v>0</v>
      </c>
      <c r="O24" s="73">
        <v>0</v>
      </c>
      <c r="P24" s="72">
        <v>0</v>
      </c>
      <c r="Q24" s="73">
        <v>0</v>
      </c>
      <c r="R24" s="72">
        <v>0</v>
      </c>
      <c r="S24" s="73">
        <v>0</v>
      </c>
      <c r="T24" s="72">
        <v>2465</v>
      </c>
      <c r="U24" s="73">
        <v>0</v>
      </c>
      <c r="V24" s="72">
        <v>1150</v>
      </c>
      <c r="W24" s="73">
        <v>0</v>
      </c>
      <c r="X24" s="72">
        <v>0</v>
      </c>
      <c r="Y24" s="73">
        <v>0</v>
      </c>
      <c r="Z24" s="72">
        <v>0</v>
      </c>
      <c r="AA24" s="73">
        <v>0</v>
      </c>
      <c r="AB24" s="72">
        <v>0</v>
      </c>
      <c r="AC24" s="73">
        <v>0</v>
      </c>
      <c r="AD24" s="72">
        <v>0</v>
      </c>
      <c r="AE24" s="73">
        <v>0</v>
      </c>
      <c r="AF24" s="72">
        <v>0</v>
      </c>
      <c r="AG24" s="88">
        <v>0</v>
      </c>
      <c r="AH24"/>
    </row>
    <row r="25" spans="1:34">
      <c r="B25" s="114">
        <v>6</v>
      </c>
      <c r="C25" s="117">
        <v>51</v>
      </c>
      <c r="D25" s="117" t="s">
        <v>21</v>
      </c>
      <c r="E25" s="117" t="s">
        <v>22</v>
      </c>
      <c r="F25" s="117" t="s">
        <v>23</v>
      </c>
      <c r="G25" s="117" t="s">
        <v>41</v>
      </c>
      <c r="H25" s="117" t="s">
        <v>42</v>
      </c>
      <c r="I25" s="120" t="s">
        <v>42</v>
      </c>
      <c r="J25" s="84">
        <v>2322</v>
      </c>
      <c r="K25" s="73">
        <v>0</v>
      </c>
      <c r="L25" s="72">
        <v>2322</v>
      </c>
      <c r="M25" s="73">
        <v>0</v>
      </c>
      <c r="N25" s="72">
        <v>0</v>
      </c>
      <c r="O25" s="73">
        <v>0</v>
      </c>
      <c r="P25" s="72">
        <v>0</v>
      </c>
      <c r="Q25" s="73">
        <v>0</v>
      </c>
      <c r="R25" s="72">
        <v>1061</v>
      </c>
      <c r="S25" s="73">
        <v>0</v>
      </c>
      <c r="T25" s="72">
        <v>1970</v>
      </c>
      <c r="U25" s="73">
        <v>0</v>
      </c>
      <c r="V25" s="72">
        <v>1100</v>
      </c>
      <c r="W25" s="73">
        <v>0</v>
      </c>
      <c r="X25" s="72">
        <v>0</v>
      </c>
      <c r="Y25" s="73">
        <v>0</v>
      </c>
      <c r="Z25" s="72">
        <v>1274</v>
      </c>
      <c r="AA25" s="73">
        <v>0</v>
      </c>
      <c r="AB25" s="72">
        <v>1313</v>
      </c>
      <c r="AC25" s="73">
        <v>0</v>
      </c>
      <c r="AD25" s="72">
        <v>0</v>
      </c>
      <c r="AE25" s="73">
        <v>0</v>
      </c>
      <c r="AF25" s="72">
        <v>0</v>
      </c>
      <c r="AG25" s="88">
        <v>0</v>
      </c>
      <c r="AH25"/>
    </row>
    <row r="26" spans="1:34">
      <c r="B26" s="114">
        <v>7</v>
      </c>
      <c r="C26" s="117">
        <v>51</v>
      </c>
      <c r="D26" s="117" t="s">
        <v>21</v>
      </c>
      <c r="E26" s="117" t="s">
        <v>22</v>
      </c>
      <c r="F26" s="117" t="s">
        <v>23</v>
      </c>
      <c r="G26" s="117" t="s">
        <v>49</v>
      </c>
      <c r="H26" s="117" t="s">
        <v>50</v>
      </c>
      <c r="I26" s="120" t="s">
        <v>50</v>
      </c>
      <c r="J26" s="84">
        <v>900</v>
      </c>
      <c r="K26" s="73">
        <v>0</v>
      </c>
      <c r="L26" s="72">
        <v>2739</v>
      </c>
      <c r="M26" s="73">
        <v>0</v>
      </c>
      <c r="N26" s="72">
        <v>3778</v>
      </c>
      <c r="O26" s="73">
        <v>0</v>
      </c>
      <c r="P26" s="72">
        <v>5208</v>
      </c>
      <c r="Q26" s="73">
        <v>0</v>
      </c>
      <c r="R26" s="72">
        <v>5287</v>
      </c>
      <c r="S26" s="73">
        <v>0</v>
      </c>
      <c r="T26" s="72">
        <v>9570</v>
      </c>
      <c r="U26" s="73">
        <v>0</v>
      </c>
      <c r="V26" s="72">
        <v>5700</v>
      </c>
      <c r="W26" s="73">
        <v>0</v>
      </c>
      <c r="X26" s="72">
        <v>5164</v>
      </c>
      <c r="Y26" s="73">
        <v>0</v>
      </c>
      <c r="Z26" s="72">
        <v>4313</v>
      </c>
      <c r="AA26" s="73">
        <v>0</v>
      </c>
      <c r="AB26" s="72">
        <v>10066</v>
      </c>
      <c r="AC26" s="73">
        <v>0</v>
      </c>
      <c r="AD26" s="72">
        <v>0</v>
      </c>
      <c r="AE26" s="73">
        <v>0</v>
      </c>
      <c r="AF26" s="72">
        <v>0</v>
      </c>
      <c r="AG26" s="88">
        <v>0</v>
      </c>
      <c r="AH26"/>
    </row>
    <row r="27" spans="1:34">
      <c r="B27" s="114">
        <v>8</v>
      </c>
      <c r="C27" s="117">
        <v>51</v>
      </c>
      <c r="D27" s="117" t="s">
        <v>21</v>
      </c>
      <c r="E27" s="117" t="s">
        <v>22</v>
      </c>
      <c r="F27" s="117" t="s">
        <v>23</v>
      </c>
      <c r="G27" s="117" t="s">
        <v>29</v>
      </c>
      <c r="H27" s="117" t="s">
        <v>30</v>
      </c>
      <c r="I27" s="120" t="s">
        <v>30</v>
      </c>
      <c r="J27" s="84">
        <v>8607</v>
      </c>
      <c r="K27" s="73">
        <v>0</v>
      </c>
      <c r="L27" s="72">
        <v>7086</v>
      </c>
      <c r="M27" s="73">
        <v>0</v>
      </c>
      <c r="N27" s="72">
        <v>0</v>
      </c>
      <c r="O27" s="73">
        <v>0</v>
      </c>
      <c r="P27" s="72">
        <v>0</v>
      </c>
      <c r="Q27" s="73">
        <v>0</v>
      </c>
      <c r="R27" s="72">
        <v>0</v>
      </c>
      <c r="S27" s="73">
        <v>0</v>
      </c>
      <c r="T27" s="72">
        <v>0</v>
      </c>
      <c r="U27" s="73">
        <v>0</v>
      </c>
      <c r="V27" s="72">
        <v>0</v>
      </c>
      <c r="W27" s="73">
        <v>0</v>
      </c>
      <c r="X27" s="72">
        <v>0</v>
      </c>
      <c r="Y27" s="73">
        <v>0</v>
      </c>
      <c r="Z27" s="72">
        <v>0</v>
      </c>
      <c r="AA27" s="73">
        <v>0</v>
      </c>
      <c r="AB27" s="72">
        <v>0</v>
      </c>
      <c r="AC27" s="73">
        <v>0</v>
      </c>
      <c r="AD27" s="72">
        <v>0</v>
      </c>
      <c r="AE27" s="73">
        <v>0</v>
      </c>
      <c r="AF27" s="72">
        <v>0</v>
      </c>
      <c r="AG27" s="88">
        <v>0</v>
      </c>
      <c r="AH27"/>
    </row>
    <row r="28" spans="1:34">
      <c r="B28" s="114">
        <v>9</v>
      </c>
      <c r="C28" s="117">
        <v>51</v>
      </c>
      <c r="D28" s="117" t="s">
        <v>21</v>
      </c>
      <c r="E28" s="117" t="s">
        <v>22</v>
      </c>
      <c r="F28" s="117" t="s">
        <v>23</v>
      </c>
      <c r="G28" s="117" t="s">
        <v>39</v>
      </c>
      <c r="H28" s="117" t="s">
        <v>40</v>
      </c>
      <c r="I28" s="120" t="s">
        <v>40</v>
      </c>
      <c r="J28" s="84">
        <v>2122</v>
      </c>
      <c r="K28" s="73">
        <v>0</v>
      </c>
      <c r="L28" s="72">
        <v>0</v>
      </c>
      <c r="M28" s="73">
        <v>0</v>
      </c>
      <c r="N28" s="72">
        <v>0</v>
      </c>
      <c r="O28" s="73">
        <v>0</v>
      </c>
      <c r="P28" s="72">
        <v>0</v>
      </c>
      <c r="Q28" s="73">
        <v>0</v>
      </c>
      <c r="R28" s="72">
        <v>508</v>
      </c>
      <c r="S28" s="73">
        <v>0</v>
      </c>
      <c r="T28" s="72">
        <v>0</v>
      </c>
      <c r="U28" s="73">
        <v>0</v>
      </c>
      <c r="V28" s="72">
        <v>6974</v>
      </c>
      <c r="W28" s="73">
        <v>0</v>
      </c>
      <c r="X28" s="72">
        <v>0</v>
      </c>
      <c r="Y28" s="73">
        <v>0</v>
      </c>
      <c r="Z28" s="72">
        <v>360</v>
      </c>
      <c r="AA28" s="73">
        <v>0</v>
      </c>
      <c r="AB28" s="72">
        <v>0</v>
      </c>
      <c r="AC28" s="73">
        <v>0</v>
      </c>
      <c r="AD28" s="72">
        <v>0</v>
      </c>
      <c r="AE28" s="73">
        <v>0</v>
      </c>
      <c r="AF28" s="72">
        <v>0</v>
      </c>
      <c r="AG28" s="88">
        <v>0</v>
      </c>
      <c r="AH28"/>
    </row>
    <row r="29" spans="1:34">
      <c r="B29" s="114">
        <v>10</v>
      </c>
      <c r="C29" s="117">
        <v>51</v>
      </c>
      <c r="D29" s="117" t="s">
        <v>21</v>
      </c>
      <c r="E29" s="117" t="s">
        <v>22</v>
      </c>
      <c r="F29" s="117" t="s">
        <v>23</v>
      </c>
      <c r="G29" s="117" t="s">
        <v>43</v>
      </c>
      <c r="H29" s="117" t="s">
        <v>44</v>
      </c>
      <c r="I29" s="120" t="s">
        <v>44</v>
      </c>
      <c r="J29" s="84">
        <v>0</v>
      </c>
      <c r="K29" s="73">
        <v>0</v>
      </c>
      <c r="L29" s="72">
        <v>0</v>
      </c>
      <c r="M29" s="73">
        <v>0</v>
      </c>
      <c r="N29" s="72">
        <v>4652</v>
      </c>
      <c r="O29" s="73">
        <v>0</v>
      </c>
      <c r="P29" s="72">
        <v>4652</v>
      </c>
      <c r="Q29" s="73">
        <v>0</v>
      </c>
      <c r="R29" s="72">
        <v>0</v>
      </c>
      <c r="S29" s="73">
        <v>0</v>
      </c>
      <c r="T29" s="72">
        <v>3480</v>
      </c>
      <c r="U29" s="73">
        <v>0</v>
      </c>
      <c r="V29" s="72">
        <v>4430</v>
      </c>
      <c r="W29" s="73">
        <v>0</v>
      </c>
      <c r="X29" s="72">
        <v>0</v>
      </c>
      <c r="Y29" s="73">
        <v>0</v>
      </c>
      <c r="Z29" s="72">
        <v>5760</v>
      </c>
      <c r="AA29" s="73">
        <v>0</v>
      </c>
      <c r="AB29" s="72">
        <v>0</v>
      </c>
      <c r="AC29" s="73">
        <v>0</v>
      </c>
      <c r="AD29" s="72">
        <v>0</v>
      </c>
      <c r="AE29" s="73">
        <v>0</v>
      </c>
      <c r="AF29" s="72">
        <v>0</v>
      </c>
      <c r="AG29" s="88">
        <v>0</v>
      </c>
      <c r="AH29"/>
    </row>
    <row r="30" spans="1:34">
      <c r="B30" s="114">
        <v>11</v>
      </c>
      <c r="C30" s="117">
        <v>51</v>
      </c>
      <c r="D30" s="117" t="s">
        <v>21</v>
      </c>
      <c r="E30" s="117" t="s">
        <v>22</v>
      </c>
      <c r="F30" s="117" t="s">
        <v>23</v>
      </c>
      <c r="G30" s="117" t="s">
        <v>51</v>
      </c>
      <c r="H30" s="117" t="s">
        <v>52</v>
      </c>
      <c r="I30" s="120" t="s">
        <v>52</v>
      </c>
      <c r="J30" s="84">
        <v>0</v>
      </c>
      <c r="K30" s="73">
        <v>0</v>
      </c>
      <c r="L30" s="72">
        <v>0</v>
      </c>
      <c r="M30" s="73">
        <v>0</v>
      </c>
      <c r="N30" s="72">
        <v>0</v>
      </c>
      <c r="O30" s="73">
        <v>0</v>
      </c>
      <c r="P30" s="72">
        <v>944</v>
      </c>
      <c r="Q30" s="73">
        <v>0</v>
      </c>
      <c r="R30" s="72">
        <v>0</v>
      </c>
      <c r="S30" s="73">
        <v>0</v>
      </c>
      <c r="T30" s="72">
        <v>0</v>
      </c>
      <c r="U30" s="73">
        <v>0</v>
      </c>
      <c r="V30" s="72">
        <v>0</v>
      </c>
      <c r="W30" s="73">
        <v>0</v>
      </c>
      <c r="X30" s="72">
        <v>0</v>
      </c>
      <c r="Y30" s="73">
        <v>0</v>
      </c>
      <c r="Z30" s="72">
        <v>0</v>
      </c>
      <c r="AA30" s="73">
        <v>0</v>
      </c>
      <c r="AB30" s="72">
        <v>0</v>
      </c>
      <c r="AC30" s="73">
        <v>0</v>
      </c>
      <c r="AD30" s="72">
        <v>0</v>
      </c>
      <c r="AE30" s="73">
        <v>0</v>
      </c>
      <c r="AF30" s="72">
        <v>0</v>
      </c>
      <c r="AG30" s="88">
        <v>0</v>
      </c>
      <c r="AH30"/>
    </row>
    <row r="31" spans="1:34">
      <c r="B31" s="114">
        <v>12</v>
      </c>
      <c r="C31" s="117">
        <v>51</v>
      </c>
      <c r="D31" s="117" t="s">
        <v>21</v>
      </c>
      <c r="E31" s="117" t="s">
        <v>22</v>
      </c>
      <c r="F31" s="117" t="s">
        <v>23</v>
      </c>
      <c r="G31" s="117" t="s">
        <v>53</v>
      </c>
      <c r="H31" s="117" t="s">
        <v>54</v>
      </c>
      <c r="I31" s="120" t="s">
        <v>55</v>
      </c>
      <c r="J31" s="84">
        <v>15660</v>
      </c>
      <c r="K31" s="73">
        <v>0</v>
      </c>
      <c r="L31" s="72">
        <v>22778</v>
      </c>
      <c r="M31" s="73">
        <v>0</v>
      </c>
      <c r="N31" s="72">
        <v>19945</v>
      </c>
      <c r="O31" s="73">
        <v>0</v>
      </c>
      <c r="P31" s="72">
        <v>6997</v>
      </c>
      <c r="Q31" s="73">
        <v>0</v>
      </c>
      <c r="R31" s="72">
        <v>1797</v>
      </c>
      <c r="S31" s="73">
        <v>0</v>
      </c>
      <c r="T31" s="72">
        <v>0</v>
      </c>
      <c r="U31" s="73">
        <v>0</v>
      </c>
      <c r="V31" s="72">
        <v>4151</v>
      </c>
      <c r="W31" s="73">
        <v>0</v>
      </c>
      <c r="X31" s="72">
        <v>12420</v>
      </c>
      <c r="Y31" s="73">
        <v>0</v>
      </c>
      <c r="Z31" s="72">
        <v>0</v>
      </c>
      <c r="AA31" s="73">
        <v>0</v>
      </c>
      <c r="AB31" s="72">
        <v>0</v>
      </c>
      <c r="AC31" s="73">
        <v>0</v>
      </c>
      <c r="AD31" s="72">
        <v>0</v>
      </c>
      <c r="AE31" s="73">
        <v>0</v>
      </c>
      <c r="AF31" s="72">
        <v>0</v>
      </c>
      <c r="AG31" s="88">
        <v>0</v>
      </c>
      <c r="AH31"/>
    </row>
    <row r="32" spans="1:34">
      <c r="B32" s="114">
        <v>13</v>
      </c>
      <c r="C32" s="117">
        <v>51</v>
      </c>
      <c r="D32" s="117" t="s">
        <v>21</v>
      </c>
      <c r="E32" s="117" t="s">
        <v>22</v>
      </c>
      <c r="F32" s="117" t="s">
        <v>23</v>
      </c>
      <c r="G32" s="117" t="s">
        <v>45</v>
      </c>
      <c r="H32" s="117" t="s">
        <v>46</v>
      </c>
      <c r="I32" s="120" t="s">
        <v>46</v>
      </c>
      <c r="J32" s="84">
        <v>0</v>
      </c>
      <c r="K32" s="73">
        <v>0</v>
      </c>
      <c r="L32" s="72">
        <v>6444</v>
      </c>
      <c r="M32" s="73">
        <v>0</v>
      </c>
      <c r="N32" s="72">
        <v>4198</v>
      </c>
      <c r="O32" s="73">
        <v>0</v>
      </c>
      <c r="P32" s="72">
        <v>8591</v>
      </c>
      <c r="Q32" s="73">
        <v>0</v>
      </c>
      <c r="R32" s="72">
        <v>4198</v>
      </c>
      <c r="S32" s="73">
        <v>0</v>
      </c>
      <c r="T32" s="72">
        <v>10674</v>
      </c>
      <c r="U32" s="73">
        <v>0</v>
      </c>
      <c r="V32" s="72">
        <v>2245</v>
      </c>
      <c r="W32" s="73">
        <v>0</v>
      </c>
      <c r="X32" s="72">
        <v>0</v>
      </c>
      <c r="Y32" s="73">
        <v>0</v>
      </c>
      <c r="Z32" s="72">
        <v>0</v>
      </c>
      <c r="AA32" s="73">
        <v>0</v>
      </c>
      <c r="AB32" s="72">
        <v>0</v>
      </c>
      <c r="AC32" s="73">
        <v>0</v>
      </c>
      <c r="AD32" s="72">
        <v>0</v>
      </c>
      <c r="AE32" s="73">
        <v>0</v>
      </c>
      <c r="AF32" s="72">
        <v>0</v>
      </c>
      <c r="AG32" s="88">
        <v>0</v>
      </c>
      <c r="AH32"/>
    </row>
    <row r="33" spans="1:34">
      <c r="B33" s="114">
        <v>14</v>
      </c>
      <c r="C33" s="117">
        <v>51</v>
      </c>
      <c r="D33" s="117" t="s">
        <v>21</v>
      </c>
      <c r="E33" s="117" t="s">
        <v>22</v>
      </c>
      <c r="F33" s="117" t="s">
        <v>23</v>
      </c>
      <c r="G33" s="117" t="s">
        <v>47</v>
      </c>
      <c r="H33" s="117" t="s">
        <v>48</v>
      </c>
      <c r="I33" s="120" t="s">
        <v>48</v>
      </c>
      <c r="J33" s="84">
        <v>0</v>
      </c>
      <c r="K33" s="73">
        <v>0</v>
      </c>
      <c r="L33" s="72">
        <v>0</v>
      </c>
      <c r="M33" s="73">
        <v>0</v>
      </c>
      <c r="N33" s="72">
        <v>4320</v>
      </c>
      <c r="O33" s="73">
        <v>0</v>
      </c>
      <c r="P33" s="72">
        <v>0</v>
      </c>
      <c r="Q33" s="73">
        <v>0</v>
      </c>
      <c r="R33" s="72">
        <v>8640</v>
      </c>
      <c r="S33" s="73">
        <v>0</v>
      </c>
      <c r="T33" s="72">
        <v>4320</v>
      </c>
      <c r="U33" s="73">
        <v>0</v>
      </c>
      <c r="V33" s="72">
        <v>7632</v>
      </c>
      <c r="W33" s="73">
        <v>0</v>
      </c>
      <c r="X33" s="72">
        <v>4320</v>
      </c>
      <c r="Y33" s="73">
        <v>0</v>
      </c>
      <c r="Z33" s="72">
        <v>510</v>
      </c>
      <c r="AA33" s="73">
        <v>0</v>
      </c>
      <c r="AB33" s="72">
        <v>4114</v>
      </c>
      <c r="AC33" s="73">
        <v>0</v>
      </c>
      <c r="AD33" s="72">
        <v>0</v>
      </c>
      <c r="AE33" s="73">
        <v>0</v>
      </c>
      <c r="AF33" s="72">
        <v>0</v>
      </c>
      <c r="AG33" s="88">
        <v>0</v>
      </c>
      <c r="AH33"/>
    </row>
    <row r="34" spans="1:34">
      <c r="B34" s="114">
        <v>15</v>
      </c>
      <c r="C34" s="117">
        <v>51</v>
      </c>
      <c r="D34" s="117" t="s">
        <v>21</v>
      </c>
      <c r="E34" s="117" t="s">
        <v>22</v>
      </c>
      <c r="F34" s="117" t="s">
        <v>23</v>
      </c>
      <c r="G34" s="117" t="s">
        <v>24</v>
      </c>
      <c r="H34" s="117" t="s">
        <v>25</v>
      </c>
      <c r="I34" s="120" t="s">
        <v>26</v>
      </c>
      <c r="J34" s="84">
        <v>0</v>
      </c>
      <c r="K34" s="73">
        <v>0</v>
      </c>
      <c r="L34" s="72">
        <v>0</v>
      </c>
      <c r="M34" s="73">
        <v>0</v>
      </c>
      <c r="N34" s="72">
        <v>500</v>
      </c>
      <c r="O34" s="73">
        <v>0</v>
      </c>
      <c r="P34" s="72">
        <v>0</v>
      </c>
      <c r="Q34" s="73">
        <v>0</v>
      </c>
      <c r="R34" s="72">
        <v>0</v>
      </c>
      <c r="S34" s="73">
        <v>0</v>
      </c>
      <c r="T34" s="72">
        <v>0</v>
      </c>
      <c r="U34" s="73">
        <v>0</v>
      </c>
      <c r="V34" s="72">
        <v>0</v>
      </c>
      <c r="W34" s="73">
        <v>0</v>
      </c>
      <c r="X34" s="72">
        <v>0</v>
      </c>
      <c r="Y34" s="73">
        <v>0</v>
      </c>
      <c r="Z34" s="72">
        <v>0</v>
      </c>
      <c r="AA34" s="73">
        <v>0</v>
      </c>
      <c r="AB34" s="72">
        <v>0</v>
      </c>
      <c r="AC34" s="73">
        <v>0</v>
      </c>
      <c r="AD34" s="72">
        <v>0</v>
      </c>
      <c r="AE34" s="73">
        <v>0</v>
      </c>
      <c r="AF34" s="72">
        <v>0</v>
      </c>
      <c r="AG34" s="88">
        <v>0</v>
      </c>
      <c r="AH34"/>
    </row>
    <row r="35" spans="1:34">
      <c r="B35" s="114">
        <v>16</v>
      </c>
      <c r="C35" s="117">
        <v>51</v>
      </c>
      <c r="D35" s="117" t="s">
        <v>21</v>
      </c>
      <c r="E35" s="117" t="s">
        <v>22</v>
      </c>
      <c r="F35" s="117" t="s">
        <v>23</v>
      </c>
      <c r="G35" s="117" t="s">
        <v>27</v>
      </c>
      <c r="H35" s="117" t="s">
        <v>28</v>
      </c>
      <c r="I35" s="120" t="s">
        <v>28</v>
      </c>
      <c r="J35" s="84">
        <v>0</v>
      </c>
      <c r="K35" s="73">
        <v>0</v>
      </c>
      <c r="L35" s="72">
        <v>0</v>
      </c>
      <c r="M35" s="73">
        <v>0</v>
      </c>
      <c r="N35" s="72">
        <v>0</v>
      </c>
      <c r="O35" s="73">
        <v>0</v>
      </c>
      <c r="P35" s="72">
        <v>0</v>
      </c>
      <c r="Q35" s="73">
        <v>0</v>
      </c>
      <c r="R35" s="72">
        <v>4423</v>
      </c>
      <c r="S35" s="73">
        <v>0</v>
      </c>
      <c r="T35" s="72">
        <v>2222</v>
      </c>
      <c r="U35" s="73">
        <v>0</v>
      </c>
      <c r="V35" s="72">
        <v>0</v>
      </c>
      <c r="W35" s="73">
        <v>0</v>
      </c>
      <c r="X35" s="72">
        <v>546</v>
      </c>
      <c r="Y35" s="73">
        <v>0</v>
      </c>
      <c r="Z35" s="72">
        <v>0</v>
      </c>
      <c r="AA35" s="73">
        <v>0</v>
      </c>
      <c r="AB35" s="72">
        <v>0</v>
      </c>
      <c r="AC35" s="73">
        <v>0</v>
      </c>
      <c r="AD35" s="72">
        <v>0</v>
      </c>
      <c r="AE35" s="73">
        <v>0</v>
      </c>
      <c r="AF35" s="72">
        <v>0</v>
      </c>
      <c r="AG35" s="88">
        <v>0</v>
      </c>
      <c r="AH35"/>
    </row>
    <row r="36" spans="1:34">
      <c r="B36" s="114">
        <v>17</v>
      </c>
      <c r="C36" s="117">
        <v>51</v>
      </c>
      <c r="D36" s="117" t="s">
        <v>21</v>
      </c>
      <c r="E36" s="117" t="s">
        <v>58</v>
      </c>
      <c r="F36" s="117" t="s">
        <v>23</v>
      </c>
      <c r="G36" s="117" t="s">
        <v>75</v>
      </c>
      <c r="H36" s="117" t="s">
        <v>76</v>
      </c>
      <c r="I36" s="121" t="s">
        <v>76</v>
      </c>
      <c r="J36" s="84">
        <v>0</v>
      </c>
      <c r="K36" s="73">
        <v>0</v>
      </c>
      <c r="L36" s="72">
        <v>0</v>
      </c>
      <c r="M36" s="73">
        <v>0</v>
      </c>
      <c r="N36" s="72">
        <v>0</v>
      </c>
      <c r="O36" s="73">
        <v>0</v>
      </c>
      <c r="P36" s="72">
        <v>0</v>
      </c>
      <c r="Q36" s="73">
        <v>0</v>
      </c>
      <c r="R36" s="72">
        <v>0</v>
      </c>
      <c r="S36" s="73">
        <v>0</v>
      </c>
      <c r="T36" s="72">
        <v>4841</v>
      </c>
      <c r="U36" s="73">
        <v>0</v>
      </c>
      <c r="V36" s="72">
        <v>4838</v>
      </c>
      <c r="W36" s="73">
        <v>0</v>
      </c>
      <c r="X36" s="72">
        <v>7257</v>
      </c>
      <c r="Y36" s="73">
        <v>0</v>
      </c>
      <c r="Z36" s="72">
        <v>6105</v>
      </c>
      <c r="AA36" s="73">
        <v>0</v>
      </c>
      <c r="AB36" s="72">
        <v>200</v>
      </c>
      <c r="AC36" s="73">
        <v>0</v>
      </c>
      <c r="AD36" s="72">
        <v>0</v>
      </c>
      <c r="AE36" s="73">
        <v>0</v>
      </c>
      <c r="AF36" s="72">
        <v>0</v>
      </c>
      <c r="AG36" s="88">
        <v>0</v>
      </c>
      <c r="AH36"/>
    </row>
    <row r="37" spans="1:34">
      <c r="B37" s="114">
        <v>18</v>
      </c>
      <c r="C37" s="117">
        <v>51</v>
      </c>
      <c r="D37" s="117" t="s">
        <v>21</v>
      </c>
      <c r="E37" s="117" t="s">
        <v>58</v>
      </c>
      <c r="F37" s="117" t="s">
        <v>23</v>
      </c>
      <c r="G37" s="117" t="s">
        <v>70</v>
      </c>
      <c r="H37" s="117" t="s">
        <v>71</v>
      </c>
      <c r="I37" s="120" t="s">
        <v>71</v>
      </c>
      <c r="J37" s="84">
        <v>0</v>
      </c>
      <c r="K37" s="73">
        <v>0</v>
      </c>
      <c r="L37" s="72">
        <v>0</v>
      </c>
      <c r="M37" s="73">
        <v>0</v>
      </c>
      <c r="N37" s="72">
        <v>0</v>
      </c>
      <c r="O37" s="73">
        <v>0</v>
      </c>
      <c r="P37" s="72">
        <v>0</v>
      </c>
      <c r="Q37" s="73">
        <v>0</v>
      </c>
      <c r="R37" s="72">
        <v>0</v>
      </c>
      <c r="S37" s="73">
        <v>0</v>
      </c>
      <c r="T37" s="72">
        <v>0</v>
      </c>
      <c r="U37" s="73">
        <v>0</v>
      </c>
      <c r="V37" s="72">
        <v>0</v>
      </c>
      <c r="W37" s="73">
        <v>0</v>
      </c>
      <c r="X37" s="72">
        <v>0</v>
      </c>
      <c r="Y37" s="73">
        <v>0</v>
      </c>
      <c r="Z37" s="72">
        <v>0</v>
      </c>
      <c r="AA37" s="73">
        <v>0</v>
      </c>
      <c r="AB37" s="72">
        <v>4972</v>
      </c>
      <c r="AC37" s="73">
        <v>0</v>
      </c>
      <c r="AD37" s="72">
        <v>0</v>
      </c>
      <c r="AE37" s="73">
        <v>0</v>
      </c>
      <c r="AF37" s="72">
        <v>0</v>
      </c>
      <c r="AG37" s="88">
        <v>0</v>
      </c>
      <c r="AH37"/>
    </row>
    <row r="38" spans="1:34">
      <c r="B38" s="114">
        <v>19</v>
      </c>
      <c r="C38" s="117">
        <v>51</v>
      </c>
      <c r="D38" s="117" t="s">
        <v>21</v>
      </c>
      <c r="E38" s="117" t="s">
        <v>58</v>
      </c>
      <c r="F38" s="117" t="s">
        <v>23</v>
      </c>
      <c r="G38" s="117" t="s">
        <v>27</v>
      </c>
      <c r="H38" s="117" t="s">
        <v>28</v>
      </c>
      <c r="I38" s="120" t="s">
        <v>28</v>
      </c>
      <c r="J38" s="84">
        <v>0</v>
      </c>
      <c r="K38" s="73">
        <v>0</v>
      </c>
      <c r="L38" s="72">
        <v>2710</v>
      </c>
      <c r="M38" s="73">
        <v>0</v>
      </c>
      <c r="N38" s="72">
        <v>2160</v>
      </c>
      <c r="O38" s="73">
        <v>0</v>
      </c>
      <c r="P38" s="72">
        <v>0</v>
      </c>
      <c r="Q38" s="73">
        <v>0</v>
      </c>
      <c r="R38" s="72">
        <v>1850</v>
      </c>
      <c r="S38" s="73">
        <v>0</v>
      </c>
      <c r="T38" s="72">
        <v>0</v>
      </c>
      <c r="U38" s="73">
        <v>0</v>
      </c>
      <c r="V38" s="72">
        <v>2939</v>
      </c>
      <c r="W38" s="73">
        <v>0</v>
      </c>
      <c r="X38" s="72">
        <v>2193</v>
      </c>
      <c r="Y38" s="73">
        <v>0</v>
      </c>
      <c r="Z38" s="72">
        <v>0</v>
      </c>
      <c r="AA38" s="73">
        <v>0</v>
      </c>
      <c r="AB38" s="72">
        <v>0</v>
      </c>
      <c r="AC38" s="73">
        <v>0</v>
      </c>
      <c r="AD38" s="72">
        <v>0</v>
      </c>
      <c r="AE38" s="73">
        <v>0</v>
      </c>
      <c r="AF38" s="72">
        <v>0</v>
      </c>
      <c r="AG38" s="88">
        <v>0</v>
      </c>
      <c r="AH38"/>
    </row>
    <row r="39" spans="1:34">
      <c r="B39" s="114">
        <v>20</v>
      </c>
      <c r="C39" s="117">
        <v>51</v>
      </c>
      <c r="D39" s="117" t="s">
        <v>21</v>
      </c>
      <c r="E39" s="117" t="s">
        <v>58</v>
      </c>
      <c r="F39" s="117" t="s">
        <v>23</v>
      </c>
      <c r="G39" s="117" t="s">
        <v>29</v>
      </c>
      <c r="H39" s="117" t="s">
        <v>30</v>
      </c>
      <c r="I39" s="120" t="s">
        <v>30</v>
      </c>
      <c r="J39" s="84">
        <v>646</v>
      </c>
      <c r="K39" s="73">
        <v>0</v>
      </c>
      <c r="L39" s="72">
        <v>1824</v>
      </c>
      <c r="M39" s="73">
        <v>0</v>
      </c>
      <c r="N39" s="72">
        <v>0</v>
      </c>
      <c r="O39" s="73">
        <v>0</v>
      </c>
      <c r="P39" s="72">
        <v>0</v>
      </c>
      <c r="Q39" s="73">
        <v>0</v>
      </c>
      <c r="R39" s="72">
        <v>0</v>
      </c>
      <c r="S39" s="73">
        <v>0</v>
      </c>
      <c r="T39" s="72">
        <v>0</v>
      </c>
      <c r="U39" s="73">
        <v>0</v>
      </c>
      <c r="V39" s="72">
        <v>0</v>
      </c>
      <c r="W39" s="73">
        <v>0</v>
      </c>
      <c r="X39" s="72">
        <v>0</v>
      </c>
      <c r="Y39" s="73">
        <v>0</v>
      </c>
      <c r="Z39" s="72">
        <v>0</v>
      </c>
      <c r="AA39" s="73">
        <v>0</v>
      </c>
      <c r="AB39" s="72">
        <v>0</v>
      </c>
      <c r="AC39" s="73">
        <v>0</v>
      </c>
      <c r="AD39" s="72">
        <v>0</v>
      </c>
      <c r="AE39" s="73">
        <v>0</v>
      </c>
      <c r="AF39" s="72">
        <v>0</v>
      </c>
      <c r="AG39" s="88">
        <v>0</v>
      </c>
      <c r="AH39"/>
    </row>
    <row r="40" spans="1:34">
      <c r="B40" s="114">
        <v>21</v>
      </c>
      <c r="C40" s="117">
        <v>51</v>
      </c>
      <c r="D40" s="117" t="s">
        <v>21</v>
      </c>
      <c r="E40" s="117" t="s">
        <v>58</v>
      </c>
      <c r="F40" s="117" t="s">
        <v>23</v>
      </c>
      <c r="G40" s="117" t="s">
        <v>81</v>
      </c>
      <c r="H40" s="117" t="s">
        <v>82</v>
      </c>
      <c r="I40" s="120" t="s">
        <v>83</v>
      </c>
      <c r="J40" s="84">
        <v>0</v>
      </c>
      <c r="K40" s="73">
        <v>0</v>
      </c>
      <c r="L40" s="72">
        <v>0</v>
      </c>
      <c r="M40" s="73">
        <v>0</v>
      </c>
      <c r="N40" s="72">
        <v>0</v>
      </c>
      <c r="O40" s="73">
        <v>0</v>
      </c>
      <c r="P40" s="72">
        <v>0</v>
      </c>
      <c r="Q40" s="73">
        <v>0</v>
      </c>
      <c r="R40" s="72">
        <v>0</v>
      </c>
      <c r="S40" s="73">
        <v>0</v>
      </c>
      <c r="T40" s="72">
        <v>0</v>
      </c>
      <c r="U40" s="73">
        <v>0</v>
      </c>
      <c r="V40" s="72">
        <v>0</v>
      </c>
      <c r="W40" s="73">
        <v>0</v>
      </c>
      <c r="X40" s="72">
        <v>2173</v>
      </c>
      <c r="Y40" s="73">
        <v>0</v>
      </c>
      <c r="Z40" s="72">
        <v>7920</v>
      </c>
      <c r="AA40" s="73">
        <v>0</v>
      </c>
      <c r="AB40" s="72">
        <v>4564</v>
      </c>
      <c r="AC40" s="73">
        <v>0</v>
      </c>
      <c r="AD40" s="72">
        <v>0</v>
      </c>
      <c r="AE40" s="73">
        <v>0</v>
      </c>
      <c r="AF40" s="72">
        <v>0</v>
      </c>
      <c r="AG40" s="88">
        <v>0</v>
      </c>
      <c r="AH40"/>
    </row>
    <row r="41" spans="1:34">
      <c r="B41" s="114">
        <v>22</v>
      </c>
      <c r="C41" s="117">
        <v>51</v>
      </c>
      <c r="D41" s="117" t="s">
        <v>21</v>
      </c>
      <c r="E41" s="117" t="s">
        <v>58</v>
      </c>
      <c r="F41" s="117" t="s">
        <v>23</v>
      </c>
      <c r="G41" s="117" t="s">
        <v>68</v>
      </c>
      <c r="H41" s="117" t="s">
        <v>69</v>
      </c>
      <c r="I41" s="120" t="s">
        <v>69</v>
      </c>
      <c r="J41" s="84">
        <v>0</v>
      </c>
      <c r="K41" s="73">
        <v>0</v>
      </c>
      <c r="L41" s="72">
        <v>0</v>
      </c>
      <c r="M41" s="73">
        <v>0</v>
      </c>
      <c r="N41" s="72">
        <v>992</v>
      </c>
      <c r="O41" s="73">
        <v>0</v>
      </c>
      <c r="P41" s="72">
        <v>0</v>
      </c>
      <c r="Q41" s="73">
        <v>0</v>
      </c>
      <c r="R41" s="72">
        <v>0</v>
      </c>
      <c r="S41" s="73">
        <v>0</v>
      </c>
      <c r="T41" s="72">
        <v>0</v>
      </c>
      <c r="U41" s="73">
        <v>0</v>
      </c>
      <c r="V41" s="72">
        <v>0</v>
      </c>
      <c r="W41" s="73">
        <v>0</v>
      </c>
      <c r="X41" s="72">
        <v>0</v>
      </c>
      <c r="Y41" s="73">
        <v>0</v>
      </c>
      <c r="Z41" s="72">
        <v>1008</v>
      </c>
      <c r="AA41" s="73">
        <v>0</v>
      </c>
      <c r="AB41" s="72">
        <v>0</v>
      </c>
      <c r="AC41" s="73">
        <v>0</v>
      </c>
      <c r="AD41" s="72">
        <v>0</v>
      </c>
      <c r="AE41" s="73">
        <v>0</v>
      </c>
      <c r="AF41" s="72">
        <v>0</v>
      </c>
      <c r="AG41" s="88">
        <v>0</v>
      </c>
      <c r="AH41"/>
    </row>
    <row r="42" spans="1:34">
      <c r="B42" s="114">
        <v>23</v>
      </c>
      <c r="C42" s="117">
        <v>51</v>
      </c>
      <c r="D42" s="117" t="s">
        <v>21</v>
      </c>
      <c r="E42" s="117" t="s">
        <v>58</v>
      </c>
      <c r="F42" s="117" t="s">
        <v>23</v>
      </c>
      <c r="G42" s="117" t="s">
        <v>35</v>
      </c>
      <c r="H42" s="117" t="s">
        <v>36</v>
      </c>
      <c r="I42" s="120" t="s">
        <v>36</v>
      </c>
      <c r="J42" s="84">
        <v>0</v>
      </c>
      <c r="K42" s="73">
        <v>0</v>
      </c>
      <c r="L42" s="72">
        <v>0</v>
      </c>
      <c r="M42" s="73">
        <v>0</v>
      </c>
      <c r="N42" s="72">
        <v>0</v>
      </c>
      <c r="O42" s="73">
        <v>0</v>
      </c>
      <c r="P42" s="72">
        <v>0</v>
      </c>
      <c r="Q42" s="73">
        <v>0</v>
      </c>
      <c r="R42" s="72">
        <v>0</v>
      </c>
      <c r="S42" s="73">
        <v>0</v>
      </c>
      <c r="T42" s="72">
        <v>0</v>
      </c>
      <c r="U42" s="73">
        <v>0</v>
      </c>
      <c r="V42" s="72">
        <v>0</v>
      </c>
      <c r="W42" s="73">
        <v>0</v>
      </c>
      <c r="X42" s="72">
        <v>0</v>
      </c>
      <c r="Y42" s="73">
        <v>0</v>
      </c>
      <c r="Z42" s="72">
        <v>0</v>
      </c>
      <c r="AA42" s="73">
        <v>0</v>
      </c>
      <c r="AB42" s="72">
        <v>0</v>
      </c>
      <c r="AC42" s="73">
        <v>0</v>
      </c>
      <c r="AD42" s="72">
        <v>0</v>
      </c>
      <c r="AE42" s="73">
        <v>0</v>
      </c>
      <c r="AF42" s="72">
        <v>0</v>
      </c>
      <c r="AG42" s="88">
        <v>0</v>
      </c>
      <c r="AH42"/>
    </row>
    <row r="43" spans="1:34">
      <c r="B43" s="114">
        <v>24</v>
      </c>
      <c r="C43" s="117">
        <v>51</v>
      </c>
      <c r="D43" s="117" t="s">
        <v>21</v>
      </c>
      <c r="E43" s="117" t="s">
        <v>58</v>
      </c>
      <c r="F43" s="117" t="s">
        <v>23</v>
      </c>
      <c r="G43" s="117" t="s">
        <v>91</v>
      </c>
      <c r="H43" s="117" t="s">
        <v>92</v>
      </c>
      <c r="I43" s="120" t="s">
        <v>93</v>
      </c>
      <c r="J43" s="84">
        <v>0</v>
      </c>
      <c r="K43" s="73">
        <v>0</v>
      </c>
      <c r="L43" s="72">
        <v>0</v>
      </c>
      <c r="M43" s="73">
        <v>0</v>
      </c>
      <c r="N43" s="72">
        <v>0</v>
      </c>
      <c r="O43" s="73">
        <v>0</v>
      </c>
      <c r="P43" s="72">
        <v>0</v>
      </c>
      <c r="Q43" s="73">
        <v>0</v>
      </c>
      <c r="R43" s="72">
        <v>0</v>
      </c>
      <c r="S43" s="73">
        <v>0</v>
      </c>
      <c r="T43" s="72">
        <v>0</v>
      </c>
      <c r="U43" s="73">
        <v>0</v>
      </c>
      <c r="V43" s="72">
        <v>0</v>
      </c>
      <c r="W43" s="73">
        <v>0</v>
      </c>
      <c r="X43" s="72">
        <v>0</v>
      </c>
      <c r="Y43" s="73">
        <v>0</v>
      </c>
      <c r="Z43" s="72">
        <v>0</v>
      </c>
      <c r="AA43" s="73">
        <v>0</v>
      </c>
      <c r="AB43" s="72">
        <v>0</v>
      </c>
      <c r="AC43" s="73">
        <v>0</v>
      </c>
      <c r="AD43" s="72">
        <v>0</v>
      </c>
      <c r="AE43" s="73">
        <v>0</v>
      </c>
      <c r="AF43" s="72">
        <v>0</v>
      </c>
      <c r="AG43" s="88">
        <v>0</v>
      </c>
      <c r="AH43"/>
    </row>
    <row r="44" spans="1:34">
      <c r="B44" s="114">
        <v>25</v>
      </c>
      <c r="C44" s="117">
        <v>51</v>
      </c>
      <c r="D44" s="117" t="s">
        <v>21</v>
      </c>
      <c r="E44" s="117" t="s">
        <v>58</v>
      </c>
      <c r="F44" s="117" t="s">
        <v>23</v>
      </c>
      <c r="G44" s="117" t="s">
        <v>94</v>
      </c>
      <c r="H44" s="117" t="s">
        <v>95</v>
      </c>
      <c r="I44" s="121" t="s">
        <v>95</v>
      </c>
      <c r="J44" s="84">
        <v>0</v>
      </c>
      <c r="K44" s="73">
        <v>0</v>
      </c>
      <c r="L44" s="72">
        <v>0</v>
      </c>
      <c r="M44" s="73">
        <v>0</v>
      </c>
      <c r="N44" s="72">
        <v>0</v>
      </c>
      <c r="O44" s="73">
        <v>0</v>
      </c>
      <c r="P44" s="72">
        <v>0</v>
      </c>
      <c r="Q44" s="73">
        <v>0</v>
      </c>
      <c r="R44" s="72">
        <v>0</v>
      </c>
      <c r="S44" s="73">
        <v>0</v>
      </c>
      <c r="T44" s="72">
        <v>0</v>
      </c>
      <c r="U44" s="73">
        <v>0</v>
      </c>
      <c r="V44" s="72">
        <v>28</v>
      </c>
      <c r="W44" s="73">
        <v>0</v>
      </c>
      <c r="X44" s="72">
        <v>0</v>
      </c>
      <c r="Y44" s="73">
        <v>0</v>
      </c>
      <c r="Z44" s="72">
        <v>0</v>
      </c>
      <c r="AA44" s="73">
        <v>0</v>
      </c>
      <c r="AB44" s="72">
        <v>0</v>
      </c>
      <c r="AC44" s="73">
        <v>0</v>
      </c>
      <c r="AD44" s="72">
        <v>0</v>
      </c>
      <c r="AE44" s="73">
        <v>0</v>
      </c>
      <c r="AF44" s="72">
        <v>0</v>
      </c>
      <c r="AG44" s="88">
        <v>0</v>
      </c>
      <c r="AH44"/>
    </row>
    <row r="45" spans="1:34">
      <c r="B45" s="114">
        <v>26</v>
      </c>
      <c r="C45" s="117">
        <v>51</v>
      </c>
      <c r="D45" s="117" t="s">
        <v>21</v>
      </c>
      <c r="E45" s="117" t="s">
        <v>58</v>
      </c>
      <c r="F45" s="117" t="s">
        <v>23</v>
      </c>
      <c r="G45" s="117" t="s">
        <v>53</v>
      </c>
      <c r="H45" s="117" t="s">
        <v>54</v>
      </c>
      <c r="I45" s="120" t="s">
        <v>55</v>
      </c>
      <c r="J45" s="84">
        <v>0</v>
      </c>
      <c r="K45" s="73">
        <v>0</v>
      </c>
      <c r="L45" s="72">
        <v>0</v>
      </c>
      <c r="M45" s="73">
        <v>0</v>
      </c>
      <c r="N45" s="72">
        <v>0</v>
      </c>
      <c r="O45" s="73">
        <v>0</v>
      </c>
      <c r="P45" s="72">
        <v>0</v>
      </c>
      <c r="Q45" s="73">
        <v>0</v>
      </c>
      <c r="R45" s="72">
        <v>13114</v>
      </c>
      <c r="S45" s="73">
        <v>0</v>
      </c>
      <c r="T45" s="72">
        <v>19140</v>
      </c>
      <c r="U45" s="73">
        <v>0</v>
      </c>
      <c r="V45" s="72">
        <v>5188</v>
      </c>
      <c r="W45" s="73">
        <v>0</v>
      </c>
      <c r="X45" s="72">
        <v>10783</v>
      </c>
      <c r="Y45" s="73">
        <v>0</v>
      </c>
      <c r="Z45" s="72">
        <v>7520</v>
      </c>
      <c r="AA45" s="73">
        <v>0</v>
      </c>
      <c r="AB45" s="72">
        <v>10232</v>
      </c>
      <c r="AC45" s="73">
        <v>0</v>
      </c>
      <c r="AD45" s="72">
        <v>0</v>
      </c>
      <c r="AE45" s="73">
        <v>0</v>
      </c>
      <c r="AF45" s="72">
        <v>0</v>
      </c>
      <c r="AG45" s="88">
        <v>0</v>
      </c>
      <c r="AH45"/>
    </row>
    <row r="46" spans="1:34">
      <c r="B46" s="114">
        <v>27</v>
      </c>
      <c r="C46" s="117">
        <v>51</v>
      </c>
      <c r="D46" s="117" t="s">
        <v>21</v>
      </c>
      <c r="E46" s="117" t="s">
        <v>58</v>
      </c>
      <c r="F46" s="117" t="s">
        <v>23</v>
      </c>
      <c r="G46" s="117" t="s">
        <v>45</v>
      </c>
      <c r="H46" s="117" t="s">
        <v>46</v>
      </c>
      <c r="I46" s="120" t="s">
        <v>46</v>
      </c>
      <c r="J46" s="84">
        <v>0</v>
      </c>
      <c r="K46" s="73">
        <v>0</v>
      </c>
      <c r="L46" s="72">
        <v>0</v>
      </c>
      <c r="M46" s="73">
        <v>0</v>
      </c>
      <c r="N46" s="72">
        <v>0</v>
      </c>
      <c r="O46" s="73">
        <v>0</v>
      </c>
      <c r="P46" s="72">
        <v>0</v>
      </c>
      <c r="Q46" s="73">
        <v>0</v>
      </c>
      <c r="R46" s="72">
        <v>0</v>
      </c>
      <c r="S46" s="73">
        <v>0</v>
      </c>
      <c r="T46" s="72">
        <v>0</v>
      </c>
      <c r="U46" s="73">
        <v>0</v>
      </c>
      <c r="V46" s="72">
        <v>0</v>
      </c>
      <c r="W46" s="73">
        <v>0</v>
      </c>
      <c r="X46" s="72">
        <v>0</v>
      </c>
      <c r="Y46" s="73">
        <v>0</v>
      </c>
      <c r="Z46" s="72">
        <v>2100</v>
      </c>
      <c r="AA46" s="73">
        <v>0</v>
      </c>
      <c r="AB46" s="72">
        <v>1074</v>
      </c>
      <c r="AC46" s="73">
        <v>0</v>
      </c>
      <c r="AD46" s="72">
        <v>0</v>
      </c>
      <c r="AE46" s="73">
        <v>0</v>
      </c>
      <c r="AF46" s="72">
        <v>0</v>
      </c>
      <c r="AG46" s="88">
        <v>0</v>
      </c>
      <c r="AH46"/>
    </row>
    <row r="47" spans="1:34">
      <c r="B47" s="114">
        <v>28</v>
      </c>
      <c r="C47" s="117">
        <v>51</v>
      </c>
      <c r="D47" s="117" t="s">
        <v>21</v>
      </c>
      <c r="E47" s="117" t="s">
        <v>58</v>
      </c>
      <c r="F47" s="117" t="s">
        <v>23</v>
      </c>
      <c r="G47" s="117" t="s">
        <v>64</v>
      </c>
      <c r="H47" s="117" t="s">
        <v>65</v>
      </c>
      <c r="I47" s="120" t="s">
        <v>65</v>
      </c>
      <c r="J47" s="84">
        <v>3654</v>
      </c>
      <c r="K47" s="73">
        <v>0</v>
      </c>
      <c r="L47" s="72">
        <v>0</v>
      </c>
      <c r="M47" s="73">
        <v>0</v>
      </c>
      <c r="N47" s="72">
        <v>0</v>
      </c>
      <c r="O47" s="73">
        <v>0</v>
      </c>
      <c r="P47" s="72">
        <v>9726</v>
      </c>
      <c r="Q47" s="73">
        <v>0</v>
      </c>
      <c r="R47" s="72">
        <v>9366</v>
      </c>
      <c r="S47" s="73">
        <v>0</v>
      </c>
      <c r="T47" s="72">
        <v>4887</v>
      </c>
      <c r="U47" s="73">
        <v>0</v>
      </c>
      <c r="V47" s="72">
        <v>12708</v>
      </c>
      <c r="W47" s="73">
        <v>0</v>
      </c>
      <c r="X47" s="72">
        <v>10690</v>
      </c>
      <c r="Y47" s="73">
        <v>0</v>
      </c>
      <c r="Z47" s="72">
        <v>3732</v>
      </c>
      <c r="AA47" s="73">
        <v>0</v>
      </c>
      <c r="AB47" s="72">
        <v>0</v>
      </c>
      <c r="AC47" s="73">
        <v>0</v>
      </c>
      <c r="AD47" s="72">
        <v>0</v>
      </c>
      <c r="AE47" s="73">
        <v>0</v>
      </c>
      <c r="AF47" s="72">
        <v>0</v>
      </c>
      <c r="AG47" s="88">
        <v>0</v>
      </c>
      <c r="AH47"/>
    </row>
    <row r="48" spans="1:34">
      <c r="B48" s="114">
        <v>29</v>
      </c>
      <c r="C48" s="117">
        <v>51</v>
      </c>
      <c r="D48" s="117" t="s">
        <v>21</v>
      </c>
      <c r="E48" s="117" t="s">
        <v>58</v>
      </c>
      <c r="F48" s="117" t="s">
        <v>23</v>
      </c>
      <c r="G48" s="117" t="s">
        <v>66</v>
      </c>
      <c r="H48" s="117" t="s">
        <v>67</v>
      </c>
      <c r="I48" s="120" t="s">
        <v>67</v>
      </c>
      <c r="J48" s="84">
        <v>0</v>
      </c>
      <c r="K48" s="73">
        <v>0</v>
      </c>
      <c r="L48" s="72">
        <v>0</v>
      </c>
      <c r="M48" s="73">
        <v>0</v>
      </c>
      <c r="N48" s="72">
        <v>0</v>
      </c>
      <c r="O48" s="73">
        <v>0</v>
      </c>
      <c r="P48" s="72">
        <v>0</v>
      </c>
      <c r="Q48" s="73">
        <v>0</v>
      </c>
      <c r="R48" s="72">
        <v>0</v>
      </c>
      <c r="S48" s="73">
        <v>0</v>
      </c>
      <c r="T48" s="72">
        <v>1163</v>
      </c>
      <c r="U48" s="73">
        <v>0</v>
      </c>
      <c r="V48" s="72">
        <v>1672</v>
      </c>
      <c r="W48" s="73">
        <v>0</v>
      </c>
      <c r="X48" s="72">
        <v>2413</v>
      </c>
      <c r="Y48" s="73">
        <v>0</v>
      </c>
      <c r="Z48" s="72">
        <v>0</v>
      </c>
      <c r="AA48" s="73">
        <v>0</v>
      </c>
      <c r="AB48" s="72">
        <v>0</v>
      </c>
      <c r="AC48" s="73">
        <v>0</v>
      </c>
      <c r="AD48" s="72">
        <v>0</v>
      </c>
      <c r="AE48" s="73">
        <v>0</v>
      </c>
      <c r="AF48" s="72">
        <v>0</v>
      </c>
      <c r="AG48" s="88">
        <v>0</v>
      </c>
      <c r="AH48"/>
    </row>
    <row r="49" spans="1:34">
      <c r="B49" s="114">
        <v>30</v>
      </c>
      <c r="C49" s="117">
        <v>51</v>
      </c>
      <c r="D49" s="117" t="s">
        <v>21</v>
      </c>
      <c r="E49" s="117" t="s">
        <v>58</v>
      </c>
      <c r="F49" s="117" t="s">
        <v>23</v>
      </c>
      <c r="G49" s="117" t="s">
        <v>41</v>
      </c>
      <c r="H49" s="117" t="s">
        <v>42</v>
      </c>
      <c r="I49" s="120" t="s">
        <v>42</v>
      </c>
      <c r="J49" s="84">
        <v>0</v>
      </c>
      <c r="K49" s="73">
        <v>0</v>
      </c>
      <c r="L49" s="72">
        <v>0</v>
      </c>
      <c r="M49" s="73">
        <v>0</v>
      </c>
      <c r="N49" s="72">
        <v>0</v>
      </c>
      <c r="O49" s="73">
        <v>0</v>
      </c>
      <c r="P49" s="72">
        <v>0</v>
      </c>
      <c r="Q49" s="73">
        <v>0</v>
      </c>
      <c r="R49" s="72">
        <v>0</v>
      </c>
      <c r="S49" s="73">
        <v>0</v>
      </c>
      <c r="T49" s="72">
        <v>0</v>
      </c>
      <c r="U49" s="73">
        <v>0</v>
      </c>
      <c r="V49" s="72">
        <v>0</v>
      </c>
      <c r="W49" s="73">
        <v>0</v>
      </c>
      <c r="X49" s="72">
        <v>0</v>
      </c>
      <c r="Y49" s="73">
        <v>0</v>
      </c>
      <c r="Z49" s="72">
        <v>1052</v>
      </c>
      <c r="AA49" s="73">
        <v>0</v>
      </c>
      <c r="AB49" s="72">
        <v>0</v>
      </c>
      <c r="AC49" s="73">
        <v>0</v>
      </c>
      <c r="AD49" s="72">
        <v>0</v>
      </c>
      <c r="AE49" s="73">
        <v>0</v>
      </c>
      <c r="AF49" s="72">
        <v>0</v>
      </c>
      <c r="AG49" s="88">
        <v>0</v>
      </c>
      <c r="AH49"/>
    </row>
    <row r="50" spans="1:34">
      <c r="B50" s="114">
        <v>31</v>
      </c>
      <c r="C50" s="117">
        <v>51</v>
      </c>
      <c r="D50" s="117" t="s">
        <v>21</v>
      </c>
      <c r="E50" s="117" t="s">
        <v>58</v>
      </c>
      <c r="F50" s="117" t="s">
        <v>23</v>
      </c>
      <c r="G50" s="117" t="s">
        <v>61</v>
      </c>
      <c r="H50" s="117" t="s">
        <v>62</v>
      </c>
      <c r="I50" s="120" t="s">
        <v>63</v>
      </c>
      <c r="J50" s="84">
        <v>0</v>
      </c>
      <c r="K50" s="73">
        <v>0</v>
      </c>
      <c r="L50" s="72">
        <v>0</v>
      </c>
      <c r="M50" s="73">
        <v>0</v>
      </c>
      <c r="N50" s="72">
        <v>0</v>
      </c>
      <c r="O50" s="73">
        <v>0</v>
      </c>
      <c r="P50" s="72">
        <v>0</v>
      </c>
      <c r="Q50" s="73">
        <v>0</v>
      </c>
      <c r="R50" s="72">
        <v>0</v>
      </c>
      <c r="S50" s="73">
        <v>0</v>
      </c>
      <c r="T50" s="72">
        <v>0</v>
      </c>
      <c r="U50" s="73">
        <v>0</v>
      </c>
      <c r="V50" s="72">
        <v>242</v>
      </c>
      <c r="W50" s="73">
        <v>0</v>
      </c>
      <c r="X50" s="72">
        <v>0</v>
      </c>
      <c r="Y50" s="73">
        <v>0</v>
      </c>
      <c r="Z50" s="72">
        <v>0</v>
      </c>
      <c r="AA50" s="73">
        <v>0</v>
      </c>
      <c r="AB50" s="72">
        <v>0</v>
      </c>
      <c r="AC50" s="73">
        <v>0</v>
      </c>
      <c r="AD50" s="72">
        <v>0</v>
      </c>
      <c r="AE50" s="73">
        <v>0</v>
      </c>
      <c r="AF50" s="72">
        <v>0</v>
      </c>
      <c r="AG50" s="88">
        <v>0</v>
      </c>
      <c r="AH50"/>
    </row>
    <row r="51" spans="1:34">
      <c r="B51" s="114">
        <v>32</v>
      </c>
      <c r="C51" s="117">
        <v>51</v>
      </c>
      <c r="D51" s="117" t="s">
        <v>21</v>
      </c>
      <c r="E51" s="117" t="s">
        <v>58</v>
      </c>
      <c r="F51" s="117" t="s">
        <v>23</v>
      </c>
      <c r="G51" s="117" t="s">
        <v>79</v>
      </c>
      <c r="H51" s="117" t="s">
        <v>80</v>
      </c>
      <c r="I51" s="120" t="s">
        <v>80</v>
      </c>
      <c r="J51" s="84">
        <v>1169</v>
      </c>
      <c r="K51" s="73">
        <v>0</v>
      </c>
      <c r="L51" s="72">
        <v>1169</v>
      </c>
      <c r="M51" s="73">
        <v>0</v>
      </c>
      <c r="N51" s="72">
        <v>0</v>
      </c>
      <c r="O51" s="73">
        <v>0</v>
      </c>
      <c r="P51" s="72">
        <v>1169</v>
      </c>
      <c r="Q51" s="73">
        <v>0</v>
      </c>
      <c r="R51" s="72">
        <v>0</v>
      </c>
      <c r="S51" s="73">
        <v>0</v>
      </c>
      <c r="T51" s="72">
        <v>1110</v>
      </c>
      <c r="U51" s="73">
        <v>0</v>
      </c>
      <c r="V51" s="72">
        <v>0</v>
      </c>
      <c r="W51" s="73">
        <v>0</v>
      </c>
      <c r="X51" s="72">
        <v>0</v>
      </c>
      <c r="Y51" s="73">
        <v>0</v>
      </c>
      <c r="Z51" s="72">
        <v>0</v>
      </c>
      <c r="AA51" s="73">
        <v>0</v>
      </c>
      <c r="AB51" s="72">
        <v>0</v>
      </c>
      <c r="AC51" s="73">
        <v>0</v>
      </c>
      <c r="AD51" s="72">
        <v>0</v>
      </c>
      <c r="AE51" s="73">
        <v>0</v>
      </c>
      <c r="AF51" s="72">
        <v>0</v>
      </c>
      <c r="AG51" s="88">
        <v>0</v>
      </c>
      <c r="AH51"/>
    </row>
    <row r="52" spans="1:34">
      <c r="B52" s="114">
        <v>33</v>
      </c>
      <c r="C52" s="117">
        <v>51</v>
      </c>
      <c r="D52" s="117" t="s">
        <v>21</v>
      </c>
      <c r="E52" s="117" t="s">
        <v>58</v>
      </c>
      <c r="F52" s="117" t="s">
        <v>23</v>
      </c>
      <c r="G52" s="117" t="s">
        <v>37</v>
      </c>
      <c r="H52" s="117" t="s">
        <v>38</v>
      </c>
      <c r="I52" s="120" t="s">
        <v>38</v>
      </c>
      <c r="J52" s="84">
        <v>0</v>
      </c>
      <c r="K52" s="73">
        <v>0</v>
      </c>
      <c r="L52" s="72">
        <v>0</v>
      </c>
      <c r="M52" s="73">
        <v>0</v>
      </c>
      <c r="N52" s="72">
        <v>0</v>
      </c>
      <c r="O52" s="73">
        <v>0</v>
      </c>
      <c r="P52" s="72">
        <v>0</v>
      </c>
      <c r="Q52" s="73">
        <v>0</v>
      </c>
      <c r="R52" s="72">
        <v>0</v>
      </c>
      <c r="S52" s="73">
        <v>0</v>
      </c>
      <c r="T52" s="72">
        <v>0</v>
      </c>
      <c r="U52" s="73">
        <v>0</v>
      </c>
      <c r="V52" s="72">
        <v>0</v>
      </c>
      <c r="W52" s="73">
        <v>0</v>
      </c>
      <c r="X52" s="72">
        <v>0</v>
      </c>
      <c r="Y52" s="73">
        <v>0</v>
      </c>
      <c r="Z52" s="72">
        <v>98</v>
      </c>
      <c r="AA52" s="73">
        <v>0</v>
      </c>
      <c r="AB52" s="72">
        <v>0</v>
      </c>
      <c r="AC52" s="73">
        <v>0</v>
      </c>
      <c r="AD52" s="72">
        <v>0</v>
      </c>
      <c r="AE52" s="73">
        <v>0</v>
      </c>
      <c r="AF52" s="72">
        <v>0</v>
      </c>
      <c r="AG52" s="88">
        <v>0</v>
      </c>
      <c r="AH52"/>
    </row>
    <row r="53" spans="1:34">
      <c r="B53" s="114">
        <v>34</v>
      </c>
      <c r="C53" s="117">
        <v>51</v>
      </c>
      <c r="D53" s="117" t="s">
        <v>21</v>
      </c>
      <c r="E53" s="117" t="s">
        <v>58</v>
      </c>
      <c r="F53" s="117" t="s">
        <v>23</v>
      </c>
      <c r="G53" s="117" t="s">
        <v>51</v>
      </c>
      <c r="H53" s="117" t="s">
        <v>52</v>
      </c>
      <c r="I53" s="120" t="s">
        <v>52</v>
      </c>
      <c r="J53" s="84">
        <v>0</v>
      </c>
      <c r="K53" s="73">
        <v>0</v>
      </c>
      <c r="L53" s="72">
        <v>0</v>
      </c>
      <c r="M53" s="73">
        <v>0</v>
      </c>
      <c r="N53" s="72">
        <v>0</v>
      </c>
      <c r="O53" s="73">
        <v>0</v>
      </c>
      <c r="P53" s="72">
        <v>0</v>
      </c>
      <c r="Q53" s="73">
        <v>0</v>
      </c>
      <c r="R53" s="72">
        <v>0</v>
      </c>
      <c r="S53" s="73">
        <v>0</v>
      </c>
      <c r="T53" s="72">
        <v>0</v>
      </c>
      <c r="U53" s="73">
        <v>0</v>
      </c>
      <c r="V53" s="72">
        <v>0</v>
      </c>
      <c r="W53" s="73">
        <v>0</v>
      </c>
      <c r="X53" s="72">
        <v>0</v>
      </c>
      <c r="Y53" s="73">
        <v>0</v>
      </c>
      <c r="Z53" s="72">
        <v>944</v>
      </c>
      <c r="AA53" s="73">
        <v>0</v>
      </c>
      <c r="AB53" s="72">
        <v>0</v>
      </c>
      <c r="AC53" s="73">
        <v>0</v>
      </c>
      <c r="AD53" s="72">
        <v>0</v>
      </c>
      <c r="AE53" s="73">
        <v>0</v>
      </c>
      <c r="AF53" s="72">
        <v>0</v>
      </c>
      <c r="AG53" s="88">
        <v>0</v>
      </c>
      <c r="AH53"/>
    </row>
    <row r="54" spans="1:34">
      <c r="B54" s="114">
        <v>35</v>
      </c>
      <c r="C54" s="117">
        <v>51</v>
      </c>
      <c r="D54" s="117" t="s">
        <v>21</v>
      </c>
      <c r="E54" s="117" t="s">
        <v>58</v>
      </c>
      <c r="F54" s="117" t="s">
        <v>23</v>
      </c>
      <c r="G54" s="117" t="s">
        <v>89</v>
      </c>
      <c r="H54" s="117" t="s">
        <v>90</v>
      </c>
      <c r="I54" s="120" t="s">
        <v>90</v>
      </c>
      <c r="J54" s="84">
        <v>0</v>
      </c>
      <c r="K54" s="73">
        <v>0</v>
      </c>
      <c r="L54" s="72">
        <v>3780</v>
      </c>
      <c r="M54" s="73">
        <v>0</v>
      </c>
      <c r="N54" s="72">
        <v>1800</v>
      </c>
      <c r="O54" s="73">
        <v>0</v>
      </c>
      <c r="P54" s="72">
        <v>1256</v>
      </c>
      <c r="Q54" s="73">
        <v>0</v>
      </c>
      <c r="R54" s="72">
        <v>1264</v>
      </c>
      <c r="S54" s="73">
        <v>0</v>
      </c>
      <c r="T54" s="72">
        <v>1440</v>
      </c>
      <c r="U54" s="73">
        <v>0</v>
      </c>
      <c r="V54" s="72">
        <v>2250</v>
      </c>
      <c r="W54" s="73">
        <v>0</v>
      </c>
      <c r="X54" s="72">
        <v>2520</v>
      </c>
      <c r="Y54" s="73">
        <v>0</v>
      </c>
      <c r="Z54" s="72">
        <v>0</v>
      </c>
      <c r="AA54" s="73">
        <v>0</v>
      </c>
      <c r="AB54" s="72">
        <v>0</v>
      </c>
      <c r="AC54" s="73">
        <v>0</v>
      </c>
      <c r="AD54" s="72">
        <v>0</v>
      </c>
      <c r="AE54" s="73">
        <v>0</v>
      </c>
      <c r="AF54" s="72">
        <v>0</v>
      </c>
      <c r="AG54" s="88">
        <v>0</v>
      </c>
      <c r="AH54"/>
    </row>
    <row r="55" spans="1:34">
      <c r="B55" s="114">
        <v>36</v>
      </c>
      <c r="C55" s="117">
        <v>51</v>
      </c>
      <c r="D55" s="117" t="s">
        <v>21</v>
      </c>
      <c r="E55" s="117" t="s">
        <v>58</v>
      </c>
      <c r="F55" s="117" t="s">
        <v>23</v>
      </c>
      <c r="G55" s="117" t="s">
        <v>77</v>
      </c>
      <c r="H55" s="117" t="s">
        <v>78</v>
      </c>
      <c r="I55" s="120" t="s">
        <v>78</v>
      </c>
      <c r="J55" s="84">
        <v>0</v>
      </c>
      <c r="K55" s="73">
        <v>0</v>
      </c>
      <c r="L55" s="72">
        <v>0</v>
      </c>
      <c r="M55" s="73">
        <v>0</v>
      </c>
      <c r="N55" s="72">
        <v>1125</v>
      </c>
      <c r="O55" s="73">
        <v>0</v>
      </c>
      <c r="P55" s="72">
        <v>0</v>
      </c>
      <c r="Q55" s="73">
        <v>0</v>
      </c>
      <c r="R55" s="72">
        <v>0</v>
      </c>
      <c r="S55" s="73">
        <v>0</v>
      </c>
      <c r="T55" s="72">
        <v>0</v>
      </c>
      <c r="U55" s="73">
        <v>0</v>
      </c>
      <c r="V55" s="72">
        <v>0</v>
      </c>
      <c r="W55" s="73">
        <v>0</v>
      </c>
      <c r="X55" s="72">
        <v>1440</v>
      </c>
      <c r="Y55" s="73">
        <v>0</v>
      </c>
      <c r="Z55" s="72">
        <v>1080</v>
      </c>
      <c r="AA55" s="73">
        <v>0</v>
      </c>
      <c r="AB55" s="72">
        <v>0</v>
      </c>
      <c r="AC55" s="73">
        <v>0</v>
      </c>
      <c r="AD55" s="72">
        <v>0</v>
      </c>
      <c r="AE55" s="73">
        <v>0</v>
      </c>
      <c r="AF55" s="72">
        <v>0</v>
      </c>
      <c r="AG55" s="88">
        <v>0</v>
      </c>
      <c r="AH55"/>
    </row>
    <row r="56" spans="1:34">
      <c r="B56" s="114">
        <v>37</v>
      </c>
      <c r="C56" s="117">
        <v>51</v>
      </c>
      <c r="D56" s="117" t="s">
        <v>21</v>
      </c>
      <c r="E56" s="117" t="s">
        <v>58</v>
      </c>
      <c r="F56" s="117" t="s">
        <v>23</v>
      </c>
      <c r="G56" s="117" t="s">
        <v>47</v>
      </c>
      <c r="H56" s="117" t="s">
        <v>48</v>
      </c>
      <c r="I56" s="120" t="s">
        <v>48</v>
      </c>
      <c r="J56" s="84">
        <v>0</v>
      </c>
      <c r="K56" s="73">
        <v>0</v>
      </c>
      <c r="L56" s="72">
        <v>8640</v>
      </c>
      <c r="M56" s="73">
        <v>0</v>
      </c>
      <c r="N56" s="72">
        <v>0</v>
      </c>
      <c r="O56" s="73">
        <v>0</v>
      </c>
      <c r="P56" s="72">
        <v>4700</v>
      </c>
      <c r="Q56" s="73">
        <v>0</v>
      </c>
      <c r="R56" s="72">
        <v>0</v>
      </c>
      <c r="S56" s="73">
        <v>0</v>
      </c>
      <c r="T56" s="72">
        <v>0</v>
      </c>
      <c r="U56" s="73">
        <v>0</v>
      </c>
      <c r="V56" s="72">
        <v>0</v>
      </c>
      <c r="W56" s="73">
        <v>0</v>
      </c>
      <c r="X56" s="72">
        <v>2057</v>
      </c>
      <c r="Y56" s="73">
        <v>0</v>
      </c>
      <c r="Z56" s="72">
        <v>0</v>
      </c>
      <c r="AA56" s="73">
        <v>0</v>
      </c>
      <c r="AB56" s="72">
        <v>0</v>
      </c>
      <c r="AC56" s="73">
        <v>0</v>
      </c>
      <c r="AD56" s="72">
        <v>0</v>
      </c>
      <c r="AE56" s="73">
        <v>0</v>
      </c>
      <c r="AF56" s="72">
        <v>0</v>
      </c>
      <c r="AG56" s="88">
        <v>0</v>
      </c>
      <c r="AH56"/>
    </row>
    <row r="57" spans="1:34">
      <c r="B57" s="114">
        <v>38</v>
      </c>
      <c r="C57" s="117">
        <v>51</v>
      </c>
      <c r="D57" s="117" t="s">
        <v>21</v>
      </c>
      <c r="E57" s="117" t="s">
        <v>58</v>
      </c>
      <c r="F57" s="117" t="s">
        <v>23</v>
      </c>
      <c r="G57" s="117" t="s">
        <v>33</v>
      </c>
      <c r="H57" s="117" t="s">
        <v>34</v>
      </c>
      <c r="I57" s="120" t="s">
        <v>34</v>
      </c>
      <c r="J57" s="84">
        <v>0</v>
      </c>
      <c r="K57" s="73">
        <v>0</v>
      </c>
      <c r="L57" s="72">
        <v>8833</v>
      </c>
      <c r="M57" s="73">
        <v>0</v>
      </c>
      <c r="N57" s="72">
        <v>0</v>
      </c>
      <c r="O57" s="73">
        <v>0</v>
      </c>
      <c r="P57" s="72">
        <v>0</v>
      </c>
      <c r="Q57" s="73">
        <v>0</v>
      </c>
      <c r="R57" s="72">
        <v>0</v>
      </c>
      <c r="S57" s="73">
        <v>0</v>
      </c>
      <c r="T57" s="72">
        <v>0</v>
      </c>
      <c r="U57" s="73">
        <v>0</v>
      </c>
      <c r="V57" s="72">
        <v>0</v>
      </c>
      <c r="W57" s="73">
        <v>0</v>
      </c>
      <c r="X57" s="72">
        <v>0</v>
      </c>
      <c r="Y57" s="73">
        <v>0</v>
      </c>
      <c r="Z57" s="72">
        <v>0</v>
      </c>
      <c r="AA57" s="73">
        <v>0</v>
      </c>
      <c r="AB57" s="72">
        <v>0</v>
      </c>
      <c r="AC57" s="73">
        <v>0</v>
      </c>
      <c r="AD57" s="72">
        <v>0</v>
      </c>
      <c r="AE57" s="73">
        <v>0</v>
      </c>
      <c r="AF57" s="72">
        <v>0</v>
      </c>
      <c r="AG57" s="88">
        <v>0</v>
      </c>
      <c r="AH57"/>
    </row>
    <row r="58" spans="1:34">
      <c r="B58" s="114">
        <v>39</v>
      </c>
      <c r="C58" s="117">
        <v>51</v>
      </c>
      <c r="D58" s="117" t="s">
        <v>21</v>
      </c>
      <c r="E58" s="117" t="s">
        <v>58</v>
      </c>
      <c r="F58" s="117" t="s">
        <v>23</v>
      </c>
      <c r="G58" s="117" t="s">
        <v>59</v>
      </c>
      <c r="H58" s="117" t="s">
        <v>60</v>
      </c>
      <c r="I58" s="120" t="s">
        <v>60</v>
      </c>
      <c r="J58" s="84">
        <v>2900</v>
      </c>
      <c r="K58" s="73">
        <v>0</v>
      </c>
      <c r="L58" s="72">
        <v>2353</v>
      </c>
      <c r="M58" s="73">
        <v>0</v>
      </c>
      <c r="N58" s="72">
        <v>5220</v>
      </c>
      <c r="O58" s="73">
        <v>0</v>
      </c>
      <c r="P58" s="72">
        <v>0</v>
      </c>
      <c r="Q58" s="73">
        <v>0</v>
      </c>
      <c r="R58" s="72">
        <v>80</v>
      </c>
      <c r="S58" s="73">
        <v>0</v>
      </c>
      <c r="T58" s="72">
        <v>4355</v>
      </c>
      <c r="U58" s="73">
        <v>0</v>
      </c>
      <c r="V58" s="72">
        <v>3750</v>
      </c>
      <c r="W58" s="73">
        <v>0</v>
      </c>
      <c r="X58" s="72">
        <v>1304</v>
      </c>
      <c r="Y58" s="73">
        <v>0</v>
      </c>
      <c r="Z58" s="72">
        <v>3344</v>
      </c>
      <c r="AA58" s="73">
        <v>0</v>
      </c>
      <c r="AB58" s="72">
        <v>0</v>
      </c>
      <c r="AC58" s="73">
        <v>0</v>
      </c>
      <c r="AD58" s="72">
        <v>0</v>
      </c>
      <c r="AE58" s="73">
        <v>0</v>
      </c>
      <c r="AF58" s="72">
        <v>0</v>
      </c>
      <c r="AG58" s="88">
        <v>0</v>
      </c>
      <c r="AH58"/>
    </row>
    <row r="59" spans="1:34">
      <c r="B59" s="114">
        <v>40</v>
      </c>
      <c r="C59" s="117">
        <v>51</v>
      </c>
      <c r="D59" s="117" t="s">
        <v>21</v>
      </c>
      <c r="E59" s="117" t="s">
        <v>58</v>
      </c>
      <c r="F59" s="117" t="s">
        <v>23</v>
      </c>
      <c r="G59" s="117" t="s">
        <v>86</v>
      </c>
      <c r="H59" s="117" t="s">
        <v>87</v>
      </c>
      <c r="I59" s="120" t="s">
        <v>88</v>
      </c>
      <c r="J59" s="84">
        <v>0</v>
      </c>
      <c r="K59" s="73">
        <v>0</v>
      </c>
      <c r="L59" s="72">
        <v>0</v>
      </c>
      <c r="M59" s="73">
        <v>0</v>
      </c>
      <c r="N59" s="72">
        <v>0</v>
      </c>
      <c r="O59" s="73">
        <v>0</v>
      </c>
      <c r="P59" s="72">
        <v>0</v>
      </c>
      <c r="Q59" s="73">
        <v>0</v>
      </c>
      <c r="R59" s="72">
        <v>0</v>
      </c>
      <c r="S59" s="73">
        <v>0</v>
      </c>
      <c r="T59" s="72">
        <v>0</v>
      </c>
      <c r="U59" s="73">
        <v>0</v>
      </c>
      <c r="V59" s="72">
        <v>0</v>
      </c>
      <c r="W59" s="73">
        <v>0</v>
      </c>
      <c r="X59" s="72">
        <v>0</v>
      </c>
      <c r="Y59" s="73">
        <v>0</v>
      </c>
      <c r="Z59" s="72">
        <v>0</v>
      </c>
      <c r="AA59" s="73">
        <v>0</v>
      </c>
      <c r="AB59" s="72">
        <v>2419</v>
      </c>
      <c r="AC59" s="73">
        <v>0</v>
      </c>
      <c r="AD59" s="72">
        <v>0</v>
      </c>
      <c r="AE59" s="73">
        <v>0</v>
      </c>
      <c r="AF59" s="72">
        <v>0</v>
      </c>
      <c r="AG59" s="88">
        <v>0</v>
      </c>
      <c r="AH59"/>
    </row>
    <row r="60" spans="1:34">
      <c r="B60" s="114">
        <v>41</v>
      </c>
      <c r="C60" s="117">
        <v>51</v>
      </c>
      <c r="D60" s="117" t="s">
        <v>21</v>
      </c>
      <c r="E60" s="117" t="s">
        <v>58</v>
      </c>
      <c r="F60" s="117" t="s">
        <v>23</v>
      </c>
      <c r="G60" s="117" t="s">
        <v>73</v>
      </c>
      <c r="H60" s="117" t="s">
        <v>25</v>
      </c>
      <c r="I60" s="120" t="s">
        <v>74</v>
      </c>
      <c r="J60" s="84">
        <v>0</v>
      </c>
      <c r="K60" s="73">
        <v>0</v>
      </c>
      <c r="L60" s="72">
        <v>0</v>
      </c>
      <c r="M60" s="73">
        <v>0</v>
      </c>
      <c r="N60" s="72">
        <v>0</v>
      </c>
      <c r="O60" s="73">
        <v>0</v>
      </c>
      <c r="P60" s="72">
        <v>0</v>
      </c>
      <c r="Q60" s="73">
        <v>0</v>
      </c>
      <c r="R60" s="72">
        <v>0</v>
      </c>
      <c r="S60" s="73">
        <v>0</v>
      </c>
      <c r="T60" s="72">
        <v>0</v>
      </c>
      <c r="U60" s="73">
        <v>0</v>
      </c>
      <c r="V60" s="72">
        <v>0</v>
      </c>
      <c r="W60" s="73">
        <v>0</v>
      </c>
      <c r="X60" s="72">
        <v>0</v>
      </c>
      <c r="Y60" s="73">
        <v>0</v>
      </c>
      <c r="Z60" s="72">
        <v>0</v>
      </c>
      <c r="AA60" s="73">
        <v>0</v>
      </c>
      <c r="AB60" s="72">
        <v>0</v>
      </c>
      <c r="AC60" s="73">
        <v>0</v>
      </c>
      <c r="AD60" s="72">
        <v>0</v>
      </c>
      <c r="AE60" s="73">
        <v>0</v>
      </c>
      <c r="AF60" s="72">
        <v>0</v>
      </c>
      <c r="AG60" s="88">
        <v>0</v>
      </c>
      <c r="AH60"/>
    </row>
    <row r="61" spans="1:34">
      <c r="B61" s="114">
        <v>42</v>
      </c>
      <c r="C61" s="117">
        <v>51</v>
      </c>
      <c r="D61" s="117" t="s">
        <v>21</v>
      </c>
      <c r="E61" s="117" t="s">
        <v>58</v>
      </c>
      <c r="F61" s="117" t="s">
        <v>23</v>
      </c>
      <c r="G61" s="117" t="s">
        <v>96</v>
      </c>
      <c r="H61" s="117" t="s">
        <v>97</v>
      </c>
      <c r="I61" s="120" t="s">
        <v>97</v>
      </c>
      <c r="J61" s="84">
        <v>1286</v>
      </c>
      <c r="K61" s="73">
        <v>0</v>
      </c>
      <c r="L61" s="72">
        <v>0</v>
      </c>
      <c r="M61" s="73">
        <v>0</v>
      </c>
      <c r="N61" s="72">
        <v>1080</v>
      </c>
      <c r="O61" s="73">
        <v>0</v>
      </c>
      <c r="P61" s="72">
        <v>0</v>
      </c>
      <c r="Q61" s="73">
        <v>0</v>
      </c>
      <c r="R61" s="72">
        <v>0</v>
      </c>
      <c r="S61" s="73">
        <v>0</v>
      </c>
      <c r="T61" s="72">
        <v>0</v>
      </c>
      <c r="U61" s="73">
        <v>0</v>
      </c>
      <c r="V61" s="72">
        <v>0</v>
      </c>
      <c r="W61" s="73">
        <v>0</v>
      </c>
      <c r="X61" s="72">
        <v>514</v>
      </c>
      <c r="Y61" s="73">
        <v>0</v>
      </c>
      <c r="Z61" s="72">
        <v>417</v>
      </c>
      <c r="AA61" s="73">
        <v>0</v>
      </c>
      <c r="AB61" s="72">
        <v>206</v>
      </c>
      <c r="AC61" s="73">
        <v>0</v>
      </c>
      <c r="AD61" s="72">
        <v>0</v>
      </c>
      <c r="AE61" s="73">
        <v>0</v>
      </c>
      <c r="AF61" s="72">
        <v>0</v>
      </c>
      <c r="AG61" s="88">
        <v>0</v>
      </c>
      <c r="AH61"/>
    </row>
    <row r="62" spans="1:34">
      <c r="B62" s="114">
        <v>43</v>
      </c>
      <c r="C62" s="117">
        <v>51</v>
      </c>
      <c r="D62" s="117" t="s">
        <v>21</v>
      </c>
      <c r="E62" s="117" t="s">
        <v>58</v>
      </c>
      <c r="F62" s="117" t="s">
        <v>23</v>
      </c>
      <c r="G62" s="117" t="s">
        <v>72</v>
      </c>
      <c r="H62" s="117" t="s">
        <v>30</v>
      </c>
      <c r="I62" s="120" t="s">
        <v>30</v>
      </c>
      <c r="J62" s="84">
        <v>0</v>
      </c>
      <c r="K62" s="73">
        <v>0</v>
      </c>
      <c r="L62" s="72">
        <v>0</v>
      </c>
      <c r="M62" s="73">
        <v>0</v>
      </c>
      <c r="N62" s="72">
        <v>0</v>
      </c>
      <c r="O62" s="73">
        <v>0</v>
      </c>
      <c r="P62" s="72">
        <v>0</v>
      </c>
      <c r="Q62" s="73">
        <v>0</v>
      </c>
      <c r="R62" s="72">
        <v>0</v>
      </c>
      <c r="S62" s="73">
        <v>0</v>
      </c>
      <c r="T62" s="72">
        <v>0</v>
      </c>
      <c r="U62" s="73">
        <v>0</v>
      </c>
      <c r="V62" s="72">
        <v>0</v>
      </c>
      <c r="W62" s="73">
        <v>0</v>
      </c>
      <c r="X62" s="72">
        <v>0</v>
      </c>
      <c r="Y62" s="73">
        <v>0</v>
      </c>
      <c r="Z62" s="72">
        <v>0</v>
      </c>
      <c r="AA62" s="73">
        <v>0</v>
      </c>
      <c r="AB62" s="72">
        <v>840</v>
      </c>
      <c r="AC62" s="73">
        <v>0</v>
      </c>
      <c r="AD62" s="72">
        <v>0</v>
      </c>
      <c r="AE62" s="73">
        <v>0</v>
      </c>
      <c r="AF62" s="72">
        <v>0</v>
      </c>
      <c r="AG62" s="88">
        <v>0</v>
      </c>
      <c r="AH62"/>
    </row>
    <row r="63" spans="1:34">
      <c r="B63" s="114">
        <v>44</v>
      </c>
      <c r="C63" s="117">
        <v>51</v>
      </c>
      <c r="D63" s="117" t="s">
        <v>21</v>
      </c>
      <c r="E63" s="117" t="s">
        <v>58</v>
      </c>
      <c r="F63" s="117" t="s">
        <v>23</v>
      </c>
      <c r="G63" s="117" t="s">
        <v>84</v>
      </c>
      <c r="H63" s="117" t="s">
        <v>85</v>
      </c>
      <c r="I63" s="120" t="s">
        <v>85</v>
      </c>
      <c r="J63" s="84">
        <v>14643</v>
      </c>
      <c r="K63" s="73">
        <v>0</v>
      </c>
      <c r="L63" s="72">
        <v>17088</v>
      </c>
      <c r="M63" s="73">
        <v>0</v>
      </c>
      <c r="N63" s="72">
        <v>18901</v>
      </c>
      <c r="O63" s="73">
        <v>0</v>
      </c>
      <c r="P63" s="72">
        <v>14701</v>
      </c>
      <c r="Q63" s="73">
        <v>0</v>
      </c>
      <c r="R63" s="72">
        <v>14693</v>
      </c>
      <c r="S63" s="73">
        <v>0</v>
      </c>
      <c r="T63" s="72">
        <v>10885</v>
      </c>
      <c r="U63" s="73">
        <v>0</v>
      </c>
      <c r="V63" s="72">
        <v>3307</v>
      </c>
      <c r="W63" s="73">
        <v>0</v>
      </c>
      <c r="X63" s="72">
        <v>4256</v>
      </c>
      <c r="Y63" s="73">
        <v>0</v>
      </c>
      <c r="Z63" s="72">
        <v>0</v>
      </c>
      <c r="AA63" s="73">
        <v>0</v>
      </c>
      <c r="AB63" s="72">
        <v>0</v>
      </c>
      <c r="AC63" s="73">
        <v>0</v>
      </c>
      <c r="AD63" s="72">
        <v>0</v>
      </c>
      <c r="AE63" s="73">
        <v>0</v>
      </c>
      <c r="AF63" s="72">
        <v>0</v>
      </c>
      <c r="AG63" s="88">
        <v>0</v>
      </c>
      <c r="AH63"/>
    </row>
    <row r="64" spans="1:34">
      <c r="B64" s="114">
        <v>45</v>
      </c>
      <c r="C64" s="117">
        <v>51</v>
      </c>
      <c r="D64" s="117" t="s">
        <v>21</v>
      </c>
      <c r="E64" s="117" t="s">
        <v>98</v>
      </c>
      <c r="F64" s="117" t="s">
        <v>23</v>
      </c>
      <c r="G64" s="117" t="s">
        <v>99</v>
      </c>
      <c r="H64" s="117" t="s">
        <v>100</v>
      </c>
      <c r="I64" s="120" t="s">
        <v>100</v>
      </c>
      <c r="J64" s="84">
        <v>0</v>
      </c>
      <c r="K64" s="73">
        <v>0</v>
      </c>
      <c r="L64" s="72">
        <v>0</v>
      </c>
      <c r="M64" s="73">
        <v>0</v>
      </c>
      <c r="N64" s="72">
        <v>0</v>
      </c>
      <c r="O64" s="73">
        <v>0</v>
      </c>
      <c r="P64" s="72">
        <v>0</v>
      </c>
      <c r="Q64" s="73">
        <v>0</v>
      </c>
      <c r="R64" s="72">
        <v>1779</v>
      </c>
      <c r="S64" s="73">
        <v>0</v>
      </c>
      <c r="T64" s="72">
        <v>0</v>
      </c>
      <c r="U64" s="73">
        <v>0</v>
      </c>
      <c r="V64" s="72">
        <v>1779</v>
      </c>
      <c r="W64" s="73">
        <v>0</v>
      </c>
      <c r="X64" s="72">
        <v>2408</v>
      </c>
      <c r="Y64" s="73">
        <v>0</v>
      </c>
      <c r="Z64" s="72">
        <v>0</v>
      </c>
      <c r="AA64" s="73">
        <v>0</v>
      </c>
      <c r="AB64" s="72">
        <v>0</v>
      </c>
      <c r="AC64" s="73">
        <v>0</v>
      </c>
      <c r="AD64" s="72">
        <v>0</v>
      </c>
      <c r="AE64" s="73">
        <v>0</v>
      </c>
      <c r="AF64" s="72">
        <v>0</v>
      </c>
      <c r="AG64" s="88">
        <v>0</v>
      </c>
      <c r="AH64"/>
    </row>
    <row r="65" spans="1:34">
      <c r="B65" s="114">
        <v>46</v>
      </c>
      <c r="C65" s="117">
        <v>51</v>
      </c>
      <c r="D65" s="117" t="s">
        <v>21</v>
      </c>
      <c r="E65" s="117" t="s">
        <v>98</v>
      </c>
      <c r="F65" s="117" t="s">
        <v>23</v>
      </c>
      <c r="G65" s="117" t="s">
        <v>66</v>
      </c>
      <c r="H65" s="117" t="s">
        <v>67</v>
      </c>
      <c r="I65" s="120" t="s">
        <v>67</v>
      </c>
      <c r="J65" s="84">
        <v>0</v>
      </c>
      <c r="K65" s="73">
        <v>0</v>
      </c>
      <c r="L65" s="72">
        <v>0</v>
      </c>
      <c r="M65" s="73">
        <v>0</v>
      </c>
      <c r="N65" s="72">
        <v>0</v>
      </c>
      <c r="O65" s="73">
        <v>0</v>
      </c>
      <c r="P65" s="72">
        <v>0</v>
      </c>
      <c r="Q65" s="73">
        <v>0</v>
      </c>
      <c r="R65" s="72">
        <v>1163</v>
      </c>
      <c r="S65" s="73">
        <v>0</v>
      </c>
      <c r="T65" s="72">
        <v>1463</v>
      </c>
      <c r="U65" s="73">
        <v>0</v>
      </c>
      <c r="V65" s="72">
        <v>0</v>
      </c>
      <c r="W65" s="73">
        <v>0</v>
      </c>
      <c r="X65" s="72">
        <v>0</v>
      </c>
      <c r="Y65" s="73">
        <v>0</v>
      </c>
      <c r="Z65" s="72">
        <v>1151</v>
      </c>
      <c r="AA65" s="73">
        <v>0</v>
      </c>
      <c r="AB65" s="72">
        <v>79</v>
      </c>
      <c r="AC65" s="73">
        <v>0</v>
      </c>
      <c r="AD65" s="72">
        <v>0</v>
      </c>
      <c r="AE65" s="73">
        <v>0</v>
      </c>
      <c r="AF65" s="72">
        <v>0</v>
      </c>
      <c r="AG65" s="88">
        <v>0</v>
      </c>
      <c r="AH65"/>
    </row>
    <row r="66" spans="1:34">
      <c r="B66" s="114">
        <v>47</v>
      </c>
      <c r="C66" s="117">
        <v>51</v>
      </c>
      <c r="D66" s="117" t="s">
        <v>21</v>
      </c>
      <c r="E66" s="117" t="s">
        <v>98</v>
      </c>
      <c r="F66" s="117" t="s">
        <v>23</v>
      </c>
      <c r="G66" s="117" t="s">
        <v>84</v>
      </c>
      <c r="H66" s="117" t="s">
        <v>85</v>
      </c>
      <c r="I66" s="120" t="s">
        <v>85</v>
      </c>
      <c r="J66" s="84">
        <v>0</v>
      </c>
      <c r="K66" s="73">
        <v>0</v>
      </c>
      <c r="L66" s="72">
        <v>0</v>
      </c>
      <c r="M66" s="73">
        <v>0</v>
      </c>
      <c r="N66" s="72">
        <v>468</v>
      </c>
      <c r="O66" s="73">
        <v>0</v>
      </c>
      <c r="P66" s="72">
        <v>2136</v>
      </c>
      <c r="Q66" s="73">
        <v>0</v>
      </c>
      <c r="R66" s="72">
        <v>1825</v>
      </c>
      <c r="S66" s="73">
        <v>0</v>
      </c>
      <c r="T66" s="72">
        <v>6716</v>
      </c>
      <c r="U66" s="73">
        <v>0</v>
      </c>
      <c r="V66" s="72">
        <v>11995</v>
      </c>
      <c r="W66" s="73">
        <v>0</v>
      </c>
      <c r="X66" s="72">
        <v>11905</v>
      </c>
      <c r="Y66" s="73">
        <v>0</v>
      </c>
      <c r="Z66" s="72">
        <v>12861</v>
      </c>
      <c r="AA66" s="73">
        <v>0</v>
      </c>
      <c r="AB66" s="72">
        <v>11588</v>
      </c>
      <c r="AC66" s="73">
        <v>0</v>
      </c>
      <c r="AD66" s="72">
        <v>0</v>
      </c>
      <c r="AE66" s="73">
        <v>0</v>
      </c>
      <c r="AF66" s="72">
        <v>0</v>
      </c>
      <c r="AG66" s="88">
        <v>0</v>
      </c>
      <c r="AH66"/>
    </row>
    <row r="67" spans="1:34">
      <c r="B67" s="114">
        <v>48</v>
      </c>
      <c r="C67" s="117">
        <v>51</v>
      </c>
      <c r="D67" s="117" t="s">
        <v>21</v>
      </c>
      <c r="E67" s="117" t="s">
        <v>98</v>
      </c>
      <c r="F67" s="117" t="s">
        <v>23</v>
      </c>
      <c r="G67" s="117" t="s">
        <v>77</v>
      </c>
      <c r="H67" s="117" t="s">
        <v>78</v>
      </c>
      <c r="I67" s="120" t="s">
        <v>78</v>
      </c>
      <c r="J67" s="84">
        <v>1500</v>
      </c>
      <c r="K67" s="73">
        <v>0</v>
      </c>
      <c r="L67" s="72">
        <v>0</v>
      </c>
      <c r="M67" s="73">
        <v>0</v>
      </c>
      <c r="N67" s="72">
        <v>0</v>
      </c>
      <c r="O67" s="73">
        <v>0</v>
      </c>
      <c r="P67" s="72">
        <v>1745</v>
      </c>
      <c r="Q67" s="73">
        <v>0</v>
      </c>
      <c r="R67" s="72">
        <v>1745</v>
      </c>
      <c r="S67" s="73">
        <v>0</v>
      </c>
      <c r="T67" s="72">
        <v>364</v>
      </c>
      <c r="U67" s="73">
        <v>0</v>
      </c>
      <c r="V67" s="72">
        <v>0</v>
      </c>
      <c r="W67" s="73">
        <v>0</v>
      </c>
      <c r="X67" s="72">
        <v>0</v>
      </c>
      <c r="Y67" s="73">
        <v>0</v>
      </c>
      <c r="Z67" s="72">
        <v>112</v>
      </c>
      <c r="AA67" s="73">
        <v>0</v>
      </c>
      <c r="AB67" s="72">
        <v>771</v>
      </c>
      <c r="AC67" s="73">
        <v>0</v>
      </c>
      <c r="AD67" s="72">
        <v>0</v>
      </c>
      <c r="AE67" s="73">
        <v>0</v>
      </c>
      <c r="AF67" s="72">
        <v>0</v>
      </c>
      <c r="AG67" s="88">
        <v>0</v>
      </c>
      <c r="AH67"/>
    </row>
    <row r="68" spans="1:34">
      <c r="B68" s="114">
        <v>49</v>
      </c>
      <c r="C68" s="117">
        <v>51</v>
      </c>
      <c r="D68" s="117" t="s">
        <v>21</v>
      </c>
      <c r="E68" s="117" t="s">
        <v>98</v>
      </c>
      <c r="F68" s="117" t="s">
        <v>23</v>
      </c>
      <c r="G68" s="117" t="s">
        <v>96</v>
      </c>
      <c r="H68" s="117" t="s">
        <v>97</v>
      </c>
      <c r="I68" s="120" t="s">
        <v>97</v>
      </c>
      <c r="J68" s="84">
        <v>0</v>
      </c>
      <c r="K68" s="73">
        <v>0</v>
      </c>
      <c r="L68" s="72">
        <v>0</v>
      </c>
      <c r="M68" s="73">
        <v>0</v>
      </c>
      <c r="N68" s="72">
        <v>0</v>
      </c>
      <c r="O68" s="73">
        <v>0</v>
      </c>
      <c r="P68" s="72">
        <v>0</v>
      </c>
      <c r="Q68" s="73">
        <v>0</v>
      </c>
      <c r="R68" s="72">
        <v>1080</v>
      </c>
      <c r="S68" s="73">
        <v>0</v>
      </c>
      <c r="T68" s="72">
        <v>550</v>
      </c>
      <c r="U68" s="73">
        <v>0</v>
      </c>
      <c r="V68" s="72">
        <v>0</v>
      </c>
      <c r="W68" s="73">
        <v>0</v>
      </c>
      <c r="X68" s="72">
        <v>0</v>
      </c>
      <c r="Y68" s="73">
        <v>0</v>
      </c>
      <c r="Z68" s="72">
        <v>417</v>
      </c>
      <c r="AA68" s="73">
        <v>0</v>
      </c>
      <c r="AB68" s="72">
        <v>206</v>
      </c>
      <c r="AC68" s="73">
        <v>0</v>
      </c>
      <c r="AD68" s="72">
        <v>0</v>
      </c>
      <c r="AE68" s="73">
        <v>0</v>
      </c>
      <c r="AF68" s="72">
        <v>0</v>
      </c>
      <c r="AG68" s="88">
        <v>0</v>
      </c>
      <c r="AH68"/>
    </row>
    <row r="69" spans="1:34">
      <c r="B69" s="114">
        <v>50</v>
      </c>
      <c r="C69" s="117">
        <v>51</v>
      </c>
      <c r="D69" s="117" t="s">
        <v>21</v>
      </c>
      <c r="E69" s="117" t="s">
        <v>98</v>
      </c>
      <c r="F69" s="117" t="s">
        <v>23</v>
      </c>
      <c r="G69" s="117" t="s">
        <v>94</v>
      </c>
      <c r="H69" s="117" t="s">
        <v>95</v>
      </c>
      <c r="I69" s="121" t="s">
        <v>95</v>
      </c>
      <c r="J69" s="84">
        <v>4295</v>
      </c>
      <c r="K69" s="73">
        <v>0</v>
      </c>
      <c r="L69" s="72">
        <v>7315</v>
      </c>
      <c r="M69" s="73">
        <v>0</v>
      </c>
      <c r="N69" s="72">
        <v>9602</v>
      </c>
      <c r="O69" s="73">
        <v>0</v>
      </c>
      <c r="P69" s="72">
        <v>4123</v>
      </c>
      <c r="Q69" s="73">
        <v>0</v>
      </c>
      <c r="R69" s="72">
        <v>7024</v>
      </c>
      <c r="S69" s="73">
        <v>0</v>
      </c>
      <c r="T69" s="72">
        <v>5816</v>
      </c>
      <c r="U69" s="73">
        <v>0</v>
      </c>
      <c r="V69" s="72">
        <v>7264</v>
      </c>
      <c r="W69" s="73">
        <v>0</v>
      </c>
      <c r="X69" s="72">
        <v>6298</v>
      </c>
      <c r="Y69" s="73">
        <v>0</v>
      </c>
      <c r="Z69" s="72">
        <v>6264</v>
      </c>
      <c r="AA69" s="73">
        <v>0</v>
      </c>
      <c r="AB69" s="72">
        <v>860</v>
      </c>
      <c r="AC69" s="73">
        <v>0</v>
      </c>
      <c r="AD69" s="72">
        <v>0</v>
      </c>
      <c r="AE69" s="73">
        <v>0</v>
      </c>
      <c r="AF69" s="72">
        <v>0</v>
      </c>
      <c r="AG69" s="88">
        <v>0</v>
      </c>
      <c r="AH69"/>
    </row>
    <row r="70" spans="1:34">
      <c r="B70" s="114">
        <v>51</v>
      </c>
      <c r="C70" s="117">
        <v>51</v>
      </c>
      <c r="D70" s="117" t="s">
        <v>21</v>
      </c>
      <c r="E70" s="117" t="s">
        <v>98</v>
      </c>
      <c r="F70" s="117" t="s">
        <v>23</v>
      </c>
      <c r="G70" s="117" t="s">
        <v>41</v>
      </c>
      <c r="H70" s="117" t="s">
        <v>42</v>
      </c>
      <c r="I70" s="120" t="s">
        <v>42</v>
      </c>
      <c r="J70" s="84">
        <v>0</v>
      </c>
      <c r="K70" s="73">
        <v>0</v>
      </c>
      <c r="L70" s="72">
        <v>0</v>
      </c>
      <c r="M70" s="73">
        <v>0</v>
      </c>
      <c r="N70" s="72">
        <v>0</v>
      </c>
      <c r="O70" s="73">
        <v>0</v>
      </c>
      <c r="P70" s="72">
        <v>0</v>
      </c>
      <c r="Q70" s="73">
        <v>0</v>
      </c>
      <c r="R70" s="72">
        <v>1350</v>
      </c>
      <c r="S70" s="73">
        <v>0</v>
      </c>
      <c r="T70" s="72">
        <v>0</v>
      </c>
      <c r="U70" s="73">
        <v>0</v>
      </c>
      <c r="V70" s="72">
        <v>0</v>
      </c>
      <c r="W70" s="73">
        <v>0</v>
      </c>
      <c r="X70" s="72">
        <v>0</v>
      </c>
      <c r="Y70" s="73">
        <v>0</v>
      </c>
      <c r="Z70" s="72">
        <v>0</v>
      </c>
      <c r="AA70" s="73">
        <v>0</v>
      </c>
      <c r="AB70" s="72">
        <v>1313</v>
      </c>
      <c r="AC70" s="73">
        <v>0</v>
      </c>
      <c r="AD70" s="72">
        <v>0</v>
      </c>
      <c r="AE70" s="73">
        <v>0</v>
      </c>
      <c r="AF70" s="72">
        <v>0</v>
      </c>
      <c r="AG70" s="88">
        <v>0</v>
      </c>
      <c r="AH70"/>
    </row>
    <row r="71" spans="1:34">
      <c r="B71" s="114">
        <v>52</v>
      </c>
      <c r="C71" s="117">
        <v>51</v>
      </c>
      <c r="D71" s="117" t="s">
        <v>21</v>
      </c>
      <c r="E71" s="117" t="s">
        <v>98</v>
      </c>
      <c r="F71" s="117" t="s">
        <v>23</v>
      </c>
      <c r="G71" s="117" t="s">
        <v>79</v>
      </c>
      <c r="H71" s="117" t="s">
        <v>80</v>
      </c>
      <c r="I71" s="120" t="s">
        <v>80</v>
      </c>
      <c r="J71" s="84">
        <v>0</v>
      </c>
      <c r="K71" s="73">
        <v>0</v>
      </c>
      <c r="L71" s="72">
        <v>1169</v>
      </c>
      <c r="M71" s="73">
        <v>0</v>
      </c>
      <c r="N71" s="72">
        <v>0</v>
      </c>
      <c r="O71" s="73">
        <v>0</v>
      </c>
      <c r="P71" s="72">
        <v>1169</v>
      </c>
      <c r="Q71" s="73">
        <v>0</v>
      </c>
      <c r="R71" s="72">
        <v>0</v>
      </c>
      <c r="S71" s="73">
        <v>0</v>
      </c>
      <c r="T71" s="72">
        <v>0</v>
      </c>
      <c r="U71" s="73">
        <v>0</v>
      </c>
      <c r="V71" s="72">
        <v>0</v>
      </c>
      <c r="W71" s="73">
        <v>0</v>
      </c>
      <c r="X71" s="72">
        <v>0</v>
      </c>
      <c r="Y71" s="73">
        <v>0</v>
      </c>
      <c r="Z71" s="72">
        <v>835</v>
      </c>
      <c r="AA71" s="73">
        <v>0</v>
      </c>
      <c r="AB71" s="72">
        <v>0</v>
      </c>
      <c r="AC71" s="73">
        <v>0</v>
      </c>
      <c r="AD71" s="72">
        <v>0</v>
      </c>
      <c r="AE71" s="73">
        <v>0</v>
      </c>
      <c r="AF71" s="72">
        <v>0</v>
      </c>
      <c r="AG71" s="88">
        <v>0</v>
      </c>
      <c r="AH71"/>
    </row>
    <row r="72" spans="1:34">
      <c r="B72" s="114">
        <v>53</v>
      </c>
      <c r="C72" s="117">
        <v>51</v>
      </c>
      <c r="D72" s="117" t="s">
        <v>21</v>
      </c>
      <c r="E72" s="117" t="s">
        <v>98</v>
      </c>
      <c r="F72" s="117" t="s">
        <v>23</v>
      </c>
      <c r="G72" s="117" t="s">
        <v>101</v>
      </c>
      <c r="H72" s="117" t="s">
        <v>102</v>
      </c>
      <c r="I72" s="120" t="s">
        <v>102</v>
      </c>
      <c r="J72" s="84">
        <v>0</v>
      </c>
      <c r="K72" s="73">
        <v>0</v>
      </c>
      <c r="L72" s="72">
        <v>0</v>
      </c>
      <c r="M72" s="73">
        <v>0</v>
      </c>
      <c r="N72" s="72">
        <v>0</v>
      </c>
      <c r="O72" s="73">
        <v>0</v>
      </c>
      <c r="P72" s="72">
        <v>0</v>
      </c>
      <c r="Q72" s="73">
        <v>0</v>
      </c>
      <c r="R72" s="72">
        <v>0</v>
      </c>
      <c r="S72" s="73">
        <v>0</v>
      </c>
      <c r="T72" s="72">
        <v>0</v>
      </c>
      <c r="U72" s="73">
        <v>0</v>
      </c>
      <c r="V72" s="72">
        <v>0</v>
      </c>
      <c r="W72" s="73">
        <v>0</v>
      </c>
      <c r="X72" s="72">
        <v>0</v>
      </c>
      <c r="Y72" s="73">
        <v>0</v>
      </c>
      <c r="Z72" s="72">
        <v>0</v>
      </c>
      <c r="AA72" s="73">
        <v>0</v>
      </c>
      <c r="AB72" s="72">
        <v>850</v>
      </c>
      <c r="AC72" s="73">
        <v>0</v>
      </c>
      <c r="AD72" s="72">
        <v>0</v>
      </c>
      <c r="AE72" s="73">
        <v>0</v>
      </c>
      <c r="AF72" s="72">
        <v>0</v>
      </c>
      <c r="AG72" s="88">
        <v>0</v>
      </c>
      <c r="AH72"/>
    </row>
    <row r="73" spans="1:34">
      <c r="B73" s="114">
        <v>54</v>
      </c>
      <c r="C73" s="117">
        <v>51</v>
      </c>
      <c r="D73" s="117" t="s">
        <v>21</v>
      </c>
      <c r="E73" s="117" t="s">
        <v>98</v>
      </c>
      <c r="F73" s="117" t="s">
        <v>23</v>
      </c>
      <c r="G73" s="117" t="s">
        <v>51</v>
      </c>
      <c r="H73" s="117" t="s">
        <v>52</v>
      </c>
      <c r="I73" s="120" t="s">
        <v>52</v>
      </c>
      <c r="J73" s="84">
        <v>0</v>
      </c>
      <c r="K73" s="73">
        <v>0</v>
      </c>
      <c r="L73" s="72">
        <v>1322</v>
      </c>
      <c r="M73" s="73">
        <v>0</v>
      </c>
      <c r="N73" s="72">
        <v>0</v>
      </c>
      <c r="O73" s="73">
        <v>0</v>
      </c>
      <c r="P73" s="72">
        <v>0</v>
      </c>
      <c r="Q73" s="73">
        <v>0</v>
      </c>
      <c r="R73" s="72">
        <v>0</v>
      </c>
      <c r="S73" s="73">
        <v>0</v>
      </c>
      <c r="T73" s="72">
        <v>1733</v>
      </c>
      <c r="U73" s="73">
        <v>0</v>
      </c>
      <c r="V73" s="72">
        <v>0</v>
      </c>
      <c r="W73" s="73">
        <v>0</v>
      </c>
      <c r="X73" s="72">
        <v>0</v>
      </c>
      <c r="Y73" s="73">
        <v>0</v>
      </c>
      <c r="Z73" s="72">
        <v>0</v>
      </c>
      <c r="AA73" s="73">
        <v>0</v>
      </c>
      <c r="AB73" s="72">
        <v>0</v>
      </c>
      <c r="AC73" s="73">
        <v>0</v>
      </c>
      <c r="AD73" s="72">
        <v>0</v>
      </c>
      <c r="AE73" s="73">
        <v>0</v>
      </c>
      <c r="AF73" s="72">
        <v>0</v>
      </c>
      <c r="AG73" s="88">
        <v>0</v>
      </c>
      <c r="AH73"/>
    </row>
    <row r="74" spans="1:34">
      <c r="B74" s="114">
        <v>55</v>
      </c>
      <c r="C74" s="117">
        <v>51</v>
      </c>
      <c r="D74" s="117" t="s">
        <v>21</v>
      </c>
      <c r="E74" s="117" t="s">
        <v>98</v>
      </c>
      <c r="F74" s="117" t="s">
        <v>23</v>
      </c>
      <c r="G74" s="117" t="s">
        <v>75</v>
      </c>
      <c r="H74" s="117" t="s">
        <v>76</v>
      </c>
      <c r="I74" s="121" t="s">
        <v>76</v>
      </c>
      <c r="J74" s="84">
        <v>0</v>
      </c>
      <c r="K74" s="73">
        <v>0</v>
      </c>
      <c r="L74" s="72">
        <v>7968</v>
      </c>
      <c r="M74" s="73">
        <v>0</v>
      </c>
      <c r="N74" s="72">
        <v>0</v>
      </c>
      <c r="O74" s="73">
        <v>0</v>
      </c>
      <c r="P74" s="72">
        <v>0</v>
      </c>
      <c r="Q74" s="73">
        <v>0</v>
      </c>
      <c r="R74" s="72">
        <v>0</v>
      </c>
      <c r="S74" s="73">
        <v>0</v>
      </c>
      <c r="T74" s="72">
        <v>0</v>
      </c>
      <c r="U74" s="73">
        <v>0</v>
      </c>
      <c r="V74" s="72">
        <v>0</v>
      </c>
      <c r="W74" s="73">
        <v>0</v>
      </c>
      <c r="X74" s="72">
        <v>0</v>
      </c>
      <c r="Y74" s="73">
        <v>0</v>
      </c>
      <c r="Z74" s="72">
        <v>0</v>
      </c>
      <c r="AA74" s="73">
        <v>0</v>
      </c>
      <c r="AB74" s="72">
        <v>0</v>
      </c>
      <c r="AC74" s="73">
        <v>0</v>
      </c>
      <c r="AD74" s="72">
        <v>0</v>
      </c>
      <c r="AE74" s="73">
        <v>0</v>
      </c>
      <c r="AF74" s="72">
        <v>0</v>
      </c>
      <c r="AG74" s="88">
        <v>0</v>
      </c>
      <c r="AH74"/>
    </row>
    <row r="75" spans="1:34">
      <c r="B75" s="114">
        <v>56</v>
      </c>
      <c r="C75" s="117">
        <v>51</v>
      </c>
      <c r="D75" s="117" t="s">
        <v>21</v>
      </c>
      <c r="E75" s="117" t="s">
        <v>98</v>
      </c>
      <c r="F75" s="117" t="s">
        <v>23</v>
      </c>
      <c r="G75" s="117" t="s">
        <v>43</v>
      </c>
      <c r="H75" s="117" t="s">
        <v>44</v>
      </c>
      <c r="I75" s="120" t="s">
        <v>44</v>
      </c>
      <c r="J75" s="84">
        <v>0</v>
      </c>
      <c r="K75" s="73">
        <v>0</v>
      </c>
      <c r="L75" s="72">
        <v>0</v>
      </c>
      <c r="M75" s="73">
        <v>0</v>
      </c>
      <c r="N75" s="72">
        <v>4652</v>
      </c>
      <c r="O75" s="73">
        <v>0</v>
      </c>
      <c r="P75" s="72">
        <v>0</v>
      </c>
      <c r="Q75" s="73">
        <v>0</v>
      </c>
      <c r="R75" s="72">
        <v>4652</v>
      </c>
      <c r="S75" s="73">
        <v>0</v>
      </c>
      <c r="T75" s="72">
        <v>4652</v>
      </c>
      <c r="U75" s="73">
        <v>0</v>
      </c>
      <c r="V75" s="72">
        <v>4817</v>
      </c>
      <c r="W75" s="73">
        <v>0</v>
      </c>
      <c r="X75" s="72">
        <v>4652</v>
      </c>
      <c r="Y75" s="73">
        <v>0</v>
      </c>
      <c r="Z75" s="72">
        <v>0</v>
      </c>
      <c r="AA75" s="73">
        <v>0</v>
      </c>
      <c r="AB75" s="72">
        <v>0</v>
      </c>
      <c r="AC75" s="73">
        <v>0</v>
      </c>
      <c r="AD75" s="72">
        <v>0</v>
      </c>
      <c r="AE75" s="73">
        <v>0</v>
      </c>
      <c r="AF75" s="72">
        <v>0</v>
      </c>
      <c r="AG75" s="88">
        <v>0</v>
      </c>
      <c r="AH75"/>
    </row>
    <row r="76" spans="1:34">
      <c r="B76" s="114">
        <v>57</v>
      </c>
      <c r="C76" s="117">
        <v>51</v>
      </c>
      <c r="D76" s="117" t="s">
        <v>21</v>
      </c>
      <c r="E76" s="117" t="s">
        <v>98</v>
      </c>
      <c r="F76" s="117" t="s">
        <v>23</v>
      </c>
      <c r="G76" s="117" t="s">
        <v>27</v>
      </c>
      <c r="H76" s="117" t="s">
        <v>28</v>
      </c>
      <c r="I76" s="120" t="s">
        <v>28</v>
      </c>
      <c r="J76" s="84">
        <v>0</v>
      </c>
      <c r="K76" s="73">
        <v>0</v>
      </c>
      <c r="L76" s="72">
        <v>0</v>
      </c>
      <c r="M76" s="73">
        <v>0</v>
      </c>
      <c r="N76" s="72">
        <v>0</v>
      </c>
      <c r="O76" s="73">
        <v>0</v>
      </c>
      <c r="P76" s="72">
        <v>2200</v>
      </c>
      <c r="Q76" s="73">
        <v>0</v>
      </c>
      <c r="R76" s="72">
        <v>0</v>
      </c>
      <c r="S76" s="73">
        <v>0</v>
      </c>
      <c r="T76" s="72">
        <v>0</v>
      </c>
      <c r="U76" s="73">
        <v>0</v>
      </c>
      <c r="V76" s="72">
        <v>0</v>
      </c>
      <c r="W76" s="73">
        <v>0</v>
      </c>
      <c r="X76" s="72">
        <v>0</v>
      </c>
      <c r="Y76" s="73">
        <v>0</v>
      </c>
      <c r="Z76" s="72">
        <v>0</v>
      </c>
      <c r="AA76" s="73">
        <v>0</v>
      </c>
      <c r="AB76" s="72">
        <v>0</v>
      </c>
      <c r="AC76" s="73">
        <v>0</v>
      </c>
      <c r="AD76" s="72">
        <v>0</v>
      </c>
      <c r="AE76" s="73">
        <v>0</v>
      </c>
      <c r="AF76" s="72">
        <v>0</v>
      </c>
      <c r="AG76" s="88">
        <v>0</v>
      </c>
      <c r="AH76"/>
    </row>
    <row r="77" spans="1:34">
      <c r="B77" s="114">
        <v>58</v>
      </c>
      <c r="C77" s="117">
        <v>51</v>
      </c>
      <c r="D77" s="117" t="s">
        <v>21</v>
      </c>
      <c r="E77" s="117" t="s">
        <v>98</v>
      </c>
      <c r="F77" s="117" t="s">
        <v>23</v>
      </c>
      <c r="G77" s="117" t="s">
        <v>59</v>
      </c>
      <c r="H77" s="117" t="s">
        <v>60</v>
      </c>
      <c r="I77" s="120" t="s">
        <v>60</v>
      </c>
      <c r="J77" s="84">
        <v>2250</v>
      </c>
      <c r="K77" s="73">
        <v>0</v>
      </c>
      <c r="L77" s="72">
        <v>0</v>
      </c>
      <c r="M77" s="73">
        <v>0</v>
      </c>
      <c r="N77" s="72">
        <v>0</v>
      </c>
      <c r="O77" s="73">
        <v>0</v>
      </c>
      <c r="P77" s="72">
        <v>4575</v>
      </c>
      <c r="Q77" s="73">
        <v>0</v>
      </c>
      <c r="R77" s="72">
        <v>1114</v>
      </c>
      <c r="S77" s="73">
        <v>0</v>
      </c>
      <c r="T77" s="72">
        <v>0</v>
      </c>
      <c r="U77" s="73">
        <v>0</v>
      </c>
      <c r="V77" s="72">
        <v>0</v>
      </c>
      <c r="W77" s="73">
        <v>0</v>
      </c>
      <c r="X77" s="72">
        <v>1757</v>
      </c>
      <c r="Y77" s="73">
        <v>0</v>
      </c>
      <c r="Z77" s="72">
        <v>0</v>
      </c>
      <c r="AA77" s="73">
        <v>0</v>
      </c>
      <c r="AB77" s="72">
        <v>1711</v>
      </c>
      <c r="AC77" s="73">
        <v>0</v>
      </c>
      <c r="AD77" s="72">
        <v>0</v>
      </c>
      <c r="AE77" s="73">
        <v>0</v>
      </c>
      <c r="AF77" s="72">
        <v>0</v>
      </c>
      <c r="AG77" s="88">
        <v>0</v>
      </c>
      <c r="AH77"/>
    </row>
    <row r="78" spans="1:34">
      <c r="B78" s="114">
        <v>59</v>
      </c>
      <c r="C78" s="117">
        <v>51</v>
      </c>
      <c r="D78" s="117" t="s">
        <v>21</v>
      </c>
      <c r="E78" s="117" t="s">
        <v>98</v>
      </c>
      <c r="F78" s="117" t="s">
        <v>23</v>
      </c>
      <c r="G78" s="117" t="s">
        <v>64</v>
      </c>
      <c r="H78" s="117" t="s">
        <v>65</v>
      </c>
      <c r="I78" s="120" t="s">
        <v>65</v>
      </c>
      <c r="J78" s="84">
        <v>13261</v>
      </c>
      <c r="K78" s="73">
        <v>0</v>
      </c>
      <c r="L78" s="72">
        <v>14554</v>
      </c>
      <c r="M78" s="73">
        <v>0</v>
      </c>
      <c r="N78" s="72">
        <v>11676</v>
      </c>
      <c r="O78" s="73">
        <v>0</v>
      </c>
      <c r="P78" s="72">
        <v>6745</v>
      </c>
      <c r="Q78" s="73">
        <v>0</v>
      </c>
      <c r="R78" s="72">
        <v>6292</v>
      </c>
      <c r="S78" s="73">
        <v>0</v>
      </c>
      <c r="T78" s="72">
        <v>12081</v>
      </c>
      <c r="U78" s="73">
        <v>0</v>
      </c>
      <c r="V78" s="72">
        <v>1</v>
      </c>
      <c r="W78" s="73">
        <v>0</v>
      </c>
      <c r="X78" s="72">
        <v>0</v>
      </c>
      <c r="Y78" s="73">
        <v>0</v>
      </c>
      <c r="Z78" s="72">
        <v>0</v>
      </c>
      <c r="AA78" s="73">
        <v>0</v>
      </c>
      <c r="AB78" s="72">
        <v>0</v>
      </c>
      <c r="AC78" s="73">
        <v>0</v>
      </c>
      <c r="AD78" s="72">
        <v>0</v>
      </c>
      <c r="AE78" s="73">
        <v>0</v>
      </c>
      <c r="AF78" s="72">
        <v>0</v>
      </c>
      <c r="AG78" s="88">
        <v>0</v>
      </c>
      <c r="AH78"/>
    </row>
    <row r="79" spans="1:34">
      <c r="B79" s="114">
        <v>60</v>
      </c>
      <c r="C79" s="117">
        <v>51</v>
      </c>
      <c r="D79" s="117" t="s">
        <v>21</v>
      </c>
      <c r="E79" s="117" t="s">
        <v>98</v>
      </c>
      <c r="F79" s="117" t="s">
        <v>23</v>
      </c>
      <c r="G79" s="117" t="s">
        <v>31</v>
      </c>
      <c r="H79" s="117" t="s">
        <v>32</v>
      </c>
      <c r="I79" s="120" t="s">
        <v>32</v>
      </c>
      <c r="J79" s="84">
        <v>0</v>
      </c>
      <c r="K79" s="73">
        <v>0</v>
      </c>
      <c r="L79" s="72">
        <v>1008</v>
      </c>
      <c r="M79" s="73">
        <v>0</v>
      </c>
      <c r="N79" s="72">
        <v>1200</v>
      </c>
      <c r="O79" s="73">
        <v>0</v>
      </c>
      <c r="P79" s="72">
        <v>1400</v>
      </c>
      <c r="Q79" s="73">
        <v>0</v>
      </c>
      <c r="R79" s="72">
        <v>1616</v>
      </c>
      <c r="S79" s="73">
        <v>0</v>
      </c>
      <c r="T79" s="72">
        <v>0</v>
      </c>
      <c r="U79" s="73">
        <v>0</v>
      </c>
      <c r="V79" s="72">
        <v>0</v>
      </c>
      <c r="W79" s="73">
        <v>0</v>
      </c>
      <c r="X79" s="72">
        <v>0</v>
      </c>
      <c r="Y79" s="73">
        <v>0</v>
      </c>
      <c r="Z79" s="72">
        <v>678</v>
      </c>
      <c r="AA79" s="73">
        <v>0</v>
      </c>
      <c r="AB79" s="72">
        <v>0</v>
      </c>
      <c r="AC79" s="73">
        <v>0</v>
      </c>
      <c r="AD79" s="72">
        <v>0</v>
      </c>
      <c r="AE79" s="73">
        <v>0</v>
      </c>
      <c r="AF79" s="72">
        <v>0</v>
      </c>
      <c r="AG79" s="88">
        <v>0</v>
      </c>
      <c r="AH79"/>
    </row>
    <row r="80" spans="1:34">
      <c r="B80" s="114">
        <v>61</v>
      </c>
      <c r="C80" s="117">
        <v>51</v>
      </c>
      <c r="D80" s="117" t="s">
        <v>21</v>
      </c>
      <c r="E80" s="117" t="s">
        <v>98</v>
      </c>
      <c r="F80" s="117" t="s">
        <v>23</v>
      </c>
      <c r="G80" s="117" t="s">
        <v>103</v>
      </c>
      <c r="H80" s="117" t="s">
        <v>104</v>
      </c>
      <c r="I80" s="120"/>
      <c r="J80" s="84">
        <v>0</v>
      </c>
      <c r="K80" s="73">
        <v>0</v>
      </c>
      <c r="L80" s="72">
        <v>0</v>
      </c>
      <c r="M80" s="73">
        <v>0</v>
      </c>
      <c r="N80" s="72">
        <v>0</v>
      </c>
      <c r="O80" s="73">
        <v>0</v>
      </c>
      <c r="P80" s="72">
        <v>0</v>
      </c>
      <c r="Q80" s="73">
        <v>0</v>
      </c>
      <c r="R80" s="72">
        <v>0</v>
      </c>
      <c r="S80" s="73">
        <v>0</v>
      </c>
      <c r="T80" s="72">
        <v>0</v>
      </c>
      <c r="U80" s="73">
        <v>0</v>
      </c>
      <c r="V80" s="72">
        <v>0</v>
      </c>
      <c r="W80" s="73">
        <v>0</v>
      </c>
      <c r="X80" s="72">
        <v>0</v>
      </c>
      <c r="Y80" s="73">
        <v>0</v>
      </c>
      <c r="Z80" s="72">
        <v>0</v>
      </c>
      <c r="AA80" s="73">
        <v>0</v>
      </c>
      <c r="AB80" s="72">
        <v>0</v>
      </c>
      <c r="AC80" s="73">
        <v>0</v>
      </c>
      <c r="AD80" s="72">
        <v>0</v>
      </c>
      <c r="AE80" s="73">
        <v>0</v>
      </c>
      <c r="AF80" s="72">
        <v>0</v>
      </c>
      <c r="AG80" s="88">
        <v>0</v>
      </c>
      <c r="AH80"/>
    </row>
    <row r="81" spans="1:34">
      <c r="B81" s="114">
        <v>62</v>
      </c>
      <c r="C81" s="117">
        <v>51</v>
      </c>
      <c r="D81" s="117" t="s">
        <v>21</v>
      </c>
      <c r="E81" s="117" t="s">
        <v>98</v>
      </c>
      <c r="F81" s="117" t="s">
        <v>23</v>
      </c>
      <c r="G81" s="117" t="s">
        <v>39</v>
      </c>
      <c r="H81" s="117" t="s">
        <v>40</v>
      </c>
      <c r="I81" s="120" t="s">
        <v>40</v>
      </c>
      <c r="J81" s="84">
        <v>0</v>
      </c>
      <c r="K81" s="73">
        <v>0</v>
      </c>
      <c r="L81" s="72">
        <v>0</v>
      </c>
      <c r="M81" s="73">
        <v>0</v>
      </c>
      <c r="N81" s="72">
        <v>3537</v>
      </c>
      <c r="O81" s="73">
        <v>0</v>
      </c>
      <c r="P81" s="72">
        <v>3537</v>
      </c>
      <c r="Q81" s="73">
        <v>0</v>
      </c>
      <c r="R81" s="72">
        <v>1516</v>
      </c>
      <c r="S81" s="73">
        <v>0</v>
      </c>
      <c r="T81" s="72">
        <v>0</v>
      </c>
      <c r="U81" s="73">
        <v>0</v>
      </c>
      <c r="V81" s="72">
        <v>0</v>
      </c>
      <c r="W81" s="73">
        <v>0</v>
      </c>
      <c r="X81" s="72">
        <v>0</v>
      </c>
      <c r="Y81" s="73">
        <v>0</v>
      </c>
      <c r="Z81" s="72">
        <v>0</v>
      </c>
      <c r="AA81" s="73">
        <v>0</v>
      </c>
      <c r="AB81" s="72">
        <v>0</v>
      </c>
      <c r="AC81" s="73">
        <v>0</v>
      </c>
      <c r="AD81" s="72">
        <v>0</v>
      </c>
      <c r="AE81" s="73">
        <v>0</v>
      </c>
      <c r="AF81" s="72">
        <v>0</v>
      </c>
      <c r="AG81" s="88">
        <v>0</v>
      </c>
      <c r="AH81"/>
    </row>
    <row r="82" spans="1:34">
      <c r="B82" s="114">
        <v>63</v>
      </c>
      <c r="C82" s="117">
        <v>51</v>
      </c>
      <c r="D82" s="117" t="s">
        <v>21</v>
      </c>
      <c r="E82" s="117" t="s">
        <v>98</v>
      </c>
      <c r="F82" s="117" t="s">
        <v>23</v>
      </c>
      <c r="G82" s="117" t="s">
        <v>37</v>
      </c>
      <c r="H82" s="117" t="s">
        <v>38</v>
      </c>
      <c r="I82" s="120" t="s">
        <v>38</v>
      </c>
      <c r="J82" s="84">
        <v>0</v>
      </c>
      <c r="K82" s="73">
        <v>0</v>
      </c>
      <c r="L82" s="72">
        <v>0</v>
      </c>
      <c r="M82" s="73">
        <v>0</v>
      </c>
      <c r="N82" s="72">
        <v>0</v>
      </c>
      <c r="O82" s="73">
        <v>0</v>
      </c>
      <c r="P82" s="72">
        <v>0</v>
      </c>
      <c r="Q82" s="73">
        <v>0</v>
      </c>
      <c r="R82" s="72">
        <v>0</v>
      </c>
      <c r="S82" s="73">
        <v>0</v>
      </c>
      <c r="T82" s="72">
        <v>0</v>
      </c>
      <c r="U82" s="73">
        <v>0</v>
      </c>
      <c r="V82" s="72">
        <v>0</v>
      </c>
      <c r="W82" s="73">
        <v>0</v>
      </c>
      <c r="X82" s="72">
        <v>2460</v>
      </c>
      <c r="Y82" s="73">
        <v>0</v>
      </c>
      <c r="Z82" s="72">
        <v>0</v>
      </c>
      <c r="AA82" s="73">
        <v>0</v>
      </c>
      <c r="AB82" s="72">
        <v>0</v>
      </c>
      <c r="AC82" s="73">
        <v>0</v>
      </c>
      <c r="AD82" s="72">
        <v>0</v>
      </c>
      <c r="AE82" s="73">
        <v>0</v>
      </c>
      <c r="AF82" s="72">
        <v>0</v>
      </c>
      <c r="AG82" s="88">
        <v>0</v>
      </c>
      <c r="AH82"/>
    </row>
    <row r="83" spans="1:34">
      <c r="B83" s="114">
        <v>64</v>
      </c>
      <c r="C83" s="117">
        <v>51</v>
      </c>
      <c r="D83" s="117" t="s">
        <v>21</v>
      </c>
      <c r="E83" s="117" t="s">
        <v>105</v>
      </c>
      <c r="F83" s="117" t="s">
        <v>106</v>
      </c>
      <c r="G83" s="117" t="s">
        <v>109</v>
      </c>
      <c r="H83" s="117" t="s">
        <v>110</v>
      </c>
      <c r="I83" s="120" t="s">
        <v>110</v>
      </c>
      <c r="J83" s="84">
        <v>0</v>
      </c>
      <c r="K83" s="73">
        <v>0</v>
      </c>
      <c r="L83" s="72">
        <v>0</v>
      </c>
      <c r="M83" s="73">
        <v>0</v>
      </c>
      <c r="N83" s="72">
        <v>0</v>
      </c>
      <c r="O83" s="73">
        <v>0</v>
      </c>
      <c r="P83" s="72">
        <v>3217</v>
      </c>
      <c r="Q83" s="73">
        <v>0</v>
      </c>
      <c r="R83" s="72">
        <v>5308</v>
      </c>
      <c r="S83" s="73">
        <v>0</v>
      </c>
      <c r="T83" s="72">
        <v>3769</v>
      </c>
      <c r="U83" s="73">
        <v>0</v>
      </c>
      <c r="V83" s="72">
        <v>4426</v>
      </c>
      <c r="W83" s="73">
        <v>0</v>
      </c>
      <c r="X83" s="72">
        <v>4873</v>
      </c>
      <c r="Y83" s="73">
        <v>0</v>
      </c>
      <c r="Z83" s="72">
        <v>2375</v>
      </c>
      <c r="AA83" s="73">
        <v>0</v>
      </c>
      <c r="AB83" s="72">
        <v>0</v>
      </c>
      <c r="AC83" s="73">
        <v>0</v>
      </c>
      <c r="AD83" s="72">
        <v>0</v>
      </c>
      <c r="AE83" s="73">
        <v>0</v>
      </c>
      <c r="AF83" s="72">
        <v>0</v>
      </c>
      <c r="AG83" s="88">
        <v>0</v>
      </c>
      <c r="AH83"/>
    </row>
    <row r="84" spans="1:34">
      <c r="B84" s="114">
        <v>65</v>
      </c>
      <c r="C84" s="117">
        <v>51</v>
      </c>
      <c r="D84" s="117" t="s">
        <v>21</v>
      </c>
      <c r="E84" s="117" t="s">
        <v>105</v>
      </c>
      <c r="F84" s="117" t="s">
        <v>106</v>
      </c>
      <c r="G84" s="117" t="s">
        <v>107</v>
      </c>
      <c r="H84" s="117" t="s">
        <v>108</v>
      </c>
      <c r="I84" s="121" t="s">
        <v>108</v>
      </c>
      <c r="J84" s="84">
        <v>3648</v>
      </c>
      <c r="K84" s="73">
        <v>0</v>
      </c>
      <c r="L84" s="72">
        <v>5984</v>
      </c>
      <c r="M84" s="73">
        <v>0</v>
      </c>
      <c r="N84" s="72">
        <v>6278</v>
      </c>
      <c r="O84" s="73">
        <v>0</v>
      </c>
      <c r="P84" s="72">
        <v>4747</v>
      </c>
      <c r="Q84" s="73">
        <v>0</v>
      </c>
      <c r="R84" s="72">
        <v>4244</v>
      </c>
      <c r="S84" s="73">
        <v>0</v>
      </c>
      <c r="T84" s="72">
        <v>7476</v>
      </c>
      <c r="U84" s="73">
        <v>0</v>
      </c>
      <c r="V84" s="72">
        <v>5891</v>
      </c>
      <c r="W84" s="73">
        <v>0</v>
      </c>
      <c r="X84" s="72">
        <v>5691</v>
      </c>
      <c r="Y84" s="73">
        <v>0</v>
      </c>
      <c r="Z84" s="72">
        <v>4420</v>
      </c>
      <c r="AA84" s="73">
        <v>0</v>
      </c>
      <c r="AB84" s="72">
        <v>1998</v>
      </c>
      <c r="AC84" s="73">
        <v>0</v>
      </c>
      <c r="AD84" s="72">
        <v>0</v>
      </c>
      <c r="AE84" s="73">
        <v>0</v>
      </c>
      <c r="AF84" s="72">
        <v>0</v>
      </c>
      <c r="AG84" s="88">
        <v>0</v>
      </c>
      <c r="AH84"/>
    </row>
    <row r="85" spans="1:34">
      <c r="B85" s="114">
        <v>66</v>
      </c>
      <c r="C85" s="117">
        <v>51</v>
      </c>
      <c r="D85" s="117" t="s">
        <v>21</v>
      </c>
      <c r="E85" s="117" t="s">
        <v>105</v>
      </c>
      <c r="F85" s="117" t="s">
        <v>106</v>
      </c>
      <c r="G85" s="117" t="s">
        <v>111</v>
      </c>
      <c r="H85" s="117" t="s">
        <v>112</v>
      </c>
      <c r="I85" s="120" t="s">
        <v>112</v>
      </c>
      <c r="J85" s="84">
        <v>6220</v>
      </c>
      <c r="K85" s="73">
        <v>0</v>
      </c>
      <c r="L85" s="72">
        <v>7280</v>
      </c>
      <c r="M85" s="73">
        <v>0</v>
      </c>
      <c r="N85" s="72">
        <v>4992</v>
      </c>
      <c r="O85" s="73">
        <v>0</v>
      </c>
      <c r="P85" s="72">
        <v>0</v>
      </c>
      <c r="Q85" s="73">
        <v>0</v>
      </c>
      <c r="R85" s="72">
        <v>0</v>
      </c>
      <c r="S85" s="73">
        <v>0</v>
      </c>
      <c r="T85" s="72">
        <v>0</v>
      </c>
      <c r="U85" s="73">
        <v>0</v>
      </c>
      <c r="V85" s="72">
        <v>0</v>
      </c>
      <c r="W85" s="73">
        <v>0</v>
      </c>
      <c r="X85" s="72">
        <v>0</v>
      </c>
      <c r="Y85" s="73">
        <v>0</v>
      </c>
      <c r="Z85" s="72">
        <v>0</v>
      </c>
      <c r="AA85" s="73">
        <v>0</v>
      </c>
      <c r="AB85" s="72">
        <v>0</v>
      </c>
      <c r="AC85" s="73">
        <v>0</v>
      </c>
      <c r="AD85" s="72">
        <v>0</v>
      </c>
      <c r="AE85" s="73">
        <v>0</v>
      </c>
      <c r="AF85" s="72">
        <v>0</v>
      </c>
      <c r="AG85" s="88">
        <v>0</v>
      </c>
      <c r="AH85"/>
    </row>
    <row r="86" spans="1:34">
      <c r="B86" s="114">
        <v>67</v>
      </c>
      <c r="C86" s="117">
        <v>51</v>
      </c>
      <c r="D86" s="117" t="s">
        <v>21</v>
      </c>
      <c r="E86" s="117" t="s">
        <v>105</v>
      </c>
      <c r="F86" s="117" t="s">
        <v>106</v>
      </c>
      <c r="G86" s="117" t="s">
        <v>64</v>
      </c>
      <c r="H86" s="117" t="s">
        <v>65</v>
      </c>
      <c r="I86" s="120" t="s">
        <v>65</v>
      </c>
      <c r="J86" s="84">
        <v>0</v>
      </c>
      <c r="K86" s="73">
        <v>0</v>
      </c>
      <c r="L86" s="72">
        <v>0</v>
      </c>
      <c r="M86" s="73">
        <v>0</v>
      </c>
      <c r="N86" s="72">
        <v>0</v>
      </c>
      <c r="O86" s="73">
        <v>0</v>
      </c>
      <c r="P86" s="72">
        <v>0</v>
      </c>
      <c r="Q86" s="73">
        <v>0</v>
      </c>
      <c r="R86" s="72">
        <v>0</v>
      </c>
      <c r="S86" s="73">
        <v>0</v>
      </c>
      <c r="T86" s="72">
        <v>0</v>
      </c>
      <c r="U86" s="73">
        <v>0</v>
      </c>
      <c r="V86" s="72">
        <v>0</v>
      </c>
      <c r="W86" s="73">
        <v>0</v>
      </c>
      <c r="X86" s="72">
        <v>0</v>
      </c>
      <c r="Y86" s="73">
        <v>0</v>
      </c>
      <c r="Z86" s="72">
        <v>4064</v>
      </c>
      <c r="AA86" s="73">
        <v>0</v>
      </c>
      <c r="AB86" s="72">
        <v>7359</v>
      </c>
      <c r="AC86" s="73">
        <v>0</v>
      </c>
      <c r="AD86" s="72">
        <v>0</v>
      </c>
      <c r="AE86" s="73">
        <v>0</v>
      </c>
      <c r="AF86" s="72">
        <v>0</v>
      </c>
      <c r="AG86" s="88">
        <v>0</v>
      </c>
      <c r="AH86"/>
    </row>
    <row r="87" spans="1:34">
      <c r="B87" s="114">
        <v>68</v>
      </c>
      <c r="C87" s="117">
        <v>51</v>
      </c>
      <c r="D87" s="117" t="s">
        <v>21</v>
      </c>
      <c r="E87" s="117" t="s">
        <v>113</v>
      </c>
      <c r="F87" s="117" t="s">
        <v>114</v>
      </c>
      <c r="G87" s="117" t="s">
        <v>109</v>
      </c>
      <c r="H87" s="117" t="s">
        <v>110</v>
      </c>
      <c r="I87" s="120" t="s">
        <v>110</v>
      </c>
      <c r="J87" s="84">
        <v>0</v>
      </c>
      <c r="K87" s="73">
        <v>0</v>
      </c>
      <c r="L87" s="72">
        <v>0</v>
      </c>
      <c r="M87" s="73">
        <v>0</v>
      </c>
      <c r="N87" s="72">
        <v>0</v>
      </c>
      <c r="O87" s="73">
        <v>0</v>
      </c>
      <c r="P87" s="72">
        <v>0</v>
      </c>
      <c r="Q87" s="73">
        <v>0</v>
      </c>
      <c r="R87" s="72">
        <v>0</v>
      </c>
      <c r="S87" s="73">
        <v>0</v>
      </c>
      <c r="T87" s="72">
        <v>56</v>
      </c>
      <c r="U87" s="73">
        <v>0</v>
      </c>
      <c r="V87" s="72">
        <v>0</v>
      </c>
      <c r="W87" s="73">
        <v>0</v>
      </c>
      <c r="X87" s="72">
        <v>0</v>
      </c>
      <c r="Y87" s="73">
        <v>0</v>
      </c>
      <c r="Z87" s="72">
        <v>0</v>
      </c>
      <c r="AA87" s="73">
        <v>0</v>
      </c>
      <c r="AB87" s="72">
        <v>8819</v>
      </c>
      <c r="AC87" s="73">
        <v>0</v>
      </c>
      <c r="AD87" s="72">
        <v>0</v>
      </c>
      <c r="AE87" s="73">
        <v>0</v>
      </c>
      <c r="AF87" s="72">
        <v>0</v>
      </c>
      <c r="AG87" s="88">
        <v>0</v>
      </c>
      <c r="AH87"/>
    </row>
    <row r="88" spans="1:34">
      <c r="B88" s="114">
        <v>69</v>
      </c>
      <c r="C88" s="117">
        <v>51</v>
      </c>
      <c r="D88" s="117" t="s">
        <v>21</v>
      </c>
      <c r="E88" s="117" t="s">
        <v>113</v>
      </c>
      <c r="F88" s="117" t="s">
        <v>114</v>
      </c>
      <c r="G88" s="117" t="s">
        <v>119</v>
      </c>
      <c r="H88" s="117" t="s">
        <v>120</v>
      </c>
      <c r="I88" s="120" t="s">
        <v>120</v>
      </c>
      <c r="J88" s="84">
        <v>13820</v>
      </c>
      <c r="K88" s="73">
        <v>0</v>
      </c>
      <c r="L88" s="72">
        <v>19094</v>
      </c>
      <c r="M88" s="73">
        <v>0</v>
      </c>
      <c r="N88" s="72">
        <v>14548</v>
      </c>
      <c r="O88" s="73">
        <v>0</v>
      </c>
      <c r="P88" s="72">
        <v>10998</v>
      </c>
      <c r="Q88" s="73">
        <v>0</v>
      </c>
      <c r="R88" s="72">
        <v>12570</v>
      </c>
      <c r="S88" s="73">
        <v>0</v>
      </c>
      <c r="T88" s="72">
        <v>15158</v>
      </c>
      <c r="U88" s="73">
        <v>0</v>
      </c>
      <c r="V88" s="72">
        <v>13659</v>
      </c>
      <c r="W88" s="73">
        <v>0</v>
      </c>
      <c r="X88" s="72">
        <v>11136</v>
      </c>
      <c r="Y88" s="73">
        <v>0</v>
      </c>
      <c r="Z88" s="72">
        <v>12757</v>
      </c>
      <c r="AA88" s="73">
        <v>0</v>
      </c>
      <c r="AB88" s="72">
        <v>2394</v>
      </c>
      <c r="AC88" s="73">
        <v>0</v>
      </c>
      <c r="AD88" s="72">
        <v>0</v>
      </c>
      <c r="AE88" s="73">
        <v>0</v>
      </c>
      <c r="AF88" s="72">
        <v>0</v>
      </c>
      <c r="AG88" s="88">
        <v>0</v>
      </c>
      <c r="AH88"/>
    </row>
    <row r="89" spans="1:34">
      <c r="B89" s="114">
        <v>70</v>
      </c>
      <c r="C89" s="117">
        <v>51</v>
      </c>
      <c r="D89" s="117" t="s">
        <v>21</v>
      </c>
      <c r="E89" s="117" t="s">
        <v>113</v>
      </c>
      <c r="F89" s="117" t="s">
        <v>114</v>
      </c>
      <c r="G89" s="117" t="s">
        <v>70</v>
      </c>
      <c r="H89" s="117" t="s">
        <v>71</v>
      </c>
      <c r="I89" s="120" t="s">
        <v>71</v>
      </c>
      <c r="J89" s="84">
        <v>1426</v>
      </c>
      <c r="K89" s="73">
        <v>0</v>
      </c>
      <c r="L89" s="72">
        <v>6336</v>
      </c>
      <c r="M89" s="73">
        <v>0</v>
      </c>
      <c r="N89" s="72">
        <v>4224</v>
      </c>
      <c r="O89" s="73">
        <v>0</v>
      </c>
      <c r="P89" s="72">
        <v>0</v>
      </c>
      <c r="Q89" s="73">
        <v>0</v>
      </c>
      <c r="R89" s="72">
        <v>0</v>
      </c>
      <c r="S89" s="73">
        <v>0</v>
      </c>
      <c r="T89" s="72">
        <v>0</v>
      </c>
      <c r="U89" s="73">
        <v>0</v>
      </c>
      <c r="V89" s="72">
        <v>0</v>
      </c>
      <c r="W89" s="73">
        <v>0</v>
      </c>
      <c r="X89" s="72">
        <v>0</v>
      </c>
      <c r="Y89" s="73">
        <v>0</v>
      </c>
      <c r="Z89" s="72">
        <v>0</v>
      </c>
      <c r="AA89" s="73">
        <v>0</v>
      </c>
      <c r="AB89" s="72">
        <v>0</v>
      </c>
      <c r="AC89" s="73">
        <v>0</v>
      </c>
      <c r="AD89" s="72">
        <v>0</v>
      </c>
      <c r="AE89" s="73">
        <v>0</v>
      </c>
      <c r="AF89" s="72">
        <v>0</v>
      </c>
      <c r="AG89" s="88">
        <v>0</v>
      </c>
      <c r="AH89"/>
    </row>
    <row r="90" spans="1:34">
      <c r="B90" s="114">
        <v>71</v>
      </c>
      <c r="C90" s="117">
        <v>51</v>
      </c>
      <c r="D90" s="117" t="s">
        <v>21</v>
      </c>
      <c r="E90" s="117" t="s">
        <v>113</v>
      </c>
      <c r="F90" s="117" t="s">
        <v>114</v>
      </c>
      <c r="G90" s="117" t="s">
        <v>117</v>
      </c>
      <c r="H90" s="117" t="s">
        <v>118</v>
      </c>
      <c r="I90" s="120" t="s">
        <v>118</v>
      </c>
      <c r="J90" s="84">
        <v>650</v>
      </c>
      <c r="K90" s="73">
        <v>0</v>
      </c>
      <c r="L90" s="72">
        <v>0</v>
      </c>
      <c r="M90" s="73">
        <v>0</v>
      </c>
      <c r="N90" s="72">
        <v>1500</v>
      </c>
      <c r="O90" s="73">
        <v>0</v>
      </c>
      <c r="P90" s="72">
        <v>0</v>
      </c>
      <c r="Q90" s="73">
        <v>0</v>
      </c>
      <c r="R90" s="72">
        <v>2385</v>
      </c>
      <c r="S90" s="73">
        <v>0</v>
      </c>
      <c r="T90" s="72">
        <v>1012</v>
      </c>
      <c r="U90" s="73">
        <v>0</v>
      </c>
      <c r="V90" s="72">
        <v>550</v>
      </c>
      <c r="W90" s="73">
        <v>0</v>
      </c>
      <c r="X90" s="72">
        <v>0</v>
      </c>
      <c r="Y90" s="73">
        <v>0</v>
      </c>
      <c r="Z90" s="72">
        <v>0</v>
      </c>
      <c r="AA90" s="73">
        <v>0</v>
      </c>
      <c r="AB90" s="72">
        <v>0</v>
      </c>
      <c r="AC90" s="73">
        <v>0</v>
      </c>
      <c r="AD90" s="72">
        <v>0</v>
      </c>
      <c r="AE90" s="73">
        <v>0</v>
      </c>
      <c r="AF90" s="72">
        <v>0</v>
      </c>
      <c r="AG90" s="88">
        <v>0</v>
      </c>
      <c r="AH90"/>
    </row>
    <row r="91" spans="1:34">
      <c r="B91" s="114">
        <v>72</v>
      </c>
      <c r="C91" s="117">
        <v>51</v>
      </c>
      <c r="D91" s="117" t="s">
        <v>21</v>
      </c>
      <c r="E91" s="117" t="s">
        <v>113</v>
      </c>
      <c r="F91" s="117" t="s">
        <v>114</v>
      </c>
      <c r="G91" s="117" t="s">
        <v>115</v>
      </c>
      <c r="H91" s="117" t="s">
        <v>116</v>
      </c>
      <c r="I91" s="120" t="s">
        <v>116</v>
      </c>
      <c r="J91" s="84">
        <v>18328</v>
      </c>
      <c r="K91" s="73">
        <v>0</v>
      </c>
      <c r="L91" s="72">
        <v>21900</v>
      </c>
      <c r="M91" s="73">
        <v>0</v>
      </c>
      <c r="N91" s="72">
        <v>24525</v>
      </c>
      <c r="O91" s="73">
        <v>0</v>
      </c>
      <c r="P91" s="72">
        <v>25486</v>
      </c>
      <c r="Q91" s="73">
        <v>0</v>
      </c>
      <c r="R91" s="72">
        <v>28540</v>
      </c>
      <c r="S91" s="73">
        <v>0</v>
      </c>
      <c r="T91" s="72">
        <v>24822</v>
      </c>
      <c r="U91" s="73">
        <v>0</v>
      </c>
      <c r="V91" s="72">
        <v>22332</v>
      </c>
      <c r="W91" s="73">
        <v>0</v>
      </c>
      <c r="X91" s="72">
        <v>27698</v>
      </c>
      <c r="Y91" s="73">
        <v>0</v>
      </c>
      <c r="Z91" s="72">
        <v>22206</v>
      </c>
      <c r="AA91" s="73">
        <v>0</v>
      </c>
      <c r="AB91" s="72">
        <v>18938</v>
      </c>
      <c r="AC91" s="73">
        <v>0</v>
      </c>
      <c r="AD91" s="72">
        <v>1157</v>
      </c>
      <c r="AE91" s="73">
        <v>0</v>
      </c>
      <c r="AF91" s="72">
        <v>0</v>
      </c>
      <c r="AG91" s="88">
        <v>0</v>
      </c>
      <c r="AH91"/>
    </row>
    <row r="92" spans="1:34">
      <c r="B92" s="114">
        <v>73</v>
      </c>
      <c r="C92" s="117">
        <v>51</v>
      </c>
      <c r="D92" s="117" t="s">
        <v>21</v>
      </c>
      <c r="E92" s="117" t="s">
        <v>121</v>
      </c>
      <c r="F92" s="117" t="s">
        <v>23</v>
      </c>
      <c r="G92" s="117" t="s">
        <v>128</v>
      </c>
      <c r="H92" s="117" t="s">
        <v>129</v>
      </c>
      <c r="I92" s="120" t="s">
        <v>130</v>
      </c>
      <c r="J92" s="84">
        <v>2796</v>
      </c>
      <c r="K92" s="73">
        <v>0</v>
      </c>
      <c r="L92" s="72">
        <v>7501</v>
      </c>
      <c r="M92" s="73">
        <v>0</v>
      </c>
      <c r="N92" s="72">
        <v>14152</v>
      </c>
      <c r="O92" s="73">
        <v>0</v>
      </c>
      <c r="P92" s="72">
        <v>8439</v>
      </c>
      <c r="Q92" s="73">
        <v>0</v>
      </c>
      <c r="R92" s="72">
        <v>8646</v>
      </c>
      <c r="S92" s="73">
        <v>0</v>
      </c>
      <c r="T92" s="72">
        <v>9010</v>
      </c>
      <c r="U92" s="73">
        <v>0</v>
      </c>
      <c r="V92" s="72">
        <v>2813</v>
      </c>
      <c r="W92" s="73">
        <v>0</v>
      </c>
      <c r="X92" s="72">
        <v>3081</v>
      </c>
      <c r="Y92" s="73">
        <v>0</v>
      </c>
      <c r="Z92" s="72">
        <v>4386</v>
      </c>
      <c r="AA92" s="73">
        <v>0</v>
      </c>
      <c r="AB92" s="72">
        <v>5978</v>
      </c>
      <c r="AC92" s="73">
        <v>0</v>
      </c>
      <c r="AD92" s="72">
        <v>0</v>
      </c>
      <c r="AE92" s="73">
        <v>0</v>
      </c>
      <c r="AF92" s="72">
        <v>0</v>
      </c>
      <c r="AG92" s="88">
        <v>0</v>
      </c>
      <c r="AH92"/>
    </row>
    <row r="93" spans="1:34">
      <c r="B93" s="114">
        <v>74</v>
      </c>
      <c r="C93" s="117">
        <v>51</v>
      </c>
      <c r="D93" s="117" t="s">
        <v>21</v>
      </c>
      <c r="E93" s="117" t="s">
        <v>121</v>
      </c>
      <c r="F93" s="117" t="s">
        <v>23</v>
      </c>
      <c r="G93" s="117" t="s">
        <v>75</v>
      </c>
      <c r="H93" s="117" t="s">
        <v>76</v>
      </c>
      <c r="I93" s="121" t="s">
        <v>76</v>
      </c>
      <c r="J93" s="84">
        <v>2690</v>
      </c>
      <c r="K93" s="73">
        <v>0</v>
      </c>
      <c r="L93" s="72">
        <v>0</v>
      </c>
      <c r="M93" s="73">
        <v>0</v>
      </c>
      <c r="N93" s="72">
        <v>4147</v>
      </c>
      <c r="O93" s="73">
        <v>0</v>
      </c>
      <c r="P93" s="72">
        <v>5097</v>
      </c>
      <c r="Q93" s="73">
        <v>0</v>
      </c>
      <c r="R93" s="72">
        <v>7132</v>
      </c>
      <c r="S93" s="73">
        <v>0</v>
      </c>
      <c r="T93" s="72">
        <v>2419</v>
      </c>
      <c r="U93" s="73">
        <v>0</v>
      </c>
      <c r="V93" s="72">
        <v>0</v>
      </c>
      <c r="W93" s="73">
        <v>0</v>
      </c>
      <c r="X93" s="72">
        <v>0</v>
      </c>
      <c r="Y93" s="73">
        <v>0</v>
      </c>
      <c r="Z93" s="72">
        <v>0</v>
      </c>
      <c r="AA93" s="73">
        <v>0</v>
      </c>
      <c r="AB93" s="72">
        <v>0</v>
      </c>
      <c r="AC93" s="73">
        <v>0</v>
      </c>
      <c r="AD93" s="72">
        <v>0</v>
      </c>
      <c r="AE93" s="73">
        <v>0</v>
      </c>
      <c r="AF93" s="72">
        <v>0</v>
      </c>
      <c r="AG93" s="88">
        <v>0</v>
      </c>
      <c r="AH93"/>
    </row>
    <row r="94" spans="1:34">
      <c r="B94" s="114">
        <v>75</v>
      </c>
      <c r="C94" s="117">
        <v>51</v>
      </c>
      <c r="D94" s="117" t="s">
        <v>21</v>
      </c>
      <c r="E94" s="117" t="s">
        <v>121</v>
      </c>
      <c r="F94" s="117" t="s">
        <v>23</v>
      </c>
      <c r="G94" s="117" t="s">
        <v>131</v>
      </c>
      <c r="H94" s="117" t="s">
        <v>132</v>
      </c>
      <c r="I94" s="120" t="s">
        <v>132</v>
      </c>
      <c r="J94" s="84">
        <v>3696</v>
      </c>
      <c r="K94" s="73">
        <v>0</v>
      </c>
      <c r="L94" s="72">
        <v>2112</v>
      </c>
      <c r="M94" s="73">
        <v>0</v>
      </c>
      <c r="N94" s="72">
        <v>0</v>
      </c>
      <c r="O94" s="73">
        <v>0</v>
      </c>
      <c r="P94" s="72">
        <v>0</v>
      </c>
      <c r="Q94" s="73">
        <v>0</v>
      </c>
      <c r="R94" s="72">
        <v>0</v>
      </c>
      <c r="S94" s="73">
        <v>0</v>
      </c>
      <c r="T94" s="72">
        <v>5214</v>
      </c>
      <c r="U94" s="73">
        <v>0</v>
      </c>
      <c r="V94" s="72">
        <v>9720</v>
      </c>
      <c r="W94" s="73">
        <v>0</v>
      </c>
      <c r="X94" s="72">
        <v>6685</v>
      </c>
      <c r="Y94" s="73">
        <v>0</v>
      </c>
      <c r="Z94" s="72">
        <v>6164</v>
      </c>
      <c r="AA94" s="73">
        <v>0</v>
      </c>
      <c r="AB94" s="72">
        <v>0</v>
      </c>
      <c r="AC94" s="73">
        <v>0</v>
      </c>
      <c r="AD94" s="72">
        <v>0</v>
      </c>
      <c r="AE94" s="73">
        <v>0</v>
      </c>
      <c r="AF94" s="72">
        <v>0</v>
      </c>
      <c r="AG94" s="88">
        <v>0</v>
      </c>
      <c r="AH94"/>
    </row>
    <row r="95" spans="1:34">
      <c r="B95" s="114">
        <v>76</v>
      </c>
      <c r="C95" s="117">
        <v>51</v>
      </c>
      <c r="D95" s="117" t="s">
        <v>21</v>
      </c>
      <c r="E95" s="117" t="s">
        <v>121</v>
      </c>
      <c r="F95" s="117" t="s">
        <v>23</v>
      </c>
      <c r="G95" s="117" t="s">
        <v>133</v>
      </c>
      <c r="H95" s="117" t="s">
        <v>134</v>
      </c>
      <c r="I95" s="120" t="s">
        <v>135</v>
      </c>
      <c r="J95" s="84">
        <v>5204</v>
      </c>
      <c r="K95" s="73">
        <v>0</v>
      </c>
      <c r="L95" s="72">
        <v>7804</v>
      </c>
      <c r="M95" s="73">
        <v>0</v>
      </c>
      <c r="N95" s="72">
        <v>6503</v>
      </c>
      <c r="O95" s="73">
        <v>0</v>
      </c>
      <c r="P95" s="72">
        <v>7804</v>
      </c>
      <c r="Q95" s="73">
        <v>0</v>
      </c>
      <c r="R95" s="72">
        <v>10962</v>
      </c>
      <c r="S95" s="73">
        <v>0</v>
      </c>
      <c r="T95" s="72">
        <v>11636</v>
      </c>
      <c r="U95" s="73">
        <v>0</v>
      </c>
      <c r="V95" s="72">
        <v>5202</v>
      </c>
      <c r="W95" s="73">
        <v>0</v>
      </c>
      <c r="X95" s="72">
        <v>11706</v>
      </c>
      <c r="Y95" s="73">
        <v>0</v>
      </c>
      <c r="Z95" s="72">
        <v>3716</v>
      </c>
      <c r="AA95" s="73">
        <v>0</v>
      </c>
      <c r="AB95" s="72">
        <v>3902</v>
      </c>
      <c r="AC95" s="73">
        <v>0</v>
      </c>
      <c r="AD95" s="72">
        <v>0</v>
      </c>
      <c r="AE95" s="73">
        <v>0</v>
      </c>
      <c r="AF95" s="72">
        <v>0</v>
      </c>
      <c r="AG95" s="88">
        <v>0</v>
      </c>
      <c r="AH95"/>
    </row>
    <row r="96" spans="1:34">
      <c r="B96" s="114">
        <v>77</v>
      </c>
      <c r="C96" s="117">
        <v>51</v>
      </c>
      <c r="D96" s="117" t="s">
        <v>21</v>
      </c>
      <c r="E96" s="117" t="s">
        <v>121</v>
      </c>
      <c r="F96" s="117" t="s">
        <v>23</v>
      </c>
      <c r="G96" s="117" t="s">
        <v>53</v>
      </c>
      <c r="H96" s="117" t="s">
        <v>54</v>
      </c>
      <c r="I96" s="120" t="s">
        <v>55</v>
      </c>
      <c r="J96" s="84">
        <v>0</v>
      </c>
      <c r="K96" s="73">
        <v>0</v>
      </c>
      <c r="L96" s="72">
        <v>0</v>
      </c>
      <c r="M96" s="73">
        <v>0</v>
      </c>
      <c r="N96" s="72">
        <v>3080</v>
      </c>
      <c r="O96" s="73">
        <v>0</v>
      </c>
      <c r="P96" s="72">
        <v>6634</v>
      </c>
      <c r="Q96" s="73">
        <v>0</v>
      </c>
      <c r="R96" s="72">
        <v>0</v>
      </c>
      <c r="S96" s="73">
        <v>0</v>
      </c>
      <c r="T96" s="72">
        <v>0</v>
      </c>
      <c r="U96" s="73">
        <v>0</v>
      </c>
      <c r="V96" s="72">
        <v>5246</v>
      </c>
      <c r="W96" s="73">
        <v>0</v>
      </c>
      <c r="X96" s="72">
        <v>0</v>
      </c>
      <c r="Y96" s="73">
        <v>0</v>
      </c>
      <c r="Z96" s="72">
        <v>0</v>
      </c>
      <c r="AA96" s="73">
        <v>0</v>
      </c>
      <c r="AB96" s="72">
        <v>0</v>
      </c>
      <c r="AC96" s="73">
        <v>0</v>
      </c>
      <c r="AD96" s="72">
        <v>0</v>
      </c>
      <c r="AE96" s="73">
        <v>0</v>
      </c>
      <c r="AF96" s="72">
        <v>0</v>
      </c>
      <c r="AG96" s="88">
        <v>0</v>
      </c>
      <c r="AH96"/>
    </row>
    <row r="97" spans="1:34">
      <c r="B97" s="114">
        <v>78</v>
      </c>
      <c r="C97" s="117">
        <v>51</v>
      </c>
      <c r="D97" s="117" t="s">
        <v>21</v>
      </c>
      <c r="E97" s="117" t="s">
        <v>121</v>
      </c>
      <c r="F97" s="117" t="s">
        <v>23</v>
      </c>
      <c r="G97" s="117" t="s">
        <v>49</v>
      </c>
      <c r="H97" s="117" t="s">
        <v>50</v>
      </c>
      <c r="I97" s="120" t="s">
        <v>50</v>
      </c>
      <c r="J97" s="84">
        <v>0</v>
      </c>
      <c r="K97" s="73">
        <v>0</v>
      </c>
      <c r="L97" s="72">
        <v>0</v>
      </c>
      <c r="M97" s="73">
        <v>0</v>
      </c>
      <c r="N97" s="72">
        <v>0</v>
      </c>
      <c r="O97" s="73">
        <v>0</v>
      </c>
      <c r="P97" s="72">
        <v>0</v>
      </c>
      <c r="Q97" s="73">
        <v>0</v>
      </c>
      <c r="R97" s="72">
        <v>0</v>
      </c>
      <c r="S97" s="73">
        <v>0</v>
      </c>
      <c r="T97" s="72">
        <v>0</v>
      </c>
      <c r="U97" s="73">
        <v>0</v>
      </c>
      <c r="V97" s="72">
        <v>0</v>
      </c>
      <c r="W97" s="73">
        <v>0</v>
      </c>
      <c r="X97" s="72">
        <v>2077</v>
      </c>
      <c r="Y97" s="73">
        <v>0</v>
      </c>
      <c r="Z97" s="72">
        <v>0</v>
      </c>
      <c r="AA97" s="73">
        <v>0</v>
      </c>
      <c r="AB97" s="72">
        <v>0</v>
      </c>
      <c r="AC97" s="73">
        <v>0</v>
      </c>
      <c r="AD97" s="72">
        <v>0</v>
      </c>
      <c r="AE97" s="73">
        <v>0</v>
      </c>
      <c r="AF97" s="72">
        <v>0</v>
      </c>
      <c r="AG97" s="88">
        <v>0</v>
      </c>
      <c r="AH97"/>
    </row>
    <row r="98" spans="1:34">
      <c r="B98" s="114">
        <v>79</v>
      </c>
      <c r="C98" s="117">
        <v>51</v>
      </c>
      <c r="D98" s="117" t="s">
        <v>21</v>
      </c>
      <c r="E98" s="117" t="s">
        <v>121</v>
      </c>
      <c r="F98" s="117" t="s">
        <v>23</v>
      </c>
      <c r="G98" s="117" t="s">
        <v>29</v>
      </c>
      <c r="H98" s="117" t="s">
        <v>30</v>
      </c>
      <c r="I98" s="120" t="s">
        <v>30</v>
      </c>
      <c r="J98" s="84">
        <v>2830</v>
      </c>
      <c r="K98" s="73">
        <v>0</v>
      </c>
      <c r="L98" s="72">
        <v>15823</v>
      </c>
      <c r="M98" s="73">
        <v>0</v>
      </c>
      <c r="N98" s="72">
        <v>16273</v>
      </c>
      <c r="O98" s="73">
        <v>0</v>
      </c>
      <c r="P98" s="72">
        <v>0</v>
      </c>
      <c r="Q98" s="73">
        <v>0</v>
      </c>
      <c r="R98" s="72">
        <v>0</v>
      </c>
      <c r="S98" s="73">
        <v>0</v>
      </c>
      <c r="T98" s="72">
        <v>0</v>
      </c>
      <c r="U98" s="73">
        <v>0</v>
      </c>
      <c r="V98" s="72">
        <v>0</v>
      </c>
      <c r="W98" s="73">
        <v>0</v>
      </c>
      <c r="X98" s="72">
        <v>0</v>
      </c>
      <c r="Y98" s="73">
        <v>0</v>
      </c>
      <c r="Z98" s="72">
        <v>0</v>
      </c>
      <c r="AA98" s="73">
        <v>0</v>
      </c>
      <c r="AB98" s="72">
        <v>0</v>
      </c>
      <c r="AC98" s="73">
        <v>0</v>
      </c>
      <c r="AD98" s="72">
        <v>0</v>
      </c>
      <c r="AE98" s="73">
        <v>0</v>
      </c>
      <c r="AF98" s="72">
        <v>0</v>
      </c>
      <c r="AG98" s="88">
        <v>0</v>
      </c>
      <c r="AH98"/>
    </row>
    <row r="99" spans="1:34">
      <c r="B99" s="114">
        <v>80</v>
      </c>
      <c r="C99" s="117">
        <v>51</v>
      </c>
      <c r="D99" s="117" t="s">
        <v>21</v>
      </c>
      <c r="E99" s="117" t="s">
        <v>121</v>
      </c>
      <c r="F99" s="117" t="s">
        <v>23</v>
      </c>
      <c r="G99" s="117" t="s">
        <v>99</v>
      </c>
      <c r="H99" s="117" t="s">
        <v>100</v>
      </c>
      <c r="I99" s="120" t="s">
        <v>100</v>
      </c>
      <c r="J99" s="84">
        <v>9689</v>
      </c>
      <c r="K99" s="73">
        <v>0</v>
      </c>
      <c r="L99" s="72">
        <v>6171</v>
      </c>
      <c r="M99" s="73">
        <v>0</v>
      </c>
      <c r="N99" s="72">
        <v>0</v>
      </c>
      <c r="O99" s="73">
        <v>0</v>
      </c>
      <c r="P99" s="72">
        <v>3807</v>
      </c>
      <c r="Q99" s="73">
        <v>0</v>
      </c>
      <c r="R99" s="72">
        <v>4690</v>
      </c>
      <c r="S99" s="73">
        <v>0</v>
      </c>
      <c r="T99" s="72">
        <v>9118</v>
      </c>
      <c r="U99" s="73">
        <v>0</v>
      </c>
      <c r="V99" s="72">
        <v>8304</v>
      </c>
      <c r="W99" s="73">
        <v>0</v>
      </c>
      <c r="X99" s="72">
        <v>9298</v>
      </c>
      <c r="Y99" s="73">
        <v>0</v>
      </c>
      <c r="Z99" s="72">
        <v>14277</v>
      </c>
      <c r="AA99" s="73">
        <v>0</v>
      </c>
      <c r="AB99" s="72">
        <v>1779</v>
      </c>
      <c r="AC99" s="73">
        <v>0</v>
      </c>
      <c r="AD99" s="72">
        <v>0</v>
      </c>
      <c r="AE99" s="73">
        <v>0</v>
      </c>
      <c r="AF99" s="72">
        <v>0</v>
      </c>
      <c r="AG99" s="88">
        <v>0</v>
      </c>
      <c r="AH99"/>
    </row>
    <row r="100" spans="1:34">
      <c r="B100" s="114">
        <v>81</v>
      </c>
      <c r="C100" s="117">
        <v>51</v>
      </c>
      <c r="D100" s="117" t="s">
        <v>21</v>
      </c>
      <c r="E100" s="117" t="s">
        <v>121</v>
      </c>
      <c r="F100" s="117" t="s">
        <v>23</v>
      </c>
      <c r="G100" s="117" t="s">
        <v>125</v>
      </c>
      <c r="H100" s="117" t="s">
        <v>126</v>
      </c>
      <c r="I100" s="120" t="s">
        <v>127</v>
      </c>
      <c r="J100" s="84">
        <v>26467</v>
      </c>
      <c r="K100" s="73">
        <v>0</v>
      </c>
      <c r="L100" s="72">
        <v>19256</v>
      </c>
      <c r="M100" s="73">
        <v>0</v>
      </c>
      <c r="N100" s="72">
        <v>28884</v>
      </c>
      <c r="O100" s="73">
        <v>0</v>
      </c>
      <c r="P100" s="72">
        <v>22351</v>
      </c>
      <c r="Q100" s="73">
        <v>0</v>
      </c>
      <c r="R100" s="72">
        <v>25975</v>
      </c>
      <c r="S100" s="73">
        <v>0</v>
      </c>
      <c r="T100" s="72">
        <v>30750</v>
      </c>
      <c r="U100" s="73">
        <v>0</v>
      </c>
      <c r="V100" s="72">
        <v>27932</v>
      </c>
      <c r="W100" s="73">
        <v>0</v>
      </c>
      <c r="X100" s="72">
        <v>12379</v>
      </c>
      <c r="Y100" s="73">
        <v>0</v>
      </c>
      <c r="Z100" s="72">
        <v>17142</v>
      </c>
      <c r="AA100" s="73">
        <v>0</v>
      </c>
      <c r="AB100" s="72">
        <v>7222</v>
      </c>
      <c r="AC100" s="73">
        <v>0</v>
      </c>
      <c r="AD100" s="72">
        <v>0</v>
      </c>
      <c r="AE100" s="73">
        <v>0</v>
      </c>
      <c r="AF100" s="72">
        <v>0</v>
      </c>
      <c r="AG100" s="88">
        <v>0</v>
      </c>
      <c r="AH100"/>
    </row>
    <row r="101" spans="1:34">
      <c r="B101" s="114">
        <v>82</v>
      </c>
      <c r="C101" s="117">
        <v>51</v>
      </c>
      <c r="D101" s="117" t="s">
        <v>21</v>
      </c>
      <c r="E101" s="117" t="s">
        <v>121</v>
      </c>
      <c r="F101" s="117" t="s">
        <v>23</v>
      </c>
      <c r="G101" s="117" t="s">
        <v>72</v>
      </c>
      <c r="H101" s="117" t="s">
        <v>30</v>
      </c>
      <c r="I101" s="120" t="s">
        <v>30</v>
      </c>
      <c r="J101" s="84">
        <v>0</v>
      </c>
      <c r="K101" s="73">
        <v>0</v>
      </c>
      <c r="L101" s="72">
        <v>0</v>
      </c>
      <c r="M101" s="73">
        <v>0</v>
      </c>
      <c r="N101" s="72">
        <v>4724</v>
      </c>
      <c r="O101" s="73">
        <v>0</v>
      </c>
      <c r="P101" s="72">
        <v>9898</v>
      </c>
      <c r="Q101" s="73">
        <v>0</v>
      </c>
      <c r="R101" s="72">
        <v>6979</v>
      </c>
      <c r="S101" s="73">
        <v>0</v>
      </c>
      <c r="T101" s="72">
        <v>0</v>
      </c>
      <c r="U101" s="73">
        <v>0</v>
      </c>
      <c r="V101" s="72">
        <v>0</v>
      </c>
      <c r="W101" s="73">
        <v>0</v>
      </c>
      <c r="X101" s="72">
        <v>0</v>
      </c>
      <c r="Y101" s="73">
        <v>0</v>
      </c>
      <c r="Z101" s="72">
        <v>0</v>
      </c>
      <c r="AA101" s="73">
        <v>0</v>
      </c>
      <c r="AB101" s="72">
        <v>0</v>
      </c>
      <c r="AC101" s="73">
        <v>0</v>
      </c>
      <c r="AD101" s="72">
        <v>0</v>
      </c>
      <c r="AE101" s="73">
        <v>0</v>
      </c>
      <c r="AF101" s="72">
        <v>0</v>
      </c>
      <c r="AG101" s="88">
        <v>0</v>
      </c>
      <c r="AH101"/>
    </row>
    <row r="102" spans="1:34">
      <c r="B102" s="114">
        <v>83</v>
      </c>
      <c r="C102" s="117">
        <v>51</v>
      </c>
      <c r="D102" s="117" t="s">
        <v>21</v>
      </c>
      <c r="E102" s="117" t="s">
        <v>121</v>
      </c>
      <c r="F102" s="117" t="s">
        <v>23</v>
      </c>
      <c r="G102" s="117" t="s">
        <v>39</v>
      </c>
      <c r="H102" s="117" t="s">
        <v>40</v>
      </c>
      <c r="I102" s="120" t="s">
        <v>40</v>
      </c>
      <c r="J102" s="84">
        <v>0</v>
      </c>
      <c r="K102" s="73">
        <v>0</v>
      </c>
      <c r="L102" s="72">
        <v>6366</v>
      </c>
      <c r="M102" s="73">
        <v>0</v>
      </c>
      <c r="N102" s="72">
        <v>0</v>
      </c>
      <c r="O102" s="73">
        <v>0</v>
      </c>
      <c r="P102" s="72">
        <v>0</v>
      </c>
      <c r="Q102" s="73">
        <v>0</v>
      </c>
      <c r="R102" s="72">
        <v>2223</v>
      </c>
      <c r="S102" s="73">
        <v>0</v>
      </c>
      <c r="T102" s="72">
        <v>2223</v>
      </c>
      <c r="U102" s="73">
        <v>0</v>
      </c>
      <c r="V102" s="72">
        <v>2122</v>
      </c>
      <c r="W102" s="73">
        <v>0</v>
      </c>
      <c r="X102" s="72">
        <v>6592</v>
      </c>
      <c r="Y102" s="73">
        <v>0</v>
      </c>
      <c r="Z102" s="72">
        <v>4430</v>
      </c>
      <c r="AA102" s="73">
        <v>0</v>
      </c>
      <c r="AB102" s="72">
        <v>0</v>
      </c>
      <c r="AC102" s="73">
        <v>0</v>
      </c>
      <c r="AD102" s="72">
        <v>0</v>
      </c>
      <c r="AE102" s="73">
        <v>0</v>
      </c>
      <c r="AF102" s="72">
        <v>0</v>
      </c>
      <c r="AG102" s="88">
        <v>0</v>
      </c>
      <c r="AH102"/>
    </row>
    <row r="103" spans="1:34">
      <c r="B103" s="114">
        <v>84</v>
      </c>
      <c r="C103" s="117">
        <v>51</v>
      </c>
      <c r="D103" s="117" t="s">
        <v>21</v>
      </c>
      <c r="E103" s="117" t="s">
        <v>121</v>
      </c>
      <c r="F103" s="117" t="s">
        <v>23</v>
      </c>
      <c r="G103" s="117" t="s">
        <v>45</v>
      </c>
      <c r="H103" s="117" t="s">
        <v>46</v>
      </c>
      <c r="I103" s="120" t="s">
        <v>46</v>
      </c>
      <c r="J103" s="84">
        <v>0</v>
      </c>
      <c r="K103" s="73">
        <v>0</v>
      </c>
      <c r="L103" s="72">
        <v>0</v>
      </c>
      <c r="M103" s="73">
        <v>0</v>
      </c>
      <c r="N103" s="72">
        <v>0</v>
      </c>
      <c r="O103" s="73">
        <v>0</v>
      </c>
      <c r="P103" s="72">
        <v>0</v>
      </c>
      <c r="Q103" s="73">
        <v>0</v>
      </c>
      <c r="R103" s="72">
        <v>0</v>
      </c>
      <c r="S103" s="73">
        <v>0</v>
      </c>
      <c r="T103" s="72">
        <v>0</v>
      </c>
      <c r="U103" s="73">
        <v>0</v>
      </c>
      <c r="V103" s="72">
        <v>0</v>
      </c>
      <c r="W103" s="73">
        <v>0</v>
      </c>
      <c r="X103" s="72">
        <v>4046</v>
      </c>
      <c r="Y103" s="73">
        <v>0</v>
      </c>
      <c r="Z103" s="72">
        <v>0</v>
      </c>
      <c r="AA103" s="73">
        <v>0</v>
      </c>
      <c r="AB103" s="72">
        <v>0</v>
      </c>
      <c r="AC103" s="73">
        <v>0</v>
      </c>
      <c r="AD103" s="72">
        <v>0</v>
      </c>
      <c r="AE103" s="73">
        <v>0</v>
      </c>
      <c r="AF103" s="72">
        <v>0</v>
      </c>
      <c r="AG103" s="88">
        <v>0</v>
      </c>
      <c r="AH103"/>
    </row>
    <row r="104" spans="1:34">
      <c r="B104" s="114">
        <v>85</v>
      </c>
      <c r="C104" s="117">
        <v>51</v>
      </c>
      <c r="D104" s="117" t="s">
        <v>21</v>
      </c>
      <c r="E104" s="117" t="s">
        <v>121</v>
      </c>
      <c r="F104" s="117" t="s">
        <v>23</v>
      </c>
      <c r="G104" s="117" t="s">
        <v>122</v>
      </c>
      <c r="H104" s="117" t="s">
        <v>123</v>
      </c>
      <c r="I104" s="120" t="s">
        <v>124</v>
      </c>
      <c r="J104" s="84">
        <v>14442</v>
      </c>
      <c r="K104" s="73">
        <v>0</v>
      </c>
      <c r="L104" s="72">
        <v>14442</v>
      </c>
      <c r="M104" s="73">
        <v>0</v>
      </c>
      <c r="N104" s="72">
        <v>12035</v>
      </c>
      <c r="O104" s="73">
        <v>0</v>
      </c>
      <c r="P104" s="72">
        <v>26477</v>
      </c>
      <c r="Q104" s="73">
        <v>0</v>
      </c>
      <c r="R104" s="72">
        <v>36449</v>
      </c>
      <c r="S104" s="73">
        <v>0</v>
      </c>
      <c r="T104" s="72">
        <v>28884</v>
      </c>
      <c r="U104" s="73">
        <v>0</v>
      </c>
      <c r="V104" s="72">
        <v>19926</v>
      </c>
      <c r="W104" s="73">
        <v>0</v>
      </c>
      <c r="X104" s="72">
        <v>6533</v>
      </c>
      <c r="Y104" s="73">
        <v>0</v>
      </c>
      <c r="Z104" s="72">
        <v>14035</v>
      </c>
      <c r="AA104" s="73">
        <v>0</v>
      </c>
      <c r="AB104" s="72">
        <v>16162</v>
      </c>
      <c r="AC104" s="73">
        <v>0</v>
      </c>
      <c r="AD104" s="72">
        <v>0</v>
      </c>
      <c r="AE104" s="73">
        <v>0</v>
      </c>
      <c r="AF104" s="72">
        <v>0</v>
      </c>
      <c r="AG104" s="88">
        <v>0</v>
      </c>
      <c r="AH104"/>
    </row>
    <row r="105" spans="1:34">
      <c r="B105" s="114">
        <v>86</v>
      </c>
      <c r="C105" s="117">
        <v>51</v>
      </c>
      <c r="D105" s="117" t="s">
        <v>21</v>
      </c>
      <c r="E105" s="117" t="s">
        <v>121</v>
      </c>
      <c r="F105" s="117" t="s">
        <v>23</v>
      </c>
      <c r="G105" s="117" t="s">
        <v>136</v>
      </c>
      <c r="H105" s="117" t="s">
        <v>137</v>
      </c>
      <c r="I105" s="120" t="s">
        <v>137</v>
      </c>
      <c r="J105" s="84">
        <v>3966</v>
      </c>
      <c r="K105" s="73">
        <v>0</v>
      </c>
      <c r="L105" s="72">
        <v>7932</v>
      </c>
      <c r="M105" s="73">
        <v>0</v>
      </c>
      <c r="N105" s="72">
        <v>11932</v>
      </c>
      <c r="O105" s="73">
        <v>0</v>
      </c>
      <c r="P105" s="72">
        <v>4300</v>
      </c>
      <c r="Q105" s="73">
        <v>0</v>
      </c>
      <c r="R105" s="72">
        <v>13220</v>
      </c>
      <c r="S105" s="73">
        <v>0</v>
      </c>
      <c r="T105" s="72">
        <v>6610</v>
      </c>
      <c r="U105" s="73">
        <v>0</v>
      </c>
      <c r="V105" s="72">
        <v>3337</v>
      </c>
      <c r="W105" s="73">
        <v>0</v>
      </c>
      <c r="X105" s="72">
        <v>4123</v>
      </c>
      <c r="Y105" s="73">
        <v>0</v>
      </c>
      <c r="Z105" s="72">
        <v>4721</v>
      </c>
      <c r="AA105" s="73">
        <v>0</v>
      </c>
      <c r="AB105" s="72">
        <v>6918</v>
      </c>
      <c r="AC105" s="73">
        <v>0</v>
      </c>
      <c r="AD105" s="72">
        <v>0</v>
      </c>
      <c r="AE105" s="73">
        <v>0</v>
      </c>
      <c r="AF105" s="72">
        <v>0</v>
      </c>
      <c r="AG105" s="88">
        <v>0</v>
      </c>
      <c r="AH105"/>
    </row>
    <row r="106" spans="1:34">
      <c r="B106" s="114">
        <v>87</v>
      </c>
      <c r="C106" s="117">
        <v>51</v>
      </c>
      <c r="D106" s="117" t="s">
        <v>21</v>
      </c>
      <c r="E106" s="117" t="s">
        <v>121</v>
      </c>
      <c r="F106" s="117" t="s">
        <v>23</v>
      </c>
      <c r="G106" s="117" t="s">
        <v>33</v>
      </c>
      <c r="H106" s="117" t="s">
        <v>34</v>
      </c>
      <c r="I106" s="120" t="s">
        <v>34</v>
      </c>
      <c r="J106" s="84">
        <v>0</v>
      </c>
      <c r="K106" s="73">
        <v>0</v>
      </c>
      <c r="L106" s="72">
        <v>0</v>
      </c>
      <c r="M106" s="73">
        <v>0</v>
      </c>
      <c r="N106" s="72">
        <v>0</v>
      </c>
      <c r="O106" s="73">
        <v>0</v>
      </c>
      <c r="P106" s="72">
        <v>0</v>
      </c>
      <c r="Q106" s="73">
        <v>0</v>
      </c>
      <c r="R106" s="72">
        <v>0</v>
      </c>
      <c r="S106" s="73">
        <v>0</v>
      </c>
      <c r="T106" s="72">
        <v>0</v>
      </c>
      <c r="U106" s="73">
        <v>0</v>
      </c>
      <c r="V106" s="72">
        <v>0</v>
      </c>
      <c r="W106" s="73">
        <v>0</v>
      </c>
      <c r="X106" s="72">
        <v>6804</v>
      </c>
      <c r="Y106" s="73">
        <v>0</v>
      </c>
      <c r="Z106" s="72">
        <v>0</v>
      </c>
      <c r="AA106" s="73">
        <v>0</v>
      </c>
      <c r="AB106" s="72">
        <v>0</v>
      </c>
      <c r="AC106" s="73">
        <v>0</v>
      </c>
      <c r="AD106" s="72">
        <v>0</v>
      </c>
      <c r="AE106" s="73">
        <v>0</v>
      </c>
      <c r="AF106" s="72">
        <v>0</v>
      </c>
      <c r="AG106" s="88">
        <v>0</v>
      </c>
      <c r="AH106"/>
    </row>
    <row r="107" spans="1:34">
      <c r="B107" s="114">
        <v>88</v>
      </c>
      <c r="C107" s="117">
        <v>51</v>
      </c>
      <c r="D107" s="117" t="s">
        <v>21</v>
      </c>
      <c r="E107" s="117" t="s">
        <v>138</v>
      </c>
      <c r="F107" s="117" t="s">
        <v>23</v>
      </c>
      <c r="G107" s="117" t="s">
        <v>84</v>
      </c>
      <c r="H107" s="117" t="s">
        <v>85</v>
      </c>
      <c r="I107" s="120" t="s">
        <v>85</v>
      </c>
      <c r="J107" s="84">
        <v>0</v>
      </c>
      <c r="K107" s="73">
        <v>0</v>
      </c>
      <c r="L107" s="72">
        <v>5460</v>
      </c>
      <c r="M107" s="73">
        <v>0</v>
      </c>
      <c r="N107" s="72">
        <v>0</v>
      </c>
      <c r="O107" s="73">
        <v>0</v>
      </c>
      <c r="P107" s="72">
        <v>0</v>
      </c>
      <c r="Q107" s="73">
        <v>0</v>
      </c>
      <c r="R107" s="72">
        <v>430</v>
      </c>
      <c r="S107" s="73">
        <v>0</v>
      </c>
      <c r="T107" s="72">
        <v>1317</v>
      </c>
      <c r="U107" s="73">
        <v>0</v>
      </c>
      <c r="V107" s="72">
        <v>5114</v>
      </c>
      <c r="W107" s="73">
        <v>0</v>
      </c>
      <c r="X107" s="72">
        <v>0</v>
      </c>
      <c r="Y107" s="73">
        <v>0</v>
      </c>
      <c r="Z107" s="72">
        <v>4005</v>
      </c>
      <c r="AA107" s="73">
        <v>0</v>
      </c>
      <c r="AB107" s="72">
        <v>0</v>
      </c>
      <c r="AC107" s="73">
        <v>0</v>
      </c>
      <c r="AD107" s="72">
        <v>0</v>
      </c>
      <c r="AE107" s="73">
        <v>0</v>
      </c>
      <c r="AF107" s="72">
        <v>0</v>
      </c>
      <c r="AG107" s="88">
        <v>0</v>
      </c>
      <c r="AH107"/>
    </row>
    <row r="108" spans="1:34">
      <c r="B108" s="114">
        <v>89</v>
      </c>
      <c r="C108" s="117">
        <v>51</v>
      </c>
      <c r="D108" s="117" t="s">
        <v>21</v>
      </c>
      <c r="E108" s="117" t="s">
        <v>138</v>
      </c>
      <c r="F108" s="117" t="s">
        <v>23</v>
      </c>
      <c r="G108" s="117" t="s">
        <v>139</v>
      </c>
      <c r="H108" s="117" t="s">
        <v>140</v>
      </c>
      <c r="I108" s="120" t="s">
        <v>141</v>
      </c>
      <c r="J108" s="84">
        <v>6714</v>
      </c>
      <c r="K108" s="73">
        <v>0</v>
      </c>
      <c r="L108" s="72">
        <v>6359</v>
      </c>
      <c r="M108" s="73">
        <v>0</v>
      </c>
      <c r="N108" s="72">
        <v>8215</v>
      </c>
      <c r="O108" s="73">
        <v>0</v>
      </c>
      <c r="P108" s="72">
        <v>9835</v>
      </c>
      <c r="Q108" s="73">
        <v>0</v>
      </c>
      <c r="R108" s="72">
        <v>8958</v>
      </c>
      <c r="S108" s="73">
        <v>0</v>
      </c>
      <c r="T108" s="72">
        <v>9310</v>
      </c>
      <c r="U108" s="73">
        <v>0</v>
      </c>
      <c r="V108" s="72">
        <v>8828</v>
      </c>
      <c r="W108" s="73">
        <v>0</v>
      </c>
      <c r="X108" s="72">
        <v>6789</v>
      </c>
      <c r="Y108" s="73">
        <v>0</v>
      </c>
      <c r="Z108" s="72">
        <v>8748</v>
      </c>
      <c r="AA108" s="73">
        <v>0</v>
      </c>
      <c r="AB108" s="72">
        <v>6685</v>
      </c>
      <c r="AC108" s="73">
        <v>0</v>
      </c>
      <c r="AD108" s="72">
        <v>0</v>
      </c>
      <c r="AE108" s="73">
        <v>0</v>
      </c>
      <c r="AF108" s="72">
        <v>0</v>
      </c>
      <c r="AG108" s="88">
        <v>0</v>
      </c>
      <c r="AH108"/>
    </row>
    <row r="109" spans="1:34">
      <c r="B109" s="114">
        <v>90</v>
      </c>
      <c r="C109" s="117">
        <v>51</v>
      </c>
      <c r="D109" s="117" t="s">
        <v>21</v>
      </c>
      <c r="E109" s="117" t="s">
        <v>138</v>
      </c>
      <c r="F109" s="117" t="s">
        <v>23</v>
      </c>
      <c r="G109" s="117" t="s">
        <v>128</v>
      </c>
      <c r="H109" s="117" t="s">
        <v>129</v>
      </c>
      <c r="I109" s="120" t="s">
        <v>130</v>
      </c>
      <c r="J109" s="84">
        <v>0</v>
      </c>
      <c r="K109" s="73">
        <v>0</v>
      </c>
      <c r="L109" s="72">
        <v>0</v>
      </c>
      <c r="M109" s="73">
        <v>0</v>
      </c>
      <c r="N109" s="72">
        <v>0</v>
      </c>
      <c r="O109" s="73">
        <v>0</v>
      </c>
      <c r="P109" s="72">
        <v>0</v>
      </c>
      <c r="Q109" s="73">
        <v>0</v>
      </c>
      <c r="R109" s="72">
        <v>0</v>
      </c>
      <c r="S109" s="73">
        <v>0</v>
      </c>
      <c r="T109" s="72">
        <v>0</v>
      </c>
      <c r="U109" s="73">
        <v>0</v>
      </c>
      <c r="V109" s="72">
        <v>2813</v>
      </c>
      <c r="W109" s="73">
        <v>0</v>
      </c>
      <c r="X109" s="72">
        <v>8506</v>
      </c>
      <c r="Y109" s="73">
        <v>0</v>
      </c>
      <c r="Z109" s="72">
        <v>0</v>
      </c>
      <c r="AA109" s="73">
        <v>0</v>
      </c>
      <c r="AB109" s="72">
        <v>0</v>
      </c>
      <c r="AC109" s="73">
        <v>0</v>
      </c>
      <c r="AD109" s="72">
        <v>0</v>
      </c>
      <c r="AE109" s="73">
        <v>0</v>
      </c>
      <c r="AF109" s="72">
        <v>0</v>
      </c>
      <c r="AG109" s="88">
        <v>0</v>
      </c>
      <c r="AH109"/>
    </row>
    <row r="110" spans="1:34">
      <c r="B110" s="114">
        <v>91</v>
      </c>
      <c r="C110" s="117">
        <v>51</v>
      </c>
      <c r="D110" s="117" t="s">
        <v>21</v>
      </c>
      <c r="E110" s="117" t="s">
        <v>138</v>
      </c>
      <c r="F110" s="117" t="s">
        <v>23</v>
      </c>
      <c r="G110" s="117" t="s">
        <v>64</v>
      </c>
      <c r="H110" s="117" t="s">
        <v>65</v>
      </c>
      <c r="I110" s="120" t="s">
        <v>65</v>
      </c>
      <c r="J110" s="84">
        <v>0</v>
      </c>
      <c r="K110" s="73">
        <v>0</v>
      </c>
      <c r="L110" s="72">
        <v>2584</v>
      </c>
      <c r="M110" s="73">
        <v>0</v>
      </c>
      <c r="N110" s="72">
        <v>3146</v>
      </c>
      <c r="O110" s="73">
        <v>0</v>
      </c>
      <c r="P110" s="72">
        <v>1265</v>
      </c>
      <c r="Q110" s="73">
        <v>0</v>
      </c>
      <c r="R110" s="72">
        <v>0</v>
      </c>
      <c r="S110" s="73">
        <v>0</v>
      </c>
      <c r="T110" s="72">
        <v>2538</v>
      </c>
      <c r="U110" s="73">
        <v>0</v>
      </c>
      <c r="V110" s="72">
        <v>0</v>
      </c>
      <c r="W110" s="73">
        <v>0</v>
      </c>
      <c r="X110" s="72">
        <v>2382</v>
      </c>
      <c r="Y110" s="73">
        <v>0</v>
      </c>
      <c r="Z110" s="72">
        <v>9501</v>
      </c>
      <c r="AA110" s="73">
        <v>0</v>
      </c>
      <c r="AB110" s="72">
        <v>7359</v>
      </c>
      <c r="AC110" s="73">
        <v>0</v>
      </c>
      <c r="AD110" s="72">
        <v>0</v>
      </c>
      <c r="AE110" s="73">
        <v>0</v>
      </c>
      <c r="AF110" s="72">
        <v>0</v>
      </c>
      <c r="AG110" s="88">
        <v>0</v>
      </c>
      <c r="AH110"/>
    </row>
    <row r="111" spans="1:34">
      <c r="B111" s="114">
        <v>92</v>
      </c>
      <c r="C111" s="117">
        <v>51</v>
      </c>
      <c r="D111" s="117" t="s">
        <v>21</v>
      </c>
      <c r="E111" s="117" t="s">
        <v>138</v>
      </c>
      <c r="F111" s="117" t="s">
        <v>23</v>
      </c>
      <c r="G111" s="117" t="s">
        <v>136</v>
      </c>
      <c r="H111" s="117" t="s">
        <v>137</v>
      </c>
      <c r="I111" s="120" t="s">
        <v>137</v>
      </c>
      <c r="J111" s="84">
        <v>0</v>
      </c>
      <c r="K111" s="73">
        <v>0</v>
      </c>
      <c r="L111" s="72">
        <v>0</v>
      </c>
      <c r="M111" s="73">
        <v>0</v>
      </c>
      <c r="N111" s="72">
        <v>0</v>
      </c>
      <c r="O111" s="73">
        <v>0</v>
      </c>
      <c r="P111" s="72">
        <v>0</v>
      </c>
      <c r="Q111" s="73">
        <v>0</v>
      </c>
      <c r="R111" s="72">
        <v>0</v>
      </c>
      <c r="S111" s="73">
        <v>0</v>
      </c>
      <c r="T111" s="72">
        <v>0</v>
      </c>
      <c r="U111" s="73">
        <v>0</v>
      </c>
      <c r="V111" s="72">
        <v>6233</v>
      </c>
      <c r="W111" s="73">
        <v>0</v>
      </c>
      <c r="X111" s="72">
        <v>3966</v>
      </c>
      <c r="Y111" s="73">
        <v>0</v>
      </c>
      <c r="Z111" s="72">
        <v>0</v>
      </c>
      <c r="AA111" s="73">
        <v>0</v>
      </c>
      <c r="AB111" s="72">
        <v>6918</v>
      </c>
      <c r="AC111" s="73">
        <v>0</v>
      </c>
      <c r="AD111" s="72">
        <v>0</v>
      </c>
      <c r="AE111" s="73">
        <v>0</v>
      </c>
      <c r="AF111" s="72">
        <v>0</v>
      </c>
      <c r="AG111" s="88">
        <v>0</v>
      </c>
      <c r="AH111"/>
    </row>
    <row r="112" spans="1:34">
      <c r="B112" s="114">
        <v>93</v>
      </c>
      <c r="C112" s="117">
        <v>51</v>
      </c>
      <c r="D112" s="117" t="s">
        <v>21</v>
      </c>
      <c r="E112" s="117" t="s">
        <v>138</v>
      </c>
      <c r="F112" s="117" t="s">
        <v>23</v>
      </c>
      <c r="G112" s="117" t="s">
        <v>133</v>
      </c>
      <c r="H112" s="117" t="s">
        <v>134</v>
      </c>
      <c r="I112" s="120" t="s">
        <v>135</v>
      </c>
      <c r="J112" s="84">
        <v>0</v>
      </c>
      <c r="K112" s="73">
        <v>0</v>
      </c>
      <c r="L112" s="72">
        <v>0</v>
      </c>
      <c r="M112" s="73">
        <v>0</v>
      </c>
      <c r="N112" s="72">
        <v>0</v>
      </c>
      <c r="O112" s="73">
        <v>0</v>
      </c>
      <c r="P112" s="72">
        <v>0</v>
      </c>
      <c r="Q112" s="73">
        <v>0</v>
      </c>
      <c r="R112" s="72">
        <v>0</v>
      </c>
      <c r="S112" s="73">
        <v>0</v>
      </c>
      <c r="T112" s="72">
        <v>0</v>
      </c>
      <c r="U112" s="73">
        <v>0</v>
      </c>
      <c r="V112" s="72">
        <v>0</v>
      </c>
      <c r="W112" s="73">
        <v>0</v>
      </c>
      <c r="X112" s="72">
        <v>0</v>
      </c>
      <c r="Y112" s="73">
        <v>0</v>
      </c>
      <c r="Z112" s="72">
        <v>3716</v>
      </c>
      <c r="AA112" s="73">
        <v>0</v>
      </c>
      <c r="AB112" s="72">
        <v>3902</v>
      </c>
      <c r="AC112" s="73">
        <v>0</v>
      </c>
      <c r="AD112" s="72">
        <v>0</v>
      </c>
      <c r="AE112" s="73">
        <v>0</v>
      </c>
      <c r="AF112" s="72">
        <v>0</v>
      </c>
      <c r="AG112" s="88">
        <v>0</v>
      </c>
      <c r="AH112"/>
    </row>
    <row r="113" spans="1:34">
      <c r="B113" s="114">
        <v>94</v>
      </c>
      <c r="C113" s="117">
        <v>51</v>
      </c>
      <c r="D113" s="117" t="s">
        <v>21</v>
      </c>
      <c r="E113" s="117" t="s">
        <v>138</v>
      </c>
      <c r="F113" s="117" t="s">
        <v>23</v>
      </c>
      <c r="G113" s="117" t="s">
        <v>125</v>
      </c>
      <c r="H113" s="117" t="s">
        <v>126</v>
      </c>
      <c r="I113" s="120" t="s">
        <v>127</v>
      </c>
      <c r="J113" s="84">
        <v>0</v>
      </c>
      <c r="K113" s="73">
        <v>0</v>
      </c>
      <c r="L113" s="72">
        <v>0</v>
      </c>
      <c r="M113" s="73">
        <v>0</v>
      </c>
      <c r="N113" s="72">
        <v>0</v>
      </c>
      <c r="O113" s="73">
        <v>0</v>
      </c>
      <c r="P113" s="72">
        <v>0</v>
      </c>
      <c r="Q113" s="73">
        <v>0</v>
      </c>
      <c r="R113" s="72">
        <v>0</v>
      </c>
      <c r="S113" s="73">
        <v>0</v>
      </c>
      <c r="T113" s="72">
        <v>0</v>
      </c>
      <c r="U113" s="73">
        <v>0</v>
      </c>
      <c r="V113" s="72">
        <v>0</v>
      </c>
      <c r="W113" s="73">
        <v>0</v>
      </c>
      <c r="X113" s="72">
        <v>14442</v>
      </c>
      <c r="Y113" s="73">
        <v>0</v>
      </c>
      <c r="Z113" s="72">
        <v>900</v>
      </c>
      <c r="AA113" s="73">
        <v>0</v>
      </c>
      <c r="AB113" s="72">
        <v>7222</v>
      </c>
      <c r="AC113" s="73">
        <v>0</v>
      </c>
      <c r="AD113" s="72">
        <v>0</v>
      </c>
      <c r="AE113" s="73">
        <v>0</v>
      </c>
      <c r="AF113" s="72">
        <v>0</v>
      </c>
      <c r="AG113" s="88">
        <v>0</v>
      </c>
      <c r="AH113"/>
    </row>
    <row r="114" spans="1:34">
      <c r="B114" s="114">
        <v>95</v>
      </c>
      <c r="C114" s="117">
        <v>51</v>
      </c>
      <c r="D114" s="117" t="s">
        <v>21</v>
      </c>
      <c r="E114" s="117" t="s">
        <v>138</v>
      </c>
      <c r="F114" s="117" t="s">
        <v>23</v>
      </c>
      <c r="G114" s="117" t="s">
        <v>122</v>
      </c>
      <c r="H114" s="117" t="s">
        <v>123</v>
      </c>
      <c r="I114" s="120" t="s">
        <v>124</v>
      </c>
      <c r="J114" s="84">
        <v>0</v>
      </c>
      <c r="K114" s="73">
        <v>0</v>
      </c>
      <c r="L114" s="72">
        <v>12035</v>
      </c>
      <c r="M114" s="73">
        <v>0</v>
      </c>
      <c r="N114" s="72">
        <v>14442</v>
      </c>
      <c r="O114" s="73">
        <v>0</v>
      </c>
      <c r="P114" s="72">
        <v>0</v>
      </c>
      <c r="Q114" s="73">
        <v>0</v>
      </c>
      <c r="R114" s="72">
        <v>0</v>
      </c>
      <c r="S114" s="73">
        <v>0</v>
      </c>
      <c r="T114" s="72">
        <v>0</v>
      </c>
      <c r="U114" s="73">
        <v>0</v>
      </c>
      <c r="V114" s="72">
        <v>2427</v>
      </c>
      <c r="W114" s="73">
        <v>0</v>
      </c>
      <c r="X114" s="72">
        <v>19256</v>
      </c>
      <c r="Y114" s="73">
        <v>0</v>
      </c>
      <c r="Z114" s="72">
        <v>5831</v>
      </c>
      <c r="AA114" s="73">
        <v>0</v>
      </c>
      <c r="AB114" s="72">
        <v>16162</v>
      </c>
      <c r="AC114" s="73">
        <v>0</v>
      </c>
      <c r="AD114" s="72">
        <v>0</v>
      </c>
      <c r="AE114" s="73">
        <v>0</v>
      </c>
      <c r="AF114" s="72">
        <v>0</v>
      </c>
      <c r="AG114" s="88">
        <v>0</v>
      </c>
      <c r="AH114"/>
    </row>
    <row r="115" spans="1:34">
      <c r="B115" s="114">
        <v>96</v>
      </c>
      <c r="C115" s="117">
        <v>51</v>
      </c>
      <c r="D115" s="117" t="s">
        <v>21</v>
      </c>
      <c r="E115" s="117" t="s">
        <v>138</v>
      </c>
      <c r="F115" s="117" t="s">
        <v>23</v>
      </c>
      <c r="G115" s="117" t="s">
        <v>131</v>
      </c>
      <c r="H115" s="117" t="s">
        <v>132</v>
      </c>
      <c r="I115" s="120" t="s">
        <v>132</v>
      </c>
      <c r="J115" s="84">
        <v>16907</v>
      </c>
      <c r="K115" s="73">
        <v>0</v>
      </c>
      <c r="L115" s="72">
        <v>13272</v>
      </c>
      <c r="M115" s="73">
        <v>0</v>
      </c>
      <c r="N115" s="72">
        <v>15883</v>
      </c>
      <c r="O115" s="73">
        <v>0</v>
      </c>
      <c r="P115" s="72">
        <v>18420</v>
      </c>
      <c r="Q115" s="73">
        <v>0</v>
      </c>
      <c r="R115" s="72">
        <v>19834</v>
      </c>
      <c r="S115" s="73">
        <v>0</v>
      </c>
      <c r="T115" s="72">
        <v>17849</v>
      </c>
      <c r="U115" s="73">
        <v>0</v>
      </c>
      <c r="V115" s="72">
        <v>10669</v>
      </c>
      <c r="W115" s="73">
        <v>0</v>
      </c>
      <c r="X115" s="72">
        <v>10789</v>
      </c>
      <c r="Y115" s="73">
        <v>0</v>
      </c>
      <c r="Z115" s="72">
        <v>7812</v>
      </c>
      <c r="AA115" s="73">
        <v>0</v>
      </c>
      <c r="AB115" s="72">
        <v>5568</v>
      </c>
      <c r="AC115" s="73">
        <v>0</v>
      </c>
      <c r="AD115" s="72">
        <v>0</v>
      </c>
      <c r="AE115" s="73">
        <v>0</v>
      </c>
      <c r="AF115" s="72">
        <v>0</v>
      </c>
      <c r="AG115" s="88">
        <v>0</v>
      </c>
      <c r="AH115"/>
    </row>
    <row r="116" spans="1:34">
      <c r="B116" s="114">
        <v>97</v>
      </c>
      <c r="C116" s="117">
        <v>51</v>
      </c>
      <c r="D116" s="117" t="s">
        <v>21</v>
      </c>
      <c r="E116" s="117" t="s">
        <v>138</v>
      </c>
      <c r="F116" s="117" t="s">
        <v>23</v>
      </c>
      <c r="G116" s="117" t="s">
        <v>103</v>
      </c>
      <c r="H116" s="117" t="s">
        <v>104</v>
      </c>
      <c r="I116" s="120"/>
      <c r="J116" s="84">
        <v>0</v>
      </c>
      <c r="K116" s="73">
        <v>0</v>
      </c>
      <c r="L116" s="72">
        <v>0</v>
      </c>
      <c r="M116" s="73">
        <v>0</v>
      </c>
      <c r="N116" s="72">
        <v>0</v>
      </c>
      <c r="O116" s="73">
        <v>0</v>
      </c>
      <c r="P116" s="72">
        <v>0</v>
      </c>
      <c r="Q116" s="73">
        <v>0</v>
      </c>
      <c r="R116" s="72">
        <v>0</v>
      </c>
      <c r="S116" s="73">
        <v>0</v>
      </c>
      <c r="T116" s="72">
        <v>0</v>
      </c>
      <c r="U116" s="73">
        <v>0</v>
      </c>
      <c r="V116" s="72">
        <v>0</v>
      </c>
      <c r="W116" s="73">
        <v>0</v>
      </c>
      <c r="X116" s="72">
        <v>0</v>
      </c>
      <c r="Y116" s="73">
        <v>0</v>
      </c>
      <c r="Z116" s="72">
        <v>0</v>
      </c>
      <c r="AA116" s="73">
        <v>0</v>
      </c>
      <c r="AB116" s="72">
        <v>0</v>
      </c>
      <c r="AC116" s="73">
        <v>0</v>
      </c>
      <c r="AD116" s="72">
        <v>0</v>
      </c>
      <c r="AE116" s="73">
        <v>0</v>
      </c>
      <c r="AF116" s="72">
        <v>0</v>
      </c>
      <c r="AG116" s="88">
        <v>0</v>
      </c>
      <c r="AH116"/>
    </row>
    <row r="117" spans="1:34">
      <c r="B117" s="114">
        <v>98</v>
      </c>
      <c r="C117" s="117">
        <v>51</v>
      </c>
      <c r="D117" s="117" t="s">
        <v>21</v>
      </c>
      <c r="E117" s="117" t="s">
        <v>142</v>
      </c>
      <c r="F117" s="117" t="s">
        <v>114</v>
      </c>
      <c r="G117" s="117" t="s">
        <v>119</v>
      </c>
      <c r="H117" s="117" t="s">
        <v>120</v>
      </c>
      <c r="I117" s="120" t="s">
        <v>120</v>
      </c>
      <c r="J117" s="84">
        <v>0</v>
      </c>
      <c r="K117" s="73">
        <v>0</v>
      </c>
      <c r="L117" s="72">
        <v>0</v>
      </c>
      <c r="M117" s="73">
        <v>0</v>
      </c>
      <c r="N117" s="72">
        <v>0</v>
      </c>
      <c r="O117" s="73">
        <v>0</v>
      </c>
      <c r="P117" s="72">
        <v>0</v>
      </c>
      <c r="Q117" s="73">
        <v>0</v>
      </c>
      <c r="R117" s="72">
        <v>0</v>
      </c>
      <c r="S117" s="73">
        <v>0</v>
      </c>
      <c r="T117" s="72">
        <v>0</v>
      </c>
      <c r="U117" s="73">
        <v>0</v>
      </c>
      <c r="V117" s="72">
        <v>0</v>
      </c>
      <c r="W117" s="73">
        <v>0</v>
      </c>
      <c r="X117" s="72">
        <v>0</v>
      </c>
      <c r="Y117" s="73">
        <v>0</v>
      </c>
      <c r="Z117" s="72">
        <v>0</v>
      </c>
      <c r="AA117" s="73">
        <v>0</v>
      </c>
      <c r="AB117" s="72">
        <v>7289</v>
      </c>
      <c r="AC117" s="73">
        <v>0</v>
      </c>
      <c r="AD117" s="72">
        <v>0</v>
      </c>
      <c r="AE117" s="73">
        <v>0</v>
      </c>
      <c r="AF117" s="72">
        <v>0</v>
      </c>
      <c r="AG117" s="88">
        <v>0</v>
      </c>
      <c r="AH117"/>
    </row>
    <row r="118" spans="1:34">
      <c r="B118" s="114">
        <v>99</v>
      </c>
      <c r="C118" s="117">
        <v>51</v>
      </c>
      <c r="D118" s="117" t="s">
        <v>21</v>
      </c>
      <c r="E118" s="117" t="s">
        <v>142</v>
      </c>
      <c r="F118" s="117" t="s">
        <v>114</v>
      </c>
      <c r="G118" s="117" t="s">
        <v>117</v>
      </c>
      <c r="H118" s="117" t="s">
        <v>118</v>
      </c>
      <c r="I118" s="120" t="s">
        <v>118</v>
      </c>
      <c r="J118" s="84">
        <v>0</v>
      </c>
      <c r="K118" s="73">
        <v>0</v>
      </c>
      <c r="L118" s="72">
        <v>0</v>
      </c>
      <c r="M118" s="73">
        <v>0</v>
      </c>
      <c r="N118" s="72">
        <v>0</v>
      </c>
      <c r="O118" s="73">
        <v>0</v>
      </c>
      <c r="P118" s="72">
        <v>0</v>
      </c>
      <c r="Q118" s="73">
        <v>0</v>
      </c>
      <c r="R118" s="72">
        <v>0</v>
      </c>
      <c r="S118" s="73">
        <v>0</v>
      </c>
      <c r="T118" s="72">
        <v>0</v>
      </c>
      <c r="U118" s="73">
        <v>0</v>
      </c>
      <c r="V118" s="72">
        <v>0</v>
      </c>
      <c r="W118" s="73">
        <v>0</v>
      </c>
      <c r="X118" s="72">
        <v>0</v>
      </c>
      <c r="Y118" s="73">
        <v>0</v>
      </c>
      <c r="Z118" s="72">
        <v>805</v>
      </c>
      <c r="AA118" s="73">
        <v>0</v>
      </c>
      <c r="AB118" s="72">
        <v>0</v>
      </c>
      <c r="AC118" s="73">
        <v>0</v>
      </c>
      <c r="AD118" s="72">
        <v>0</v>
      </c>
      <c r="AE118" s="73">
        <v>0</v>
      </c>
      <c r="AF118" s="72">
        <v>0</v>
      </c>
      <c r="AG118" s="88">
        <v>0</v>
      </c>
      <c r="AH118"/>
    </row>
    <row r="119" spans="1:34">
      <c r="B119" s="114">
        <v>100</v>
      </c>
      <c r="C119" s="117">
        <v>51</v>
      </c>
      <c r="D119" s="117" t="s">
        <v>21</v>
      </c>
      <c r="E119" s="117" t="s">
        <v>142</v>
      </c>
      <c r="F119" s="117" t="s">
        <v>114</v>
      </c>
      <c r="G119" s="117" t="s">
        <v>115</v>
      </c>
      <c r="H119" s="117" t="s">
        <v>116</v>
      </c>
      <c r="I119" s="120" t="s">
        <v>116</v>
      </c>
      <c r="J119" s="84">
        <v>0</v>
      </c>
      <c r="K119" s="73">
        <v>0</v>
      </c>
      <c r="L119" s="72">
        <v>0</v>
      </c>
      <c r="M119" s="73">
        <v>0</v>
      </c>
      <c r="N119" s="72">
        <v>0</v>
      </c>
      <c r="O119" s="73">
        <v>0</v>
      </c>
      <c r="P119" s="72">
        <v>0</v>
      </c>
      <c r="Q119" s="73">
        <v>0</v>
      </c>
      <c r="R119" s="72">
        <v>0</v>
      </c>
      <c r="S119" s="73">
        <v>0</v>
      </c>
      <c r="T119" s="72">
        <v>0</v>
      </c>
      <c r="U119" s="73">
        <v>0</v>
      </c>
      <c r="V119" s="72">
        <v>0</v>
      </c>
      <c r="W119" s="73">
        <v>0</v>
      </c>
      <c r="X119" s="72">
        <v>0</v>
      </c>
      <c r="Y119" s="73">
        <v>0</v>
      </c>
      <c r="Z119" s="72">
        <v>1833</v>
      </c>
      <c r="AA119" s="73">
        <v>0</v>
      </c>
      <c r="AB119" s="72">
        <v>18938</v>
      </c>
      <c r="AC119" s="73">
        <v>0</v>
      </c>
      <c r="AD119" s="72">
        <v>0</v>
      </c>
      <c r="AE119" s="73">
        <v>0</v>
      </c>
      <c r="AF119" s="72">
        <v>0</v>
      </c>
      <c r="AG119" s="88">
        <v>0</v>
      </c>
      <c r="AH119"/>
    </row>
    <row r="120" spans="1:34">
      <c r="B120" s="114">
        <v>101</v>
      </c>
      <c r="C120" s="117">
        <v>51</v>
      </c>
      <c r="D120" s="117" t="s">
        <v>21</v>
      </c>
      <c r="E120" s="117" t="s">
        <v>142</v>
      </c>
      <c r="F120" s="117" t="s">
        <v>114</v>
      </c>
      <c r="G120" s="117" t="s">
        <v>77</v>
      </c>
      <c r="H120" s="117" t="s">
        <v>78</v>
      </c>
      <c r="I120" s="120" t="s">
        <v>78</v>
      </c>
      <c r="J120" s="84">
        <v>0</v>
      </c>
      <c r="K120" s="73">
        <v>0</v>
      </c>
      <c r="L120" s="72">
        <v>0</v>
      </c>
      <c r="M120" s="73">
        <v>0</v>
      </c>
      <c r="N120" s="72">
        <v>0</v>
      </c>
      <c r="O120" s="73">
        <v>0</v>
      </c>
      <c r="P120" s="72">
        <v>0</v>
      </c>
      <c r="Q120" s="73">
        <v>0</v>
      </c>
      <c r="R120" s="72">
        <v>0</v>
      </c>
      <c r="S120" s="73">
        <v>0</v>
      </c>
      <c r="T120" s="72">
        <v>0</v>
      </c>
      <c r="U120" s="73">
        <v>0</v>
      </c>
      <c r="V120" s="72">
        <v>0</v>
      </c>
      <c r="W120" s="73">
        <v>0</v>
      </c>
      <c r="X120" s="72">
        <v>0</v>
      </c>
      <c r="Y120" s="73">
        <v>0</v>
      </c>
      <c r="Z120" s="72">
        <v>0</v>
      </c>
      <c r="AA120" s="73">
        <v>0</v>
      </c>
      <c r="AB120" s="72">
        <v>0</v>
      </c>
      <c r="AC120" s="73">
        <v>0</v>
      </c>
      <c r="AD120" s="72">
        <v>0</v>
      </c>
      <c r="AE120" s="73">
        <v>0</v>
      </c>
      <c r="AF120" s="72">
        <v>0</v>
      </c>
      <c r="AG120" s="88">
        <v>0</v>
      </c>
      <c r="AH120"/>
    </row>
    <row r="121" spans="1:34">
      <c r="B121" s="114">
        <v>102</v>
      </c>
      <c r="C121" s="117">
        <v>51</v>
      </c>
      <c r="D121" s="117" t="s">
        <v>21</v>
      </c>
      <c r="E121" s="117" t="s">
        <v>142</v>
      </c>
      <c r="F121" s="117" t="s">
        <v>114</v>
      </c>
      <c r="G121" s="117" t="s">
        <v>143</v>
      </c>
      <c r="H121" s="117" t="s">
        <v>144</v>
      </c>
      <c r="I121" s="120" t="s">
        <v>144</v>
      </c>
      <c r="J121" s="84">
        <v>12456</v>
      </c>
      <c r="K121" s="73">
        <v>0</v>
      </c>
      <c r="L121" s="72">
        <v>18831</v>
      </c>
      <c r="M121" s="73">
        <v>0</v>
      </c>
      <c r="N121" s="72">
        <v>16168</v>
      </c>
      <c r="O121" s="73">
        <v>0</v>
      </c>
      <c r="P121" s="72">
        <v>12465</v>
      </c>
      <c r="Q121" s="73">
        <v>0</v>
      </c>
      <c r="R121" s="72">
        <v>14305</v>
      </c>
      <c r="S121" s="73">
        <v>0</v>
      </c>
      <c r="T121" s="72">
        <v>17118</v>
      </c>
      <c r="U121" s="73">
        <v>0</v>
      </c>
      <c r="V121" s="72">
        <v>14608</v>
      </c>
      <c r="W121" s="73">
        <v>0</v>
      </c>
      <c r="X121" s="72">
        <v>14801</v>
      </c>
      <c r="Y121" s="73">
        <v>0</v>
      </c>
      <c r="Z121" s="72">
        <v>12272</v>
      </c>
      <c r="AA121" s="73">
        <v>0</v>
      </c>
      <c r="AB121" s="72">
        <v>7460</v>
      </c>
      <c r="AC121" s="73">
        <v>0</v>
      </c>
      <c r="AD121" s="72">
        <v>0</v>
      </c>
      <c r="AE121" s="73">
        <v>0</v>
      </c>
      <c r="AF121" s="72">
        <v>0</v>
      </c>
      <c r="AG121" s="88">
        <v>0</v>
      </c>
      <c r="AH121"/>
    </row>
    <row r="122" spans="1:34">
      <c r="B122" s="114">
        <v>103</v>
      </c>
      <c r="C122" s="117">
        <v>51</v>
      </c>
      <c r="D122" s="117" t="s">
        <v>21</v>
      </c>
      <c r="E122" s="117" t="s">
        <v>142</v>
      </c>
      <c r="F122" s="117" t="s">
        <v>114</v>
      </c>
      <c r="G122" s="117" t="s">
        <v>70</v>
      </c>
      <c r="H122" s="117" t="s">
        <v>71</v>
      </c>
      <c r="I122" s="120" t="s">
        <v>71</v>
      </c>
      <c r="J122" s="84">
        <v>5280</v>
      </c>
      <c r="K122" s="73">
        <v>0</v>
      </c>
      <c r="L122" s="72">
        <v>5096</v>
      </c>
      <c r="M122" s="73">
        <v>0</v>
      </c>
      <c r="N122" s="72">
        <v>3552</v>
      </c>
      <c r="O122" s="73">
        <v>0</v>
      </c>
      <c r="P122" s="72">
        <v>5472</v>
      </c>
      <c r="Q122" s="73">
        <v>0</v>
      </c>
      <c r="R122" s="72">
        <v>4400</v>
      </c>
      <c r="S122" s="73">
        <v>0</v>
      </c>
      <c r="T122" s="72">
        <v>10272</v>
      </c>
      <c r="U122" s="73">
        <v>0</v>
      </c>
      <c r="V122" s="72">
        <v>7593</v>
      </c>
      <c r="W122" s="73">
        <v>0</v>
      </c>
      <c r="X122" s="72">
        <v>11759</v>
      </c>
      <c r="Y122" s="73">
        <v>0</v>
      </c>
      <c r="Z122" s="72">
        <v>9123</v>
      </c>
      <c r="AA122" s="73">
        <v>0</v>
      </c>
      <c r="AB122" s="72">
        <v>960</v>
      </c>
      <c r="AC122" s="73">
        <v>0</v>
      </c>
      <c r="AD122" s="72">
        <v>0</v>
      </c>
      <c r="AE122" s="73">
        <v>0</v>
      </c>
      <c r="AF122" s="72">
        <v>0</v>
      </c>
      <c r="AG122" s="88">
        <v>0</v>
      </c>
      <c r="AH122"/>
    </row>
    <row r="123" spans="1:34">
      <c r="B123" s="114">
        <v>104</v>
      </c>
      <c r="C123" s="117">
        <v>51</v>
      </c>
      <c r="D123" s="117" t="s">
        <v>21</v>
      </c>
      <c r="E123" s="117" t="s">
        <v>145</v>
      </c>
      <c r="F123" s="117" t="s">
        <v>114</v>
      </c>
      <c r="G123" s="117" t="s">
        <v>109</v>
      </c>
      <c r="H123" s="117" t="s">
        <v>110</v>
      </c>
      <c r="I123" s="120" t="s">
        <v>110</v>
      </c>
      <c r="J123" s="84">
        <v>0</v>
      </c>
      <c r="K123" s="73">
        <v>0</v>
      </c>
      <c r="L123" s="72">
        <v>0</v>
      </c>
      <c r="M123" s="73">
        <v>0</v>
      </c>
      <c r="N123" s="72">
        <v>2447</v>
      </c>
      <c r="O123" s="73">
        <v>0</v>
      </c>
      <c r="P123" s="72">
        <v>10717</v>
      </c>
      <c r="Q123" s="73">
        <v>0</v>
      </c>
      <c r="R123" s="72">
        <v>13786</v>
      </c>
      <c r="S123" s="73">
        <v>0</v>
      </c>
      <c r="T123" s="72">
        <v>17871</v>
      </c>
      <c r="U123" s="73">
        <v>0</v>
      </c>
      <c r="V123" s="72">
        <v>13492</v>
      </c>
      <c r="W123" s="73">
        <v>0</v>
      </c>
      <c r="X123" s="72">
        <v>12126</v>
      </c>
      <c r="Y123" s="73">
        <v>0</v>
      </c>
      <c r="Z123" s="72">
        <v>12698</v>
      </c>
      <c r="AA123" s="73">
        <v>0</v>
      </c>
      <c r="AB123" s="72">
        <v>2085</v>
      </c>
      <c r="AC123" s="73">
        <v>0</v>
      </c>
      <c r="AD123" s="72">
        <v>0</v>
      </c>
      <c r="AE123" s="73">
        <v>0</v>
      </c>
      <c r="AF123" s="72">
        <v>0</v>
      </c>
      <c r="AG123" s="88">
        <v>0</v>
      </c>
      <c r="AH123"/>
    </row>
    <row r="124" spans="1:34">
      <c r="B124" s="114">
        <v>105</v>
      </c>
      <c r="C124" s="117">
        <v>51</v>
      </c>
      <c r="D124" s="117" t="s">
        <v>21</v>
      </c>
      <c r="E124" s="117" t="s">
        <v>145</v>
      </c>
      <c r="F124" s="117" t="s">
        <v>114</v>
      </c>
      <c r="G124" s="117" t="s">
        <v>111</v>
      </c>
      <c r="H124" s="117" t="s">
        <v>112</v>
      </c>
      <c r="I124" s="120" t="s">
        <v>112</v>
      </c>
      <c r="J124" s="84">
        <v>9119</v>
      </c>
      <c r="K124" s="73">
        <v>0</v>
      </c>
      <c r="L124" s="72">
        <v>13336</v>
      </c>
      <c r="M124" s="73">
        <v>0</v>
      </c>
      <c r="N124" s="72">
        <v>13109</v>
      </c>
      <c r="O124" s="73">
        <v>0</v>
      </c>
      <c r="P124" s="72">
        <v>0</v>
      </c>
      <c r="Q124" s="73">
        <v>0</v>
      </c>
      <c r="R124" s="72">
        <v>0</v>
      </c>
      <c r="S124" s="73">
        <v>0</v>
      </c>
      <c r="T124" s="72">
        <v>0</v>
      </c>
      <c r="U124" s="73">
        <v>0</v>
      </c>
      <c r="V124" s="72">
        <v>0</v>
      </c>
      <c r="W124" s="73">
        <v>0</v>
      </c>
      <c r="X124" s="72">
        <v>0</v>
      </c>
      <c r="Y124" s="73">
        <v>0</v>
      </c>
      <c r="Z124" s="72">
        <v>0</v>
      </c>
      <c r="AA124" s="73">
        <v>0</v>
      </c>
      <c r="AB124" s="72">
        <v>0</v>
      </c>
      <c r="AC124" s="73">
        <v>0</v>
      </c>
      <c r="AD124" s="72">
        <v>0</v>
      </c>
      <c r="AE124" s="73">
        <v>0</v>
      </c>
      <c r="AF124" s="72">
        <v>0</v>
      </c>
      <c r="AG124" s="88">
        <v>0</v>
      </c>
      <c r="AH124"/>
    </row>
    <row r="125" spans="1:34">
      <c r="B125" s="114">
        <v>106</v>
      </c>
      <c r="C125" s="117">
        <v>51</v>
      </c>
      <c r="D125" s="117" t="s">
        <v>21</v>
      </c>
      <c r="E125" s="117" t="s">
        <v>145</v>
      </c>
      <c r="F125" s="117" t="s">
        <v>114</v>
      </c>
      <c r="G125" s="117" t="s">
        <v>147</v>
      </c>
      <c r="H125" s="117" t="s">
        <v>87</v>
      </c>
      <c r="I125" s="120" t="s">
        <v>63</v>
      </c>
      <c r="J125" s="84">
        <v>686</v>
      </c>
      <c r="K125" s="73">
        <v>0</v>
      </c>
      <c r="L125" s="72">
        <v>1080</v>
      </c>
      <c r="M125" s="73">
        <v>0</v>
      </c>
      <c r="N125" s="72">
        <v>1080</v>
      </c>
      <c r="O125" s="73">
        <v>0</v>
      </c>
      <c r="P125" s="72">
        <v>0</v>
      </c>
      <c r="Q125" s="73">
        <v>0</v>
      </c>
      <c r="R125" s="72">
        <v>0</v>
      </c>
      <c r="S125" s="73">
        <v>0</v>
      </c>
      <c r="T125" s="72">
        <v>0</v>
      </c>
      <c r="U125" s="73">
        <v>0</v>
      </c>
      <c r="V125" s="72">
        <v>576</v>
      </c>
      <c r="W125" s="73">
        <v>0</v>
      </c>
      <c r="X125" s="72">
        <v>70</v>
      </c>
      <c r="Y125" s="73">
        <v>0</v>
      </c>
      <c r="Z125" s="72">
        <v>0</v>
      </c>
      <c r="AA125" s="73">
        <v>0</v>
      </c>
      <c r="AB125" s="72">
        <v>0</v>
      </c>
      <c r="AC125" s="73">
        <v>0</v>
      </c>
      <c r="AD125" s="72">
        <v>0</v>
      </c>
      <c r="AE125" s="73">
        <v>0</v>
      </c>
      <c r="AF125" s="72">
        <v>0</v>
      </c>
      <c r="AG125" s="88">
        <v>0</v>
      </c>
      <c r="AH125"/>
    </row>
    <row r="126" spans="1:34">
      <c r="B126" s="114">
        <v>107</v>
      </c>
      <c r="C126" s="117">
        <v>51</v>
      </c>
      <c r="D126" s="117" t="s">
        <v>21</v>
      </c>
      <c r="E126" s="117" t="s">
        <v>145</v>
      </c>
      <c r="F126" s="117" t="s">
        <v>114</v>
      </c>
      <c r="G126" s="117" t="s">
        <v>119</v>
      </c>
      <c r="H126" s="117" t="s">
        <v>120</v>
      </c>
      <c r="I126" s="120" t="s">
        <v>120</v>
      </c>
      <c r="J126" s="84">
        <v>0</v>
      </c>
      <c r="K126" s="73">
        <v>0</v>
      </c>
      <c r="L126" s="72">
        <v>0</v>
      </c>
      <c r="M126" s="73">
        <v>0</v>
      </c>
      <c r="N126" s="72">
        <v>0</v>
      </c>
      <c r="O126" s="73">
        <v>0</v>
      </c>
      <c r="P126" s="72">
        <v>0</v>
      </c>
      <c r="Q126" s="73">
        <v>0</v>
      </c>
      <c r="R126" s="72">
        <v>0</v>
      </c>
      <c r="S126" s="73">
        <v>0</v>
      </c>
      <c r="T126" s="72">
        <v>598</v>
      </c>
      <c r="U126" s="73">
        <v>0</v>
      </c>
      <c r="V126" s="72">
        <v>600</v>
      </c>
      <c r="W126" s="73">
        <v>0</v>
      </c>
      <c r="X126" s="72">
        <v>3292</v>
      </c>
      <c r="Y126" s="73">
        <v>0</v>
      </c>
      <c r="Z126" s="72">
        <v>394</v>
      </c>
      <c r="AA126" s="73">
        <v>0</v>
      </c>
      <c r="AB126" s="72">
        <v>0</v>
      </c>
      <c r="AC126" s="73">
        <v>0</v>
      </c>
      <c r="AD126" s="72">
        <v>0</v>
      </c>
      <c r="AE126" s="73">
        <v>0</v>
      </c>
      <c r="AF126" s="72">
        <v>0</v>
      </c>
      <c r="AG126" s="88">
        <v>0</v>
      </c>
      <c r="AH126"/>
    </row>
    <row r="127" spans="1:34">
      <c r="B127" s="114">
        <v>108</v>
      </c>
      <c r="C127" s="117">
        <v>51</v>
      </c>
      <c r="D127" s="117" t="s">
        <v>21</v>
      </c>
      <c r="E127" s="117" t="s">
        <v>145</v>
      </c>
      <c r="F127" s="117" t="s">
        <v>114</v>
      </c>
      <c r="G127" s="117" t="s">
        <v>146</v>
      </c>
      <c r="H127" s="117" t="s">
        <v>92</v>
      </c>
      <c r="I127" s="120" t="s">
        <v>63</v>
      </c>
      <c r="J127" s="84">
        <v>864</v>
      </c>
      <c r="K127" s="73">
        <v>0</v>
      </c>
      <c r="L127" s="72">
        <v>1728</v>
      </c>
      <c r="M127" s="73">
        <v>0</v>
      </c>
      <c r="N127" s="72">
        <v>0</v>
      </c>
      <c r="O127" s="73">
        <v>0</v>
      </c>
      <c r="P127" s="72">
        <v>0</v>
      </c>
      <c r="Q127" s="73">
        <v>0</v>
      </c>
      <c r="R127" s="72">
        <v>0</v>
      </c>
      <c r="S127" s="73">
        <v>0</v>
      </c>
      <c r="T127" s="72">
        <v>0</v>
      </c>
      <c r="U127" s="73">
        <v>0</v>
      </c>
      <c r="V127" s="72">
        <v>0</v>
      </c>
      <c r="W127" s="73">
        <v>0</v>
      </c>
      <c r="X127" s="72">
        <v>486</v>
      </c>
      <c r="Y127" s="73">
        <v>0</v>
      </c>
      <c r="Z127" s="72">
        <v>798</v>
      </c>
      <c r="AA127" s="73">
        <v>0</v>
      </c>
      <c r="AB127" s="72">
        <v>302</v>
      </c>
      <c r="AC127" s="73">
        <v>0</v>
      </c>
      <c r="AD127" s="72">
        <v>0</v>
      </c>
      <c r="AE127" s="73">
        <v>0</v>
      </c>
      <c r="AF127" s="72">
        <v>0</v>
      </c>
      <c r="AG127" s="88">
        <v>0</v>
      </c>
      <c r="AH127"/>
    </row>
    <row r="128" spans="1:34">
      <c r="B128" s="114">
        <v>109</v>
      </c>
      <c r="C128" s="117">
        <v>51</v>
      </c>
      <c r="D128" s="117" t="s">
        <v>21</v>
      </c>
      <c r="E128" s="117" t="s">
        <v>145</v>
      </c>
      <c r="F128" s="117" t="s">
        <v>114</v>
      </c>
      <c r="G128" s="117" t="s">
        <v>70</v>
      </c>
      <c r="H128" s="117" t="s">
        <v>71</v>
      </c>
      <c r="I128" s="120" t="s">
        <v>71</v>
      </c>
      <c r="J128" s="84">
        <v>6224</v>
      </c>
      <c r="K128" s="73">
        <v>0</v>
      </c>
      <c r="L128" s="72">
        <v>12672</v>
      </c>
      <c r="M128" s="73">
        <v>0</v>
      </c>
      <c r="N128" s="72">
        <v>2112</v>
      </c>
      <c r="O128" s="73">
        <v>0</v>
      </c>
      <c r="P128" s="72">
        <v>12890</v>
      </c>
      <c r="Q128" s="73">
        <v>0</v>
      </c>
      <c r="R128" s="72">
        <v>4704</v>
      </c>
      <c r="S128" s="73">
        <v>0</v>
      </c>
      <c r="T128" s="72">
        <v>6776</v>
      </c>
      <c r="U128" s="73">
        <v>0</v>
      </c>
      <c r="V128" s="72">
        <v>7729</v>
      </c>
      <c r="W128" s="73">
        <v>0</v>
      </c>
      <c r="X128" s="72">
        <v>4656</v>
      </c>
      <c r="Y128" s="73">
        <v>0</v>
      </c>
      <c r="Z128" s="72">
        <v>0</v>
      </c>
      <c r="AA128" s="73">
        <v>0</v>
      </c>
      <c r="AB128" s="72">
        <v>0</v>
      </c>
      <c r="AC128" s="73">
        <v>0</v>
      </c>
      <c r="AD128" s="72">
        <v>0</v>
      </c>
      <c r="AE128" s="73">
        <v>0</v>
      </c>
      <c r="AF128" s="72">
        <v>0</v>
      </c>
      <c r="AG128" s="88">
        <v>0</v>
      </c>
      <c r="AH128"/>
    </row>
    <row r="129" spans="1:34">
      <c r="B129" s="115">
        <v>110</v>
      </c>
      <c r="C129" s="118">
        <v>51</v>
      </c>
      <c r="D129" s="118"/>
      <c r="E129" s="118" t="s">
        <v>148</v>
      </c>
      <c r="F129" s="118" t="s">
        <v>149</v>
      </c>
      <c r="G129" s="118" t="s">
        <v>150</v>
      </c>
      <c r="H129" s="118" t="s">
        <v>151</v>
      </c>
      <c r="I129" s="122"/>
      <c r="J129" s="85">
        <v>0</v>
      </c>
      <c r="K129" s="75">
        <v>0</v>
      </c>
      <c r="L129" s="74">
        <v>0</v>
      </c>
      <c r="M129" s="75">
        <v>0</v>
      </c>
      <c r="N129" s="74">
        <v>2</v>
      </c>
      <c r="O129" s="75">
        <v>165.3</v>
      </c>
      <c r="P129" s="74">
        <v>0</v>
      </c>
      <c r="Q129" s="75">
        <v>0</v>
      </c>
      <c r="R129" s="74">
        <v>0</v>
      </c>
      <c r="S129" s="75">
        <v>0</v>
      </c>
      <c r="T129" s="74">
        <v>6</v>
      </c>
      <c r="U129" s="75">
        <v>495.9</v>
      </c>
      <c r="V129" s="74">
        <v>0</v>
      </c>
      <c r="W129" s="75">
        <v>0</v>
      </c>
      <c r="X129" s="74">
        <v>0</v>
      </c>
      <c r="Y129" s="75">
        <v>0</v>
      </c>
      <c r="Z129" s="74">
        <v>0</v>
      </c>
      <c r="AA129" s="75">
        <v>0</v>
      </c>
      <c r="AB129" s="74">
        <v>26</v>
      </c>
      <c r="AC129" s="75">
        <v>2148.9</v>
      </c>
      <c r="AD129" s="74">
        <v>0</v>
      </c>
      <c r="AE129" s="75">
        <v>0</v>
      </c>
      <c r="AF129" s="74">
        <v>0</v>
      </c>
      <c r="AG129" s="89">
        <v>0</v>
      </c>
      <c r="AH129"/>
    </row>
    <row r="130" spans="1:34">
      <c r="B130" s="114">
        <v>111</v>
      </c>
      <c r="C130" s="117">
        <v>51</v>
      </c>
      <c r="D130" s="117"/>
      <c r="E130" s="117" t="s">
        <v>148</v>
      </c>
      <c r="F130" s="117" t="s">
        <v>149</v>
      </c>
      <c r="G130" s="117" t="s">
        <v>152</v>
      </c>
      <c r="H130" s="117" t="s">
        <v>153</v>
      </c>
      <c r="I130" s="120" t="s">
        <v>88</v>
      </c>
      <c r="J130" s="84">
        <v>0</v>
      </c>
      <c r="K130" s="73">
        <v>0</v>
      </c>
      <c r="L130" s="72">
        <v>0</v>
      </c>
      <c r="M130" s="73">
        <v>0</v>
      </c>
      <c r="N130" s="72">
        <v>75</v>
      </c>
      <c r="O130" s="73">
        <v>1600.5</v>
      </c>
      <c r="P130" s="72">
        <v>3</v>
      </c>
      <c r="Q130" s="73">
        <v>64.02</v>
      </c>
      <c r="R130" s="72">
        <v>0</v>
      </c>
      <c r="S130" s="73">
        <v>0</v>
      </c>
      <c r="T130" s="72">
        <v>84</v>
      </c>
      <c r="U130" s="73">
        <v>1792.56</v>
      </c>
      <c r="V130" s="72">
        <v>91</v>
      </c>
      <c r="W130" s="73">
        <v>1941.94</v>
      </c>
      <c r="X130" s="72">
        <v>0</v>
      </c>
      <c r="Y130" s="73">
        <v>0</v>
      </c>
      <c r="Z130" s="72">
        <v>3252</v>
      </c>
      <c r="AA130" s="73">
        <v>69397.67999999999</v>
      </c>
      <c r="AB130" s="72">
        <v>0</v>
      </c>
      <c r="AC130" s="73">
        <v>0</v>
      </c>
      <c r="AD130" s="72">
        <v>0</v>
      </c>
      <c r="AE130" s="73">
        <v>0</v>
      </c>
      <c r="AF130" s="72">
        <v>0</v>
      </c>
      <c r="AG130" s="88">
        <v>0</v>
      </c>
      <c r="AH130"/>
    </row>
    <row r="131" spans="1:34">
      <c r="B131" s="114">
        <v>112</v>
      </c>
      <c r="C131" s="117">
        <v>51</v>
      </c>
      <c r="D131" s="117"/>
      <c r="E131" s="117" t="s">
        <v>148</v>
      </c>
      <c r="F131" s="117" t="s">
        <v>149</v>
      </c>
      <c r="G131" s="117" t="s">
        <v>162</v>
      </c>
      <c r="H131" s="117" t="s">
        <v>155</v>
      </c>
      <c r="I131" s="120" t="s">
        <v>156</v>
      </c>
      <c r="J131" s="84">
        <v>0</v>
      </c>
      <c r="K131" s="73">
        <v>0</v>
      </c>
      <c r="L131" s="72">
        <v>0</v>
      </c>
      <c r="M131" s="73">
        <v>0</v>
      </c>
      <c r="N131" s="72">
        <v>4</v>
      </c>
      <c r="O131" s="73">
        <v>525.48</v>
      </c>
      <c r="P131" s="72">
        <v>1</v>
      </c>
      <c r="Q131" s="73">
        <v>131.37</v>
      </c>
      <c r="R131" s="72">
        <v>0</v>
      </c>
      <c r="S131" s="73">
        <v>0</v>
      </c>
      <c r="T131" s="72">
        <v>0</v>
      </c>
      <c r="U131" s="73">
        <v>0</v>
      </c>
      <c r="V131" s="72">
        <v>38</v>
      </c>
      <c r="W131" s="73">
        <v>4992.06</v>
      </c>
      <c r="X131" s="72">
        <v>0</v>
      </c>
      <c r="Y131" s="73">
        <v>0</v>
      </c>
      <c r="Z131" s="72">
        <v>0</v>
      </c>
      <c r="AA131" s="73">
        <v>0</v>
      </c>
      <c r="AB131" s="72">
        <v>76</v>
      </c>
      <c r="AC131" s="73">
        <v>9984.120000000001</v>
      </c>
      <c r="AD131" s="72">
        <v>0</v>
      </c>
      <c r="AE131" s="73">
        <v>0</v>
      </c>
      <c r="AF131" s="72">
        <v>0</v>
      </c>
      <c r="AG131" s="88">
        <v>0</v>
      </c>
      <c r="AH131"/>
    </row>
    <row r="132" spans="1:34">
      <c r="B132" s="114">
        <v>113</v>
      </c>
      <c r="C132" s="117">
        <v>51</v>
      </c>
      <c r="D132" s="117"/>
      <c r="E132" s="117" t="s">
        <v>148</v>
      </c>
      <c r="F132" s="117" t="s">
        <v>149</v>
      </c>
      <c r="G132" s="117" t="s">
        <v>163</v>
      </c>
      <c r="H132" s="117" t="s">
        <v>151</v>
      </c>
      <c r="I132" s="120" t="s">
        <v>164</v>
      </c>
      <c r="J132" s="84">
        <v>12975</v>
      </c>
      <c r="K132" s="73">
        <v>481891.5</v>
      </c>
      <c r="L132" s="72">
        <v>13183</v>
      </c>
      <c r="M132" s="73">
        <v>489616.62</v>
      </c>
      <c r="N132" s="72">
        <v>20949</v>
      </c>
      <c r="O132" s="73">
        <v>778045.86</v>
      </c>
      <c r="P132" s="72">
        <v>21571</v>
      </c>
      <c r="Q132" s="73">
        <v>801146.9399999999</v>
      </c>
      <c r="R132" s="72">
        <v>10653</v>
      </c>
      <c r="S132" s="73">
        <v>395652.42</v>
      </c>
      <c r="T132" s="72">
        <v>14808</v>
      </c>
      <c r="U132" s="73">
        <v>549969.12</v>
      </c>
      <c r="V132" s="72">
        <v>21469</v>
      </c>
      <c r="W132" s="73">
        <v>797358.66</v>
      </c>
      <c r="X132" s="72">
        <v>18375</v>
      </c>
      <c r="Y132" s="73">
        <v>682447.5</v>
      </c>
      <c r="Z132" s="72">
        <v>3785</v>
      </c>
      <c r="AA132" s="73">
        <v>140574.9</v>
      </c>
      <c r="AB132" s="72">
        <v>9360</v>
      </c>
      <c r="AC132" s="73">
        <v>347630.4</v>
      </c>
      <c r="AD132" s="72">
        <v>0</v>
      </c>
      <c r="AE132" s="73">
        <v>0</v>
      </c>
      <c r="AF132" s="72">
        <v>0</v>
      </c>
      <c r="AG132" s="88">
        <v>0</v>
      </c>
      <c r="AH132"/>
    </row>
    <row r="133" spans="1:34">
      <c r="B133" s="114">
        <v>114</v>
      </c>
      <c r="C133" s="117">
        <v>51</v>
      </c>
      <c r="D133" s="117"/>
      <c r="E133" s="117" t="s">
        <v>148</v>
      </c>
      <c r="F133" s="117" t="s">
        <v>149</v>
      </c>
      <c r="G133" s="117" t="s">
        <v>154</v>
      </c>
      <c r="H133" s="117" t="s">
        <v>155</v>
      </c>
      <c r="I133" s="120" t="s">
        <v>156</v>
      </c>
      <c r="J133" s="84">
        <v>0</v>
      </c>
      <c r="K133" s="73">
        <v>0</v>
      </c>
      <c r="L133" s="72">
        <v>0</v>
      </c>
      <c r="M133" s="73">
        <v>0</v>
      </c>
      <c r="N133" s="72">
        <v>487</v>
      </c>
      <c r="O133" s="73">
        <v>63977.19</v>
      </c>
      <c r="P133" s="72">
        <v>162</v>
      </c>
      <c r="Q133" s="73">
        <v>21281.94</v>
      </c>
      <c r="R133" s="72">
        <v>500</v>
      </c>
      <c r="S133" s="73">
        <v>65685</v>
      </c>
      <c r="T133" s="72">
        <v>382</v>
      </c>
      <c r="U133" s="73">
        <v>50183.34</v>
      </c>
      <c r="V133" s="72">
        <v>1502</v>
      </c>
      <c r="W133" s="73">
        <v>197317.74</v>
      </c>
      <c r="X133" s="72">
        <v>500</v>
      </c>
      <c r="Y133" s="73">
        <v>65685</v>
      </c>
      <c r="Z133" s="72">
        <v>271</v>
      </c>
      <c r="AA133" s="73">
        <v>35601.27</v>
      </c>
      <c r="AB133" s="72">
        <v>0</v>
      </c>
      <c r="AC133" s="73">
        <v>0</v>
      </c>
      <c r="AD133" s="72">
        <v>0</v>
      </c>
      <c r="AE133" s="73">
        <v>0</v>
      </c>
      <c r="AF133" s="72">
        <v>0</v>
      </c>
      <c r="AG133" s="88">
        <v>0</v>
      </c>
      <c r="AH133"/>
    </row>
    <row r="134" spans="1:34">
      <c r="B134" s="114">
        <v>115</v>
      </c>
      <c r="C134" s="117">
        <v>51</v>
      </c>
      <c r="D134" s="117"/>
      <c r="E134" s="117" t="s">
        <v>148</v>
      </c>
      <c r="F134" s="117" t="s">
        <v>149</v>
      </c>
      <c r="G134" s="117" t="s">
        <v>157</v>
      </c>
      <c r="H134" s="117" t="s">
        <v>158</v>
      </c>
      <c r="I134" s="120" t="s">
        <v>156</v>
      </c>
      <c r="J134" s="84">
        <v>0</v>
      </c>
      <c r="K134" s="73">
        <v>0</v>
      </c>
      <c r="L134" s="72">
        <v>0</v>
      </c>
      <c r="M134" s="73">
        <v>0</v>
      </c>
      <c r="N134" s="72">
        <v>4</v>
      </c>
      <c r="O134" s="73">
        <v>226.72</v>
      </c>
      <c r="P134" s="72">
        <v>1</v>
      </c>
      <c r="Q134" s="73">
        <v>56.68</v>
      </c>
      <c r="R134" s="72">
        <v>0</v>
      </c>
      <c r="S134" s="73">
        <v>0</v>
      </c>
      <c r="T134" s="72">
        <v>16</v>
      </c>
      <c r="U134" s="73">
        <v>906.88</v>
      </c>
      <c r="V134" s="72">
        <v>1025</v>
      </c>
      <c r="W134" s="73">
        <v>58097</v>
      </c>
      <c r="X134" s="72">
        <v>0</v>
      </c>
      <c r="Y134" s="73">
        <v>0</v>
      </c>
      <c r="Z134" s="72">
        <v>0</v>
      </c>
      <c r="AA134" s="73">
        <v>0</v>
      </c>
      <c r="AB134" s="72">
        <v>121</v>
      </c>
      <c r="AC134" s="73">
        <v>6858.28</v>
      </c>
      <c r="AD134" s="72">
        <v>0</v>
      </c>
      <c r="AE134" s="73">
        <v>0</v>
      </c>
      <c r="AF134" s="72">
        <v>0</v>
      </c>
      <c r="AG134" s="88">
        <v>0</v>
      </c>
      <c r="AH134"/>
    </row>
    <row r="135" spans="1:34">
      <c r="B135" s="114">
        <v>116</v>
      </c>
      <c r="C135" s="117">
        <v>51</v>
      </c>
      <c r="D135" s="117"/>
      <c r="E135" s="117" t="s">
        <v>148</v>
      </c>
      <c r="F135" s="117" t="s">
        <v>149</v>
      </c>
      <c r="G135" s="117" t="s">
        <v>165</v>
      </c>
      <c r="H135" s="117" t="s">
        <v>153</v>
      </c>
      <c r="I135" s="120" t="s">
        <v>88</v>
      </c>
      <c r="J135" s="84">
        <v>4</v>
      </c>
      <c r="K135" s="73">
        <v>26.28</v>
      </c>
      <c r="L135" s="72">
        <v>3068</v>
      </c>
      <c r="M135" s="73">
        <v>20156.76</v>
      </c>
      <c r="N135" s="72">
        <v>8000</v>
      </c>
      <c r="O135" s="73">
        <v>52560</v>
      </c>
      <c r="P135" s="72">
        <v>6872</v>
      </c>
      <c r="Q135" s="73">
        <v>45149.04</v>
      </c>
      <c r="R135" s="72">
        <v>6000</v>
      </c>
      <c r="S135" s="73">
        <v>39420</v>
      </c>
      <c r="T135" s="72">
        <v>6020</v>
      </c>
      <c r="U135" s="73">
        <v>39551.4</v>
      </c>
      <c r="V135" s="72">
        <v>6000</v>
      </c>
      <c r="W135" s="73">
        <v>39420</v>
      </c>
      <c r="X135" s="72">
        <v>4000</v>
      </c>
      <c r="Y135" s="73">
        <v>26280</v>
      </c>
      <c r="Z135" s="72">
        <v>0</v>
      </c>
      <c r="AA135" s="73">
        <v>0</v>
      </c>
      <c r="AB135" s="72">
        <v>3600</v>
      </c>
      <c r="AC135" s="73">
        <v>15336</v>
      </c>
      <c r="AD135" s="72">
        <v>0</v>
      </c>
      <c r="AE135" s="73">
        <v>0</v>
      </c>
      <c r="AF135" s="72">
        <v>0</v>
      </c>
      <c r="AG135" s="88">
        <v>0</v>
      </c>
      <c r="AH135"/>
    </row>
    <row r="136" spans="1:34">
      <c r="B136" s="114">
        <v>117</v>
      </c>
      <c r="C136" s="117">
        <v>51</v>
      </c>
      <c r="D136" s="117"/>
      <c r="E136" s="117" t="s">
        <v>148</v>
      </c>
      <c r="F136" s="117" t="s">
        <v>149</v>
      </c>
      <c r="G136" s="117" t="s">
        <v>159</v>
      </c>
      <c r="H136" s="117" t="s">
        <v>158</v>
      </c>
      <c r="I136" s="120" t="s">
        <v>156</v>
      </c>
      <c r="J136" s="84">
        <v>404</v>
      </c>
      <c r="K136" s="73">
        <v>22898.72</v>
      </c>
      <c r="L136" s="72">
        <v>0</v>
      </c>
      <c r="M136" s="73">
        <v>0</v>
      </c>
      <c r="N136" s="72">
        <v>487</v>
      </c>
      <c r="O136" s="73">
        <v>27603.16</v>
      </c>
      <c r="P136" s="72">
        <v>523</v>
      </c>
      <c r="Q136" s="73">
        <v>29643.64</v>
      </c>
      <c r="R136" s="72">
        <v>632</v>
      </c>
      <c r="S136" s="73">
        <v>0</v>
      </c>
      <c r="T136" s="72">
        <v>0</v>
      </c>
      <c r="U136" s="73">
        <v>0</v>
      </c>
      <c r="V136" s="72">
        <v>1583</v>
      </c>
      <c r="W136" s="73">
        <v>89724.44</v>
      </c>
      <c r="X136" s="72">
        <v>896</v>
      </c>
      <c r="Y136" s="73">
        <v>50785.28</v>
      </c>
      <c r="Z136" s="72">
        <v>0</v>
      </c>
      <c r="AA136" s="73">
        <v>0</v>
      </c>
      <c r="AB136" s="72">
        <v>0</v>
      </c>
      <c r="AC136" s="73">
        <v>0</v>
      </c>
      <c r="AD136" s="72">
        <v>0</v>
      </c>
      <c r="AE136" s="73">
        <v>0</v>
      </c>
      <c r="AF136" s="72">
        <v>0</v>
      </c>
      <c r="AG136" s="88">
        <v>0</v>
      </c>
      <c r="AH136"/>
    </row>
    <row r="137" spans="1:34">
      <c r="B137" s="114">
        <v>118</v>
      </c>
      <c r="C137" s="117">
        <v>51</v>
      </c>
      <c r="D137" s="117"/>
      <c r="E137" s="117" t="s">
        <v>148</v>
      </c>
      <c r="F137" s="117" t="s">
        <v>149</v>
      </c>
      <c r="G137" s="117" t="s">
        <v>166</v>
      </c>
      <c r="H137" s="117" t="s">
        <v>161</v>
      </c>
      <c r="I137" s="120" t="s">
        <v>156</v>
      </c>
      <c r="J137" s="84">
        <v>600</v>
      </c>
      <c r="K137" s="73">
        <v>13938</v>
      </c>
      <c r="L137" s="72">
        <v>600</v>
      </c>
      <c r="M137" s="73">
        <v>13938</v>
      </c>
      <c r="N137" s="72">
        <v>0</v>
      </c>
      <c r="O137" s="73">
        <v>0</v>
      </c>
      <c r="P137" s="72">
        <v>492</v>
      </c>
      <c r="Q137" s="73">
        <v>11429.16</v>
      </c>
      <c r="R137" s="72">
        <v>324</v>
      </c>
      <c r="S137" s="73">
        <v>7526.52</v>
      </c>
      <c r="T137" s="72">
        <v>0</v>
      </c>
      <c r="U137" s="73">
        <v>0</v>
      </c>
      <c r="V137" s="72">
        <v>0</v>
      </c>
      <c r="W137" s="73">
        <v>0</v>
      </c>
      <c r="X137" s="72">
        <v>600</v>
      </c>
      <c r="Y137" s="73">
        <v>13938</v>
      </c>
      <c r="Z137" s="72">
        <v>0</v>
      </c>
      <c r="AA137" s="73">
        <v>0</v>
      </c>
      <c r="AB137" s="72">
        <v>3000</v>
      </c>
      <c r="AC137" s="73">
        <v>69690</v>
      </c>
      <c r="AD137" s="72">
        <v>0</v>
      </c>
      <c r="AE137" s="73">
        <v>0</v>
      </c>
      <c r="AF137" s="72">
        <v>0</v>
      </c>
      <c r="AG137" s="88">
        <v>0</v>
      </c>
      <c r="AH137"/>
    </row>
    <row r="138" spans="1:34">
      <c r="B138" s="114">
        <v>119</v>
      </c>
      <c r="C138" s="117">
        <v>51</v>
      </c>
      <c r="D138" s="117"/>
      <c r="E138" s="117" t="s">
        <v>148</v>
      </c>
      <c r="F138" s="117" t="s">
        <v>149</v>
      </c>
      <c r="G138" s="117" t="s">
        <v>160</v>
      </c>
      <c r="H138" s="117" t="s">
        <v>161</v>
      </c>
      <c r="I138" s="120" t="s">
        <v>156</v>
      </c>
      <c r="J138" s="84">
        <v>0</v>
      </c>
      <c r="K138" s="73">
        <v>0</v>
      </c>
      <c r="L138" s="72">
        <v>0</v>
      </c>
      <c r="M138" s="73">
        <v>0</v>
      </c>
      <c r="N138" s="72">
        <v>0</v>
      </c>
      <c r="O138" s="73">
        <v>0</v>
      </c>
      <c r="P138" s="72">
        <v>0</v>
      </c>
      <c r="Q138" s="73">
        <v>0</v>
      </c>
      <c r="R138" s="72">
        <v>0</v>
      </c>
      <c r="S138" s="73">
        <v>0</v>
      </c>
      <c r="T138" s="72">
        <v>10</v>
      </c>
      <c r="U138" s="73">
        <v>6688.8</v>
      </c>
      <c r="V138" s="72">
        <v>0</v>
      </c>
      <c r="W138" s="73">
        <v>0</v>
      </c>
      <c r="X138" s="72">
        <v>0</v>
      </c>
      <c r="Y138" s="73">
        <v>0</v>
      </c>
      <c r="Z138" s="72">
        <v>0</v>
      </c>
      <c r="AA138" s="73">
        <v>0</v>
      </c>
      <c r="AB138" s="72">
        <v>24</v>
      </c>
      <c r="AC138" s="73">
        <v>1224.96</v>
      </c>
      <c r="AD138" s="72">
        <v>0</v>
      </c>
      <c r="AE138" s="73">
        <v>0</v>
      </c>
      <c r="AF138" s="72">
        <v>0</v>
      </c>
      <c r="AG138" s="88">
        <v>0</v>
      </c>
      <c r="AH138"/>
    </row>
    <row r="139" spans="1:34">
      <c r="B139" s="114">
        <v>120</v>
      </c>
      <c r="C139" s="117">
        <v>52</v>
      </c>
      <c r="D139" s="117"/>
      <c r="E139" s="117" t="s">
        <v>167</v>
      </c>
      <c r="F139" s="117" t="s">
        <v>168</v>
      </c>
      <c r="G139" s="117" t="s">
        <v>169</v>
      </c>
      <c r="H139" s="117" t="s">
        <v>170</v>
      </c>
      <c r="I139" s="120" t="s">
        <v>171</v>
      </c>
      <c r="J139" s="84">
        <v>25000</v>
      </c>
      <c r="K139" s="73">
        <v>79000</v>
      </c>
      <c r="L139" s="72">
        <v>40000</v>
      </c>
      <c r="M139" s="73">
        <v>126400</v>
      </c>
      <c r="N139" s="72">
        <v>60000</v>
      </c>
      <c r="O139" s="73">
        <v>189600</v>
      </c>
      <c r="P139" s="72">
        <v>65000</v>
      </c>
      <c r="Q139" s="73">
        <v>205400</v>
      </c>
      <c r="R139" s="72">
        <v>60000</v>
      </c>
      <c r="S139" s="73">
        <v>189600</v>
      </c>
      <c r="T139" s="72">
        <v>40000</v>
      </c>
      <c r="U139" s="73">
        <v>126400</v>
      </c>
      <c r="V139" s="72">
        <v>70000</v>
      </c>
      <c r="W139" s="73">
        <v>221200</v>
      </c>
      <c r="X139" s="72">
        <v>40000</v>
      </c>
      <c r="Y139" s="73">
        <v>126400</v>
      </c>
      <c r="Z139" s="72">
        <v>25000</v>
      </c>
      <c r="AA139" s="73">
        <v>79000</v>
      </c>
      <c r="AB139" s="72">
        <v>35000</v>
      </c>
      <c r="AC139" s="73">
        <v>110600</v>
      </c>
      <c r="AD139" s="72">
        <v>0</v>
      </c>
      <c r="AE139" s="73">
        <v>0</v>
      </c>
      <c r="AF139" s="72">
        <v>0</v>
      </c>
      <c r="AG139" s="88">
        <v>0</v>
      </c>
      <c r="AH139"/>
    </row>
    <row r="140" spans="1:34">
      <c r="B140" s="114">
        <v>121</v>
      </c>
      <c r="C140" s="117">
        <v>51</v>
      </c>
      <c r="D140" s="117"/>
      <c r="E140" s="117" t="s">
        <v>172</v>
      </c>
      <c r="F140" s="117" t="s">
        <v>173</v>
      </c>
      <c r="G140" s="117" t="s">
        <v>189</v>
      </c>
      <c r="H140" s="117" t="s">
        <v>190</v>
      </c>
      <c r="I140" s="120" t="s">
        <v>188</v>
      </c>
      <c r="J140" s="84">
        <v>80</v>
      </c>
      <c r="K140" s="73">
        <v>4626.4</v>
      </c>
      <c r="L140" s="72">
        <v>400</v>
      </c>
      <c r="M140" s="73">
        <v>23132</v>
      </c>
      <c r="N140" s="72">
        <v>260</v>
      </c>
      <c r="O140" s="73">
        <v>14973.4</v>
      </c>
      <c r="P140" s="72">
        <v>600</v>
      </c>
      <c r="Q140" s="73">
        <v>34554</v>
      </c>
      <c r="R140" s="72">
        <v>900</v>
      </c>
      <c r="S140" s="73">
        <v>51831</v>
      </c>
      <c r="T140" s="72">
        <v>1500</v>
      </c>
      <c r="U140" s="73">
        <v>86331</v>
      </c>
      <c r="V140" s="72">
        <v>900</v>
      </c>
      <c r="W140" s="73">
        <v>51669</v>
      </c>
      <c r="X140" s="72">
        <v>900</v>
      </c>
      <c r="Y140" s="73">
        <v>51669</v>
      </c>
      <c r="Z140" s="72">
        <v>600</v>
      </c>
      <c r="AA140" s="73">
        <v>34446</v>
      </c>
      <c r="AB140" s="72">
        <v>840</v>
      </c>
      <c r="AC140" s="73">
        <v>48207.6</v>
      </c>
      <c r="AD140" s="72">
        <v>0</v>
      </c>
      <c r="AE140" s="73">
        <v>0</v>
      </c>
      <c r="AF140" s="72">
        <v>0</v>
      </c>
      <c r="AG140" s="88">
        <v>0</v>
      </c>
      <c r="AH140"/>
    </row>
    <row r="141" spans="1:34">
      <c r="B141" s="114">
        <v>122</v>
      </c>
      <c r="C141" s="117">
        <v>51</v>
      </c>
      <c r="D141" s="117"/>
      <c r="E141" s="117" t="s">
        <v>172</v>
      </c>
      <c r="F141" s="117" t="s">
        <v>173</v>
      </c>
      <c r="G141" s="117" t="s">
        <v>184</v>
      </c>
      <c r="H141" s="117" t="s">
        <v>185</v>
      </c>
      <c r="I141" s="120" t="s">
        <v>176</v>
      </c>
      <c r="J141" s="84">
        <v>900</v>
      </c>
      <c r="K141" s="73">
        <v>48645</v>
      </c>
      <c r="L141" s="72">
        <v>200</v>
      </c>
      <c r="M141" s="73">
        <v>10810</v>
      </c>
      <c r="N141" s="72">
        <v>460</v>
      </c>
      <c r="O141" s="73">
        <v>24863</v>
      </c>
      <c r="P141" s="72">
        <v>840</v>
      </c>
      <c r="Q141" s="73">
        <v>45192</v>
      </c>
      <c r="R141" s="72">
        <v>680</v>
      </c>
      <c r="S141" s="73">
        <v>36584</v>
      </c>
      <c r="T141" s="72">
        <v>1500</v>
      </c>
      <c r="U141" s="73">
        <v>80586</v>
      </c>
      <c r="V141" s="72">
        <v>600</v>
      </c>
      <c r="W141" s="73">
        <v>32166</v>
      </c>
      <c r="X141" s="72">
        <v>900</v>
      </c>
      <c r="Y141" s="73">
        <v>48249</v>
      </c>
      <c r="Z141" s="72">
        <v>700</v>
      </c>
      <c r="AA141" s="73">
        <v>37527</v>
      </c>
      <c r="AB141" s="72">
        <v>604</v>
      </c>
      <c r="AC141" s="73">
        <v>32368.36</v>
      </c>
      <c r="AD141" s="72">
        <v>0</v>
      </c>
      <c r="AE141" s="73">
        <v>0</v>
      </c>
      <c r="AF141" s="72">
        <v>0</v>
      </c>
      <c r="AG141" s="88">
        <v>0</v>
      </c>
      <c r="AH141"/>
    </row>
    <row r="142" spans="1:34">
      <c r="B142" s="114">
        <v>123</v>
      </c>
      <c r="C142" s="117">
        <v>51</v>
      </c>
      <c r="D142" s="117"/>
      <c r="E142" s="117" t="s">
        <v>172</v>
      </c>
      <c r="F142" s="117" t="s">
        <v>173</v>
      </c>
      <c r="G142" s="117" t="s">
        <v>177</v>
      </c>
      <c r="H142" s="117" t="s">
        <v>178</v>
      </c>
      <c r="I142" s="120" t="s">
        <v>179</v>
      </c>
      <c r="J142" s="84">
        <v>0</v>
      </c>
      <c r="K142" s="73">
        <v>0</v>
      </c>
      <c r="L142" s="72">
        <v>200</v>
      </c>
      <c r="M142" s="73">
        <v>11984</v>
      </c>
      <c r="N142" s="72">
        <v>0</v>
      </c>
      <c r="O142" s="73">
        <v>0</v>
      </c>
      <c r="P142" s="72">
        <v>0</v>
      </c>
      <c r="Q142" s="73">
        <v>0</v>
      </c>
      <c r="R142" s="72">
        <v>0</v>
      </c>
      <c r="S142" s="73">
        <v>0</v>
      </c>
      <c r="T142" s="72">
        <v>0</v>
      </c>
      <c r="U142" s="73">
        <v>0</v>
      </c>
      <c r="V142" s="72">
        <v>0</v>
      </c>
      <c r="W142" s="73">
        <v>0</v>
      </c>
      <c r="X142" s="72">
        <v>0</v>
      </c>
      <c r="Y142" s="73">
        <v>0</v>
      </c>
      <c r="Z142" s="72">
        <v>0</v>
      </c>
      <c r="AA142" s="73">
        <v>0</v>
      </c>
      <c r="AB142" s="72">
        <v>0</v>
      </c>
      <c r="AC142" s="73">
        <v>0</v>
      </c>
      <c r="AD142" s="72">
        <v>0</v>
      </c>
      <c r="AE142" s="73">
        <v>0</v>
      </c>
      <c r="AF142" s="72">
        <v>0</v>
      </c>
      <c r="AG142" s="88">
        <v>0</v>
      </c>
      <c r="AH142"/>
    </row>
    <row r="143" spans="1:34">
      <c r="B143" s="114">
        <v>124</v>
      </c>
      <c r="C143" s="117">
        <v>51</v>
      </c>
      <c r="D143" s="117"/>
      <c r="E143" s="117" t="s">
        <v>172</v>
      </c>
      <c r="F143" s="117" t="s">
        <v>173</v>
      </c>
      <c r="G143" s="117" t="s">
        <v>186</v>
      </c>
      <c r="H143" s="117" t="s">
        <v>187</v>
      </c>
      <c r="I143" s="120" t="s">
        <v>188</v>
      </c>
      <c r="J143" s="84">
        <v>0</v>
      </c>
      <c r="K143" s="73">
        <v>0</v>
      </c>
      <c r="L143" s="72">
        <v>100</v>
      </c>
      <c r="M143" s="73">
        <v>5685</v>
      </c>
      <c r="N143" s="72">
        <v>0</v>
      </c>
      <c r="O143" s="73">
        <v>0</v>
      </c>
      <c r="P143" s="72">
        <v>200</v>
      </c>
      <c r="Q143" s="73">
        <v>11328</v>
      </c>
      <c r="R143" s="72">
        <v>0</v>
      </c>
      <c r="S143" s="73">
        <v>0</v>
      </c>
      <c r="T143" s="72">
        <v>300</v>
      </c>
      <c r="U143" s="73">
        <v>16992</v>
      </c>
      <c r="V143" s="72">
        <v>400</v>
      </c>
      <c r="W143" s="73">
        <v>22592</v>
      </c>
      <c r="X143" s="72">
        <v>220</v>
      </c>
      <c r="Y143" s="73">
        <v>12425.6</v>
      </c>
      <c r="Z143" s="72">
        <v>0</v>
      </c>
      <c r="AA143" s="73">
        <v>0</v>
      </c>
      <c r="AB143" s="72">
        <v>0</v>
      </c>
      <c r="AC143" s="73">
        <v>0</v>
      </c>
      <c r="AD143" s="72">
        <v>0</v>
      </c>
      <c r="AE143" s="73">
        <v>0</v>
      </c>
      <c r="AF143" s="72">
        <v>0</v>
      </c>
      <c r="AG143" s="88">
        <v>0</v>
      </c>
      <c r="AH143"/>
    </row>
    <row r="144" spans="1:34">
      <c r="B144" s="114">
        <v>125</v>
      </c>
      <c r="C144" s="117">
        <v>51</v>
      </c>
      <c r="D144" s="117"/>
      <c r="E144" s="117" t="s">
        <v>172</v>
      </c>
      <c r="F144" s="117" t="s">
        <v>173</v>
      </c>
      <c r="G144" s="117" t="s">
        <v>191</v>
      </c>
      <c r="H144" s="117" t="s">
        <v>192</v>
      </c>
      <c r="I144" s="120" t="s">
        <v>176</v>
      </c>
      <c r="J144" s="84">
        <v>500</v>
      </c>
      <c r="K144" s="73">
        <v>31945</v>
      </c>
      <c r="L144" s="72">
        <v>700</v>
      </c>
      <c r="M144" s="73">
        <v>44723</v>
      </c>
      <c r="N144" s="72">
        <v>300</v>
      </c>
      <c r="O144" s="73">
        <v>19065</v>
      </c>
      <c r="P144" s="72">
        <v>160</v>
      </c>
      <c r="Q144" s="73">
        <v>10168</v>
      </c>
      <c r="R144" s="72">
        <v>700</v>
      </c>
      <c r="S144" s="73">
        <v>44485</v>
      </c>
      <c r="T144" s="72">
        <v>1700</v>
      </c>
      <c r="U144" s="73">
        <v>107873</v>
      </c>
      <c r="V144" s="72">
        <v>600</v>
      </c>
      <c r="W144" s="73">
        <v>37968</v>
      </c>
      <c r="X144" s="72">
        <v>900</v>
      </c>
      <c r="Y144" s="73">
        <v>56952</v>
      </c>
      <c r="Z144" s="72">
        <v>600</v>
      </c>
      <c r="AA144" s="73">
        <v>37968</v>
      </c>
      <c r="AB144" s="72">
        <v>300</v>
      </c>
      <c r="AC144" s="73">
        <v>18975</v>
      </c>
      <c r="AD144" s="72">
        <v>0</v>
      </c>
      <c r="AE144" s="73">
        <v>0</v>
      </c>
      <c r="AF144" s="72">
        <v>0</v>
      </c>
      <c r="AG144" s="88">
        <v>0</v>
      </c>
      <c r="AH144"/>
    </row>
    <row r="145" spans="1:34">
      <c r="B145" s="114">
        <v>126</v>
      </c>
      <c r="C145" s="117">
        <v>51</v>
      </c>
      <c r="D145" s="117"/>
      <c r="E145" s="117" t="s">
        <v>172</v>
      </c>
      <c r="F145" s="117" t="s">
        <v>173</v>
      </c>
      <c r="G145" s="117" t="s">
        <v>193</v>
      </c>
      <c r="H145" s="117" t="s">
        <v>194</v>
      </c>
      <c r="I145" s="120" t="s">
        <v>179</v>
      </c>
      <c r="J145" s="84">
        <v>0</v>
      </c>
      <c r="K145" s="73">
        <v>0</v>
      </c>
      <c r="L145" s="72">
        <v>0</v>
      </c>
      <c r="M145" s="73">
        <v>0</v>
      </c>
      <c r="N145" s="72">
        <v>200</v>
      </c>
      <c r="O145" s="73">
        <v>14322</v>
      </c>
      <c r="P145" s="72">
        <v>0</v>
      </c>
      <c r="Q145" s="73">
        <v>0</v>
      </c>
      <c r="R145" s="72">
        <v>300</v>
      </c>
      <c r="S145" s="73">
        <v>21483</v>
      </c>
      <c r="T145" s="72">
        <v>0</v>
      </c>
      <c r="U145" s="73">
        <v>0</v>
      </c>
      <c r="V145" s="72">
        <v>0</v>
      </c>
      <c r="W145" s="73">
        <v>0</v>
      </c>
      <c r="X145" s="72">
        <v>0</v>
      </c>
      <c r="Y145" s="73">
        <v>0</v>
      </c>
      <c r="Z145" s="72">
        <v>0</v>
      </c>
      <c r="AA145" s="73">
        <v>0</v>
      </c>
      <c r="AB145" s="72">
        <v>0</v>
      </c>
      <c r="AC145" s="73">
        <v>0</v>
      </c>
      <c r="AD145" s="72">
        <v>0</v>
      </c>
      <c r="AE145" s="73">
        <v>0</v>
      </c>
      <c r="AF145" s="72">
        <v>0</v>
      </c>
      <c r="AG145" s="88">
        <v>0</v>
      </c>
      <c r="AH145"/>
    </row>
    <row r="146" spans="1:34">
      <c r="B146" s="114">
        <v>127</v>
      </c>
      <c r="C146" s="117">
        <v>51</v>
      </c>
      <c r="D146" s="117"/>
      <c r="E146" s="117" t="s">
        <v>172</v>
      </c>
      <c r="F146" s="117" t="s">
        <v>173</v>
      </c>
      <c r="G146" s="117" t="s">
        <v>174</v>
      </c>
      <c r="H146" s="117" t="s">
        <v>175</v>
      </c>
      <c r="I146" s="120" t="s">
        <v>176</v>
      </c>
      <c r="J146" s="84">
        <v>500</v>
      </c>
      <c r="K146" s="73">
        <v>24315</v>
      </c>
      <c r="L146" s="72">
        <v>1000</v>
      </c>
      <c r="M146" s="73">
        <v>48470</v>
      </c>
      <c r="N146" s="72">
        <v>0</v>
      </c>
      <c r="O146" s="73">
        <v>0</v>
      </c>
      <c r="P146" s="72">
        <v>1200</v>
      </c>
      <c r="Q146" s="73">
        <v>58164</v>
      </c>
      <c r="R146" s="72">
        <v>1140</v>
      </c>
      <c r="S146" s="73">
        <v>55255.8</v>
      </c>
      <c r="T146" s="72">
        <v>1580</v>
      </c>
      <c r="U146" s="73">
        <v>76498.60000000001</v>
      </c>
      <c r="V146" s="72">
        <v>900</v>
      </c>
      <c r="W146" s="73">
        <v>43515</v>
      </c>
      <c r="X146" s="72">
        <v>600</v>
      </c>
      <c r="Y146" s="73">
        <v>29010</v>
      </c>
      <c r="Z146" s="72">
        <v>600</v>
      </c>
      <c r="AA146" s="73">
        <v>29010</v>
      </c>
      <c r="AB146" s="72">
        <v>0</v>
      </c>
      <c r="AC146" s="73">
        <v>0</v>
      </c>
      <c r="AD146" s="72">
        <v>0</v>
      </c>
      <c r="AE146" s="73">
        <v>0</v>
      </c>
      <c r="AF146" s="72">
        <v>0</v>
      </c>
      <c r="AG146" s="88">
        <v>0</v>
      </c>
      <c r="AH146"/>
    </row>
    <row r="147" spans="1:34">
      <c r="B147" s="114">
        <v>128</v>
      </c>
      <c r="C147" s="117">
        <v>51</v>
      </c>
      <c r="D147" s="117"/>
      <c r="E147" s="117" t="s">
        <v>172</v>
      </c>
      <c r="F147" s="117" t="s">
        <v>173</v>
      </c>
      <c r="G147" s="117" t="s">
        <v>180</v>
      </c>
      <c r="H147" s="117" t="s">
        <v>181</v>
      </c>
      <c r="I147" s="120" t="s">
        <v>179</v>
      </c>
      <c r="J147" s="84">
        <v>0</v>
      </c>
      <c r="K147" s="73">
        <v>0</v>
      </c>
      <c r="L147" s="72">
        <v>200</v>
      </c>
      <c r="M147" s="73">
        <v>12014</v>
      </c>
      <c r="N147" s="72">
        <v>0</v>
      </c>
      <c r="O147" s="73">
        <v>0</v>
      </c>
      <c r="P147" s="72">
        <v>0</v>
      </c>
      <c r="Q147" s="73">
        <v>0</v>
      </c>
      <c r="R147" s="72">
        <v>0</v>
      </c>
      <c r="S147" s="73">
        <v>0</v>
      </c>
      <c r="T147" s="72">
        <v>0</v>
      </c>
      <c r="U147" s="73">
        <v>0</v>
      </c>
      <c r="V147" s="72">
        <v>0</v>
      </c>
      <c r="W147" s="73">
        <v>0</v>
      </c>
      <c r="X147" s="72">
        <v>0</v>
      </c>
      <c r="Y147" s="73">
        <v>0</v>
      </c>
      <c r="Z147" s="72">
        <v>0</v>
      </c>
      <c r="AA147" s="73">
        <v>0</v>
      </c>
      <c r="AB147" s="72">
        <v>0</v>
      </c>
      <c r="AC147" s="73">
        <v>0</v>
      </c>
      <c r="AD147" s="72">
        <v>0</v>
      </c>
      <c r="AE147" s="73">
        <v>0</v>
      </c>
      <c r="AF147" s="72">
        <v>0</v>
      </c>
      <c r="AG147" s="88">
        <v>0</v>
      </c>
      <c r="AH147"/>
    </row>
    <row r="148" spans="1:34">
      <c r="B148" s="114">
        <v>129</v>
      </c>
      <c r="C148" s="117">
        <v>51</v>
      </c>
      <c r="D148" s="117"/>
      <c r="E148" s="117" t="s">
        <v>172</v>
      </c>
      <c r="F148" s="117" t="s">
        <v>173</v>
      </c>
      <c r="G148" s="117" t="s">
        <v>182</v>
      </c>
      <c r="H148" s="117" t="s">
        <v>183</v>
      </c>
      <c r="I148" s="120" t="s">
        <v>179</v>
      </c>
      <c r="J148" s="84">
        <v>0</v>
      </c>
      <c r="K148" s="73">
        <v>0</v>
      </c>
      <c r="L148" s="72">
        <v>300</v>
      </c>
      <c r="M148" s="73">
        <v>17967</v>
      </c>
      <c r="N148" s="72">
        <v>0</v>
      </c>
      <c r="O148" s="73">
        <v>0</v>
      </c>
      <c r="P148" s="72">
        <v>0</v>
      </c>
      <c r="Q148" s="73">
        <v>0</v>
      </c>
      <c r="R148" s="72">
        <v>0</v>
      </c>
      <c r="S148" s="73">
        <v>0</v>
      </c>
      <c r="T148" s="72">
        <v>0</v>
      </c>
      <c r="U148" s="73">
        <v>0</v>
      </c>
      <c r="V148" s="72">
        <v>0</v>
      </c>
      <c r="W148" s="73">
        <v>0</v>
      </c>
      <c r="X148" s="72">
        <v>0</v>
      </c>
      <c r="Y148" s="73">
        <v>0</v>
      </c>
      <c r="Z148" s="72">
        <v>0</v>
      </c>
      <c r="AA148" s="73">
        <v>0</v>
      </c>
      <c r="AB148" s="72">
        <v>0</v>
      </c>
      <c r="AC148" s="73">
        <v>0</v>
      </c>
      <c r="AD148" s="72">
        <v>0</v>
      </c>
      <c r="AE148" s="73">
        <v>0</v>
      </c>
      <c r="AF148" s="72">
        <v>0</v>
      </c>
      <c r="AG148" s="88">
        <v>0</v>
      </c>
      <c r="AH148"/>
    </row>
    <row r="149" spans="1:34">
      <c r="B149" s="114">
        <v>130</v>
      </c>
      <c r="C149" s="117">
        <v>51</v>
      </c>
      <c r="D149" s="117"/>
      <c r="E149" s="117" t="s">
        <v>195</v>
      </c>
      <c r="F149" s="117" t="s">
        <v>196</v>
      </c>
      <c r="G149" s="117" t="s">
        <v>197</v>
      </c>
      <c r="H149" s="117" t="s">
        <v>198</v>
      </c>
      <c r="I149" s="120" t="s">
        <v>199</v>
      </c>
      <c r="J149" s="84">
        <v>0</v>
      </c>
      <c r="K149" s="73">
        <v>0</v>
      </c>
      <c r="L149" s="72">
        <v>0</v>
      </c>
      <c r="M149" s="73">
        <v>0</v>
      </c>
      <c r="N149" s="72">
        <v>0</v>
      </c>
      <c r="O149" s="73">
        <v>0</v>
      </c>
      <c r="P149" s="72">
        <v>0</v>
      </c>
      <c r="Q149" s="73">
        <v>0</v>
      </c>
      <c r="R149" s="72">
        <v>0</v>
      </c>
      <c r="S149" s="73">
        <v>0</v>
      </c>
      <c r="T149" s="72">
        <v>0</v>
      </c>
      <c r="U149" s="73">
        <v>0</v>
      </c>
      <c r="V149" s="72">
        <v>0</v>
      </c>
      <c r="W149" s="73">
        <v>0</v>
      </c>
      <c r="X149" s="72">
        <v>0</v>
      </c>
      <c r="Y149" s="73">
        <v>0</v>
      </c>
      <c r="Z149" s="72">
        <v>0</v>
      </c>
      <c r="AA149" s="73">
        <v>0</v>
      </c>
      <c r="AB149" s="72">
        <v>100</v>
      </c>
      <c r="AC149" s="73">
        <v>7758</v>
      </c>
      <c r="AD149" s="72">
        <v>0</v>
      </c>
      <c r="AE149" s="73">
        <v>0</v>
      </c>
      <c r="AF149" s="72">
        <v>0</v>
      </c>
      <c r="AG149" s="88">
        <v>0</v>
      </c>
      <c r="AH149"/>
    </row>
    <row r="150" spans="1:34">
      <c r="B150" s="114">
        <v>131</v>
      </c>
      <c r="C150" s="117">
        <v>51</v>
      </c>
      <c r="D150" s="117"/>
      <c r="E150" s="117" t="s">
        <v>200</v>
      </c>
      <c r="F150" s="117" t="s">
        <v>201</v>
      </c>
      <c r="G150" s="117" t="s">
        <v>202</v>
      </c>
      <c r="H150" s="117" t="s">
        <v>203</v>
      </c>
      <c r="I150" s="120" t="s">
        <v>204</v>
      </c>
      <c r="J150" s="84">
        <v>2850</v>
      </c>
      <c r="K150" s="73">
        <v>161395.5</v>
      </c>
      <c r="L150" s="72">
        <v>1890</v>
      </c>
      <c r="M150" s="73">
        <v>107030.7</v>
      </c>
      <c r="N150" s="72">
        <v>1770</v>
      </c>
      <c r="O150" s="73">
        <v>100235.1</v>
      </c>
      <c r="P150" s="72">
        <v>820</v>
      </c>
      <c r="Q150" s="73">
        <v>46436.6</v>
      </c>
      <c r="R150" s="72">
        <v>1410</v>
      </c>
      <c r="S150" s="73">
        <v>79848.3</v>
      </c>
      <c r="T150" s="72">
        <v>1500</v>
      </c>
      <c r="U150" s="73">
        <v>84945</v>
      </c>
      <c r="V150" s="72">
        <v>600</v>
      </c>
      <c r="W150" s="73">
        <v>33978</v>
      </c>
      <c r="X150" s="72">
        <v>900</v>
      </c>
      <c r="Y150" s="73">
        <v>50967</v>
      </c>
      <c r="Z150" s="72">
        <v>0</v>
      </c>
      <c r="AA150" s="73">
        <v>0</v>
      </c>
      <c r="AB150" s="72">
        <v>300</v>
      </c>
      <c r="AC150" s="73">
        <v>16989</v>
      </c>
      <c r="AD150" s="72">
        <v>0</v>
      </c>
      <c r="AE150" s="73">
        <v>0</v>
      </c>
      <c r="AF150" s="72">
        <v>0</v>
      </c>
      <c r="AG150" s="88">
        <v>0</v>
      </c>
      <c r="AH150"/>
    </row>
    <row r="151" spans="1:34">
      <c r="B151" s="114">
        <v>132</v>
      </c>
      <c r="C151" s="117">
        <v>51</v>
      </c>
      <c r="D151" s="117"/>
      <c r="E151" s="117" t="s">
        <v>205</v>
      </c>
      <c r="F151" s="117" t="s">
        <v>206</v>
      </c>
      <c r="G151" s="117" t="s">
        <v>218</v>
      </c>
      <c r="H151" s="117" t="s">
        <v>217</v>
      </c>
      <c r="I151" s="120" t="s">
        <v>211</v>
      </c>
      <c r="J151" s="84">
        <v>0</v>
      </c>
      <c r="K151" s="73">
        <v>0</v>
      </c>
      <c r="L151" s="72">
        <v>0</v>
      </c>
      <c r="M151" s="73">
        <v>0</v>
      </c>
      <c r="N151" s="72">
        <v>0</v>
      </c>
      <c r="O151" s="73">
        <v>0</v>
      </c>
      <c r="P151" s="72">
        <v>0</v>
      </c>
      <c r="Q151" s="73">
        <v>0</v>
      </c>
      <c r="R151" s="72">
        <v>0</v>
      </c>
      <c r="S151" s="73">
        <v>0</v>
      </c>
      <c r="T151" s="72">
        <v>0</v>
      </c>
      <c r="U151" s="73">
        <v>0</v>
      </c>
      <c r="V151" s="72">
        <v>0</v>
      </c>
      <c r="W151" s="73">
        <v>0</v>
      </c>
      <c r="X151" s="72">
        <v>0</v>
      </c>
      <c r="Y151" s="73">
        <v>0</v>
      </c>
      <c r="Z151" s="72">
        <v>40</v>
      </c>
      <c r="AA151" s="73">
        <v>8988.799999999999</v>
      </c>
      <c r="AB151" s="72">
        <v>0</v>
      </c>
      <c r="AC151" s="73">
        <v>0</v>
      </c>
      <c r="AD151" s="72">
        <v>0</v>
      </c>
      <c r="AE151" s="73">
        <v>0</v>
      </c>
      <c r="AF151" s="72">
        <v>0</v>
      </c>
      <c r="AG151" s="88">
        <v>0</v>
      </c>
      <c r="AH151"/>
    </row>
    <row r="152" spans="1:34">
      <c r="B152" s="114">
        <v>133</v>
      </c>
      <c r="C152" s="117">
        <v>51</v>
      </c>
      <c r="D152" s="117"/>
      <c r="E152" s="117" t="s">
        <v>205</v>
      </c>
      <c r="F152" s="117" t="s">
        <v>206</v>
      </c>
      <c r="G152" s="117" t="s">
        <v>216</v>
      </c>
      <c r="H152" s="117" t="s">
        <v>217</v>
      </c>
      <c r="I152" s="120">
        <v>270</v>
      </c>
      <c r="J152" s="84">
        <v>120</v>
      </c>
      <c r="K152" s="73">
        <v>96644.39999999999</v>
      </c>
      <c r="L152" s="72">
        <v>0</v>
      </c>
      <c r="M152" s="73">
        <v>0</v>
      </c>
      <c r="N152" s="72">
        <v>0</v>
      </c>
      <c r="O152" s="73">
        <v>0</v>
      </c>
      <c r="P152" s="72">
        <v>0</v>
      </c>
      <c r="Q152" s="73">
        <v>0</v>
      </c>
      <c r="R152" s="72">
        <v>0</v>
      </c>
      <c r="S152" s="73">
        <v>0</v>
      </c>
      <c r="T152" s="72">
        <v>0</v>
      </c>
      <c r="U152" s="73">
        <v>0</v>
      </c>
      <c r="V152" s="72">
        <v>0</v>
      </c>
      <c r="W152" s="73">
        <v>0</v>
      </c>
      <c r="X152" s="72">
        <v>0</v>
      </c>
      <c r="Y152" s="73">
        <v>0</v>
      </c>
      <c r="Z152" s="72">
        <v>0</v>
      </c>
      <c r="AA152" s="73">
        <v>0</v>
      </c>
      <c r="AB152" s="72">
        <v>2</v>
      </c>
      <c r="AC152" s="73">
        <v>1610.74</v>
      </c>
      <c r="AD152" s="72">
        <v>0</v>
      </c>
      <c r="AE152" s="73">
        <v>0</v>
      </c>
      <c r="AF152" s="72">
        <v>0</v>
      </c>
      <c r="AG152" s="88">
        <v>0</v>
      </c>
      <c r="AH152"/>
    </row>
    <row r="153" spans="1:34">
      <c r="B153" s="114">
        <v>134</v>
      </c>
      <c r="C153" s="117">
        <v>51</v>
      </c>
      <c r="D153" s="117"/>
      <c r="E153" s="117" t="s">
        <v>205</v>
      </c>
      <c r="F153" s="117" t="s">
        <v>206</v>
      </c>
      <c r="G153" s="117" t="s">
        <v>210</v>
      </c>
      <c r="H153" s="117" t="s">
        <v>208</v>
      </c>
      <c r="I153" s="120" t="s">
        <v>211</v>
      </c>
      <c r="J153" s="84">
        <v>0</v>
      </c>
      <c r="K153" s="73">
        <v>0</v>
      </c>
      <c r="L153" s="72">
        <v>0</v>
      </c>
      <c r="M153" s="73">
        <v>0</v>
      </c>
      <c r="N153" s="72">
        <v>0</v>
      </c>
      <c r="O153" s="73">
        <v>0</v>
      </c>
      <c r="P153" s="72">
        <v>0</v>
      </c>
      <c r="Q153" s="73">
        <v>0</v>
      </c>
      <c r="R153" s="72">
        <v>0</v>
      </c>
      <c r="S153" s="73">
        <v>0</v>
      </c>
      <c r="T153" s="72">
        <v>0</v>
      </c>
      <c r="U153" s="73">
        <v>0</v>
      </c>
      <c r="V153" s="72">
        <v>0</v>
      </c>
      <c r="W153" s="73">
        <v>0</v>
      </c>
      <c r="X153" s="72">
        <v>0</v>
      </c>
      <c r="Y153" s="73">
        <v>0</v>
      </c>
      <c r="Z153" s="72">
        <v>40</v>
      </c>
      <c r="AA153" s="73">
        <v>8988.799999999999</v>
      </c>
      <c r="AB153" s="72">
        <v>0</v>
      </c>
      <c r="AC153" s="73">
        <v>0</v>
      </c>
      <c r="AD153" s="72">
        <v>0</v>
      </c>
      <c r="AE153" s="73">
        <v>0</v>
      </c>
      <c r="AF153" s="72">
        <v>0</v>
      </c>
      <c r="AG153" s="88">
        <v>0</v>
      </c>
      <c r="AH153"/>
    </row>
    <row r="154" spans="1:34">
      <c r="B154" s="114">
        <v>135</v>
      </c>
      <c r="C154" s="117">
        <v>51</v>
      </c>
      <c r="D154" s="117"/>
      <c r="E154" s="117" t="s">
        <v>205</v>
      </c>
      <c r="F154" s="117" t="s">
        <v>206</v>
      </c>
      <c r="G154" s="117" t="s">
        <v>212</v>
      </c>
      <c r="H154" s="117" t="s">
        <v>213</v>
      </c>
      <c r="I154" s="120" t="s">
        <v>211</v>
      </c>
      <c r="J154" s="84">
        <v>0</v>
      </c>
      <c r="K154" s="73">
        <v>0</v>
      </c>
      <c r="L154" s="72">
        <v>0</v>
      </c>
      <c r="M154" s="73">
        <v>0</v>
      </c>
      <c r="N154" s="72">
        <v>0</v>
      </c>
      <c r="O154" s="73">
        <v>0</v>
      </c>
      <c r="P154" s="72">
        <v>0</v>
      </c>
      <c r="Q154" s="73">
        <v>0</v>
      </c>
      <c r="R154" s="72">
        <v>0</v>
      </c>
      <c r="S154" s="73">
        <v>0</v>
      </c>
      <c r="T154" s="72">
        <v>0</v>
      </c>
      <c r="U154" s="73">
        <v>0</v>
      </c>
      <c r="V154" s="72">
        <v>0</v>
      </c>
      <c r="W154" s="73">
        <v>0</v>
      </c>
      <c r="X154" s="72">
        <v>0</v>
      </c>
      <c r="Y154" s="73">
        <v>0</v>
      </c>
      <c r="Z154" s="72">
        <v>0</v>
      </c>
      <c r="AA154" s="73">
        <v>0</v>
      </c>
      <c r="AB154" s="72">
        <v>9420</v>
      </c>
      <c r="AC154" s="73">
        <v>290418.6</v>
      </c>
      <c r="AD154" s="72">
        <v>0</v>
      </c>
      <c r="AE154" s="73">
        <v>0</v>
      </c>
      <c r="AF154" s="72">
        <v>0</v>
      </c>
      <c r="AG154" s="88">
        <v>0</v>
      </c>
      <c r="AH154"/>
    </row>
    <row r="155" spans="1:34">
      <c r="B155" s="114">
        <v>136</v>
      </c>
      <c r="C155" s="117">
        <v>51</v>
      </c>
      <c r="D155" s="117"/>
      <c r="E155" s="117" t="s">
        <v>205</v>
      </c>
      <c r="F155" s="117" t="s">
        <v>206</v>
      </c>
      <c r="G155" s="117" t="s">
        <v>207</v>
      </c>
      <c r="H155" s="117" t="s">
        <v>208</v>
      </c>
      <c r="I155" s="121" t="s">
        <v>209</v>
      </c>
      <c r="J155" s="84">
        <v>0</v>
      </c>
      <c r="K155" s="73">
        <v>0</v>
      </c>
      <c r="L155" s="72">
        <v>0</v>
      </c>
      <c r="M155" s="73">
        <v>0</v>
      </c>
      <c r="N155" s="72">
        <v>0</v>
      </c>
      <c r="O155" s="73">
        <v>0</v>
      </c>
      <c r="P155" s="72">
        <v>0</v>
      </c>
      <c r="Q155" s="73">
        <v>0</v>
      </c>
      <c r="R155" s="72">
        <v>0</v>
      </c>
      <c r="S155" s="73">
        <v>0</v>
      </c>
      <c r="T155" s="72">
        <v>0</v>
      </c>
      <c r="U155" s="73">
        <v>0</v>
      </c>
      <c r="V155" s="72">
        <v>0</v>
      </c>
      <c r="W155" s="73">
        <v>0</v>
      </c>
      <c r="X155" s="72">
        <v>0</v>
      </c>
      <c r="Y155" s="73">
        <v>0</v>
      </c>
      <c r="Z155" s="72">
        <v>0</v>
      </c>
      <c r="AA155" s="73">
        <v>0</v>
      </c>
      <c r="AB155" s="72">
        <v>60</v>
      </c>
      <c r="AC155" s="73">
        <v>16041.6</v>
      </c>
      <c r="AD155" s="72">
        <v>0</v>
      </c>
      <c r="AE155" s="73">
        <v>0</v>
      </c>
      <c r="AF155" s="72">
        <v>0</v>
      </c>
      <c r="AG155" s="88">
        <v>0</v>
      </c>
      <c r="AH155"/>
    </row>
    <row r="156" spans="1:34">
      <c r="B156" s="114">
        <v>137</v>
      </c>
      <c r="C156" s="117">
        <v>51</v>
      </c>
      <c r="D156" s="117"/>
      <c r="E156" s="117" t="s">
        <v>205</v>
      </c>
      <c r="F156" s="117" t="s">
        <v>206</v>
      </c>
      <c r="G156" s="117" t="s">
        <v>214</v>
      </c>
      <c r="H156" s="117" t="s">
        <v>215</v>
      </c>
      <c r="I156" s="120" t="s">
        <v>211</v>
      </c>
      <c r="J156" s="84">
        <v>0</v>
      </c>
      <c r="K156" s="73">
        <v>0</v>
      </c>
      <c r="L156" s="72">
        <v>0</v>
      </c>
      <c r="M156" s="73">
        <v>0</v>
      </c>
      <c r="N156" s="72">
        <v>0</v>
      </c>
      <c r="O156" s="73">
        <v>0</v>
      </c>
      <c r="P156" s="72">
        <v>0</v>
      </c>
      <c r="Q156" s="73">
        <v>0</v>
      </c>
      <c r="R156" s="72">
        <v>0</v>
      </c>
      <c r="S156" s="73">
        <v>0</v>
      </c>
      <c r="T156" s="72">
        <v>0</v>
      </c>
      <c r="U156" s="73">
        <v>0</v>
      </c>
      <c r="V156" s="72">
        <v>0</v>
      </c>
      <c r="W156" s="73">
        <v>0</v>
      </c>
      <c r="X156" s="72">
        <v>0</v>
      </c>
      <c r="Y156" s="73">
        <v>0</v>
      </c>
      <c r="Z156" s="72">
        <v>0</v>
      </c>
      <c r="AA156" s="73">
        <v>0</v>
      </c>
      <c r="AB156" s="72">
        <v>9420</v>
      </c>
      <c r="AC156" s="73">
        <v>128488.8</v>
      </c>
      <c r="AD156" s="72">
        <v>0</v>
      </c>
      <c r="AE156" s="73">
        <v>0</v>
      </c>
      <c r="AF156" s="72">
        <v>0</v>
      </c>
      <c r="AG156" s="88">
        <v>0</v>
      </c>
      <c r="AH156"/>
    </row>
    <row r="157" spans="1:34">
      <c r="B157" s="114">
        <v>138</v>
      </c>
      <c r="C157" s="117">
        <v>51</v>
      </c>
      <c r="D157" s="117"/>
      <c r="E157" s="117" t="s">
        <v>219</v>
      </c>
      <c r="F157" s="117" t="s">
        <v>220</v>
      </c>
      <c r="G157" s="117" t="s">
        <v>221</v>
      </c>
      <c r="H157" s="117" t="s">
        <v>222</v>
      </c>
      <c r="I157" s="120" t="s">
        <v>223</v>
      </c>
      <c r="J157" s="84">
        <v>70</v>
      </c>
      <c r="K157" s="73">
        <v>2205</v>
      </c>
      <c r="L157" s="72">
        <v>105</v>
      </c>
      <c r="M157" s="73">
        <v>3307.5</v>
      </c>
      <c r="N157" s="72">
        <v>210</v>
      </c>
      <c r="O157" s="73">
        <v>6615</v>
      </c>
      <c r="P157" s="72">
        <v>70</v>
      </c>
      <c r="Q157" s="73">
        <v>2205</v>
      </c>
      <c r="R157" s="72">
        <v>35</v>
      </c>
      <c r="S157" s="73">
        <v>1102.5</v>
      </c>
      <c r="T157" s="72">
        <v>0</v>
      </c>
      <c r="U157" s="73">
        <v>0</v>
      </c>
      <c r="V157" s="72">
        <v>0</v>
      </c>
      <c r="W157" s="73">
        <v>0</v>
      </c>
      <c r="X157" s="72">
        <v>100</v>
      </c>
      <c r="Y157" s="73">
        <v>3150</v>
      </c>
      <c r="Z157" s="72">
        <v>105</v>
      </c>
      <c r="AA157" s="73">
        <v>3307.5</v>
      </c>
      <c r="AB157" s="72">
        <v>0</v>
      </c>
      <c r="AC157" s="73">
        <v>0</v>
      </c>
      <c r="AD157" s="72">
        <v>0</v>
      </c>
      <c r="AE157" s="73">
        <v>0</v>
      </c>
      <c r="AF157" s="72">
        <v>0</v>
      </c>
      <c r="AG157" s="88">
        <v>0</v>
      </c>
      <c r="AH157"/>
    </row>
    <row r="158" spans="1:34">
      <c r="B158" s="114">
        <v>139</v>
      </c>
      <c r="C158" s="117">
        <v>51</v>
      </c>
      <c r="D158" s="117"/>
      <c r="E158" s="117" t="s">
        <v>219</v>
      </c>
      <c r="F158" s="117" t="s">
        <v>220</v>
      </c>
      <c r="G158" s="117" t="s">
        <v>224</v>
      </c>
      <c r="H158" s="117" t="s">
        <v>222</v>
      </c>
      <c r="I158" s="120" t="s">
        <v>225</v>
      </c>
      <c r="J158" s="84">
        <v>300</v>
      </c>
      <c r="K158" s="73">
        <v>11370</v>
      </c>
      <c r="L158" s="72">
        <v>320</v>
      </c>
      <c r="M158" s="73">
        <v>12128</v>
      </c>
      <c r="N158" s="72">
        <v>245</v>
      </c>
      <c r="O158" s="73">
        <v>9285.5</v>
      </c>
      <c r="P158" s="72">
        <v>385</v>
      </c>
      <c r="Q158" s="73">
        <v>14591.5</v>
      </c>
      <c r="R158" s="72">
        <v>100</v>
      </c>
      <c r="S158" s="73">
        <v>3790</v>
      </c>
      <c r="T158" s="72">
        <v>410</v>
      </c>
      <c r="U158" s="73">
        <v>15539</v>
      </c>
      <c r="V158" s="72">
        <v>385</v>
      </c>
      <c r="W158" s="73">
        <v>14591.5</v>
      </c>
      <c r="X158" s="72">
        <v>520</v>
      </c>
      <c r="Y158" s="73">
        <v>19708</v>
      </c>
      <c r="Z158" s="72">
        <v>200</v>
      </c>
      <c r="AA158" s="73">
        <v>7580</v>
      </c>
      <c r="AB158" s="72">
        <v>0</v>
      </c>
      <c r="AC158" s="73">
        <v>0</v>
      </c>
      <c r="AD158" s="72">
        <v>0</v>
      </c>
      <c r="AE158" s="73">
        <v>0</v>
      </c>
      <c r="AF158" s="72">
        <v>0</v>
      </c>
      <c r="AG158" s="88">
        <v>0</v>
      </c>
      <c r="AH158"/>
    </row>
    <row r="159" spans="1:34">
      <c r="B159" s="114">
        <v>140</v>
      </c>
      <c r="C159" s="117">
        <v>51</v>
      </c>
      <c r="D159" s="117"/>
      <c r="E159" s="117" t="s">
        <v>219</v>
      </c>
      <c r="F159" s="117" t="s">
        <v>220</v>
      </c>
      <c r="G159" s="117" t="s">
        <v>226</v>
      </c>
      <c r="H159" s="117" t="s">
        <v>227</v>
      </c>
      <c r="I159" s="120" t="s">
        <v>228</v>
      </c>
      <c r="J159" s="84">
        <v>40</v>
      </c>
      <c r="K159" s="73">
        <v>1526.4</v>
      </c>
      <c r="L159" s="72">
        <v>20</v>
      </c>
      <c r="M159" s="73">
        <v>763.2</v>
      </c>
      <c r="N159" s="72">
        <v>0</v>
      </c>
      <c r="O159" s="73">
        <v>0</v>
      </c>
      <c r="P159" s="72">
        <v>0</v>
      </c>
      <c r="Q159" s="73">
        <v>0</v>
      </c>
      <c r="R159" s="72">
        <v>0</v>
      </c>
      <c r="S159" s="73">
        <v>0</v>
      </c>
      <c r="T159" s="72">
        <v>0</v>
      </c>
      <c r="U159" s="73">
        <v>0</v>
      </c>
      <c r="V159" s="72">
        <v>0</v>
      </c>
      <c r="W159" s="73">
        <v>0</v>
      </c>
      <c r="X159" s="72">
        <v>100</v>
      </c>
      <c r="Y159" s="73">
        <v>3816</v>
      </c>
      <c r="Z159" s="72">
        <v>0</v>
      </c>
      <c r="AA159" s="73">
        <v>0</v>
      </c>
      <c r="AB159" s="72">
        <v>0</v>
      </c>
      <c r="AC159" s="73">
        <v>0</v>
      </c>
      <c r="AD159" s="72">
        <v>0</v>
      </c>
      <c r="AE159" s="73">
        <v>0</v>
      </c>
      <c r="AF159" s="72">
        <v>0</v>
      </c>
      <c r="AG159" s="88">
        <v>0</v>
      </c>
      <c r="AH159"/>
    </row>
    <row r="160" spans="1:34">
      <c r="B160" s="114">
        <v>141</v>
      </c>
      <c r="C160" s="117">
        <v>51</v>
      </c>
      <c r="D160" s="117"/>
      <c r="E160" s="117" t="s">
        <v>229</v>
      </c>
      <c r="F160" s="117" t="s">
        <v>230</v>
      </c>
      <c r="G160" s="117" t="s">
        <v>231</v>
      </c>
      <c r="H160" s="117" t="s">
        <v>232</v>
      </c>
      <c r="I160" s="120" t="s">
        <v>204</v>
      </c>
      <c r="J160" s="84">
        <v>2394</v>
      </c>
      <c r="K160" s="73">
        <v>30308.04</v>
      </c>
      <c r="L160" s="72">
        <v>1890</v>
      </c>
      <c r="M160" s="73">
        <v>23927.4</v>
      </c>
      <c r="N160" s="72">
        <v>1386</v>
      </c>
      <c r="O160" s="73">
        <v>17546.76</v>
      </c>
      <c r="P160" s="72">
        <v>630</v>
      </c>
      <c r="Q160" s="73">
        <v>7975.8</v>
      </c>
      <c r="R160" s="72">
        <v>1890</v>
      </c>
      <c r="S160" s="73">
        <v>23927.4</v>
      </c>
      <c r="T160" s="72">
        <v>630</v>
      </c>
      <c r="U160" s="73">
        <v>7975.8</v>
      </c>
      <c r="V160" s="72">
        <v>0</v>
      </c>
      <c r="W160" s="73">
        <v>0</v>
      </c>
      <c r="X160" s="72">
        <v>0</v>
      </c>
      <c r="Y160" s="73">
        <v>0</v>
      </c>
      <c r="Z160" s="72">
        <v>1260</v>
      </c>
      <c r="AA160" s="73">
        <v>15951.6</v>
      </c>
      <c r="AB160" s="72">
        <v>630</v>
      </c>
      <c r="AC160" s="73">
        <v>7975.8</v>
      </c>
      <c r="AD160" s="72">
        <v>0</v>
      </c>
      <c r="AE160" s="73">
        <v>0</v>
      </c>
      <c r="AF160" s="72">
        <v>0</v>
      </c>
      <c r="AG160" s="88">
        <v>0</v>
      </c>
      <c r="AH160"/>
    </row>
    <row r="161" spans="1:34">
      <c r="B161" s="114">
        <v>142</v>
      </c>
      <c r="C161" s="117">
        <v>51</v>
      </c>
      <c r="D161" s="117"/>
      <c r="E161" s="117" t="s">
        <v>229</v>
      </c>
      <c r="F161" s="117" t="s">
        <v>230</v>
      </c>
      <c r="G161" s="117" t="s">
        <v>238</v>
      </c>
      <c r="H161" s="117" t="s">
        <v>232</v>
      </c>
      <c r="I161" s="120" t="s">
        <v>55</v>
      </c>
      <c r="J161" s="84">
        <v>17700</v>
      </c>
      <c r="K161" s="73">
        <v>127440</v>
      </c>
      <c r="L161" s="72">
        <v>20100</v>
      </c>
      <c r="M161" s="73">
        <v>144720</v>
      </c>
      <c r="N161" s="72">
        <v>21000</v>
      </c>
      <c r="O161" s="73">
        <v>151200</v>
      </c>
      <c r="P161" s="72">
        <v>13800</v>
      </c>
      <c r="Q161" s="73">
        <v>99360</v>
      </c>
      <c r="R161" s="72">
        <v>19500</v>
      </c>
      <c r="S161" s="73">
        <v>140400</v>
      </c>
      <c r="T161" s="72">
        <v>19500</v>
      </c>
      <c r="U161" s="73">
        <v>140400</v>
      </c>
      <c r="V161" s="72">
        <v>17400</v>
      </c>
      <c r="W161" s="73">
        <v>125280</v>
      </c>
      <c r="X161" s="72">
        <v>18600</v>
      </c>
      <c r="Y161" s="73">
        <v>133920</v>
      </c>
      <c r="Z161" s="72">
        <v>13500</v>
      </c>
      <c r="AA161" s="73">
        <v>97200</v>
      </c>
      <c r="AB161" s="72">
        <v>9000</v>
      </c>
      <c r="AC161" s="73">
        <v>64800</v>
      </c>
      <c r="AD161" s="72">
        <v>0</v>
      </c>
      <c r="AE161" s="73">
        <v>0</v>
      </c>
      <c r="AF161" s="72">
        <v>0</v>
      </c>
      <c r="AG161" s="88">
        <v>0</v>
      </c>
      <c r="AH161"/>
    </row>
    <row r="162" spans="1:34">
      <c r="B162" s="114">
        <v>143</v>
      </c>
      <c r="C162" s="117">
        <v>51</v>
      </c>
      <c r="D162" s="117"/>
      <c r="E162" s="117" t="s">
        <v>229</v>
      </c>
      <c r="F162" s="117" t="s">
        <v>230</v>
      </c>
      <c r="G162" s="117" t="s">
        <v>239</v>
      </c>
      <c r="H162" s="117" t="s">
        <v>236</v>
      </c>
      <c r="I162" s="120" t="s">
        <v>240</v>
      </c>
      <c r="J162" s="84">
        <v>30000</v>
      </c>
      <c r="K162" s="73">
        <v>193800</v>
      </c>
      <c r="L162" s="72">
        <v>31500</v>
      </c>
      <c r="M162" s="73">
        <v>203490</v>
      </c>
      <c r="N162" s="72">
        <v>30000</v>
      </c>
      <c r="O162" s="73">
        <v>193800</v>
      </c>
      <c r="P162" s="72">
        <v>33000</v>
      </c>
      <c r="Q162" s="73">
        <v>213180</v>
      </c>
      <c r="R162" s="72">
        <v>33000</v>
      </c>
      <c r="S162" s="73">
        <v>213180</v>
      </c>
      <c r="T162" s="72">
        <v>36000</v>
      </c>
      <c r="U162" s="73">
        <v>232560</v>
      </c>
      <c r="V162" s="72">
        <v>37500</v>
      </c>
      <c r="W162" s="73">
        <v>242250</v>
      </c>
      <c r="X162" s="72">
        <v>40500</v>
      </c>
      <c r="Y162" s="73">
        <v>261630</v>
      </c>
      <c r="Z162" s="72">
        <v>21000</v>
      </c>
      <c r="AA162" s="73">
        <v>135660</v>
      </c>
      <c r="AB162" s="72">
        <v>12000</v>
      </c>
      <c r="AC162" s="73">
        <v>77520</v>
      </c>
      <c r="AD162" s="72">
        <v>0</v>
      </c>
      <c r="AE162" s="73">
        <v>0</v>
      </c>
      <c r="AF162" s="72">
        <v>0</v>
      </c>
      <c r="AG162" s="88">
        <v>0</v>
      </c>
      <c r="AH162"/>
    </row>
    <row r="163" spans="1:34">
      <c r="B163" s="114">
        <v>144</v>
      </c>
      <c r="C163" s="117">
        <v>51</v>
      </c>
      <c r="D163" s="117"/>
      <c r="E163" s="117" t="s">
        <v>229</v>
      </c>
      <c r="F163" s="117" t="s">
        <v>230</v>
      </c>
      <c r="G163" s="117" t="s">
        <v>241</v>
      </c>
      <c r="H163" s="117" t="s">
        <v>232</v>
      </c>
      <c r="I163" s="120" t="s">
        <v>242</v>
      </c>
      <c r="J163" s="84">
        <v>500</v>
      </c>
      <c r="K163" s="73">
        <v>3965</v>
      </c>
      <c r="L163" s="72">
        <v>0</v>
      </c>
      <c r="M163" s="73">
        <v>0</v>
      </c>
      <c r="N163" s="72">
        <v>600</v>
      </c>
      <c r="O163" s="73">
        <v>4758</v>
      </c>
      <c r="P163" s="72">
        <v>600</v>
      </c>
      <c r="Q163" s="73">
        <v>4758</v>
      </c>
      <c r="R163" s="72">
        <v>0</v>
      </c>
      <c r="S163" s="73">
        <v>0</v>
      </c>
      <c r="T163" s="72">
        <v>0</v>
      </c>
      <c r="U163" s="73">
        <v>0</v>
      </c>
      <c r="V163" s="72">
        <v>0</v>
      </c>
      <c r="W163" s="73">
        <v>0</v>
      </c>
      <c r="X163" s="72">
        <v>1700</v>
      </c>
      <c r="Y163" s="73">
        <v>11475</v>
      </c>
      <c r="Z163" s="72">
        <v>3000</v>
      </c>
      <c r="AA163" s="73">
        <v>20250</v>
      </c>
      <c r="AB163" s="72">
        <v>1000</v>
      </c>
      <c r="AC163" s="73">
        <v>6750</v>
      </c>
      <c r="AD163" s="72">
        <v>0</v>
      </c>
      <c r="AE163" s="73">
        <v>0</v>
      </c>
      <c r="AF163" s="72">
        <v>0</v>
      </c>
      <c r="AG163" s="88">
        <v>0</v>
      </c>
      <c r="AH163"/>
    </row>
    <row r="164" spans="1:34">
      <c r="B164" s="114">
        <v>145</v>
      </c>
      <c r="C164" s="117">
        <v>51</v>
      </c>
      <c r="D164" s="117"/>
      <c r="E164" s="117" t="s">
        <v>229</v>
      </c>
      <c r="F164" s="117" t="s">
        <v>230</v>
      </c>
      <c r="G164" s="117" t="s">
        <v>235</v>
      </c>
      <c r="H164" s="117" t="s">
        <v>236</v>
      </c>
      <c r="I164" s="120" t="s">
        <v>237</v>
      </c>
      <c r="J164" s="84">
        <v>0</v>
      </c>
      <c r="K164" s="73">
        <v>0</v>
      </c>
      <c r="L164" s="72">
        <v>1000</v>
      </c>
      <c r="M164" s="73">
        <v>6960</v>
      </c>
      <c r="N164" s="72">
        <v>0</v>
      </c>
      <c r="O164" s="73">
        <v>0</v>
      </c>
      <c r="P164" s="72">
        <v>0</v>
      </c>
      <c r="Q164" s="73">
        <v>0</v>
      </c>
      <c r="R164" s="72">
        <v>0</v>
      </c>
      <c r="S164" s="73">
        <v>0</v>
      </c>
      <c r="T164" s="72">
        <v>100</v>
      </c>
      <c r="U164" s="73">
        <v>696</v>
      </c>
      <c r="V164" s="72">
        <v>0</v>
      </c>
      <c r="W164" s="73">
        <v>0</v>
      </c>
      <c r="X164" s="72">
        <v>0</v>
      </c>
      <c r="Y164" s="73">
        <v>0</v>
      </c>
      <c r="Z164" s="72">
        <v>0</v>
      </c>
      <c r="AA164" s="73">
        <v>0</v>
      </c>
      <c r="AB164" s="72">
        <v>1000</v>
      </c>
      <c r="AC164" s="73">
        <v>6960</v>
      </c>
      <c r="AD164" s="72">
        <v>0</v>
      </c>
      <c r="AE164" s="73">
        <v>0</v>
      </c>
      <c r="AF164" s="72">
        <v>0</v>
      </c>
      <c r="AG164" s="88">
        <v>0</v>
      </c>
      <c r="AH164"/>
    </row>
    <row r="165" spans="1:34">
      <c r="B165" s="114">
        <v>146</v>
      </c>
      <c r="C165" s="117">
        <v>51</v>
      </c>
      <c r="D165" s="117"/>
      <c r="E165" s="117" t="s">
        <v>229</v>
      </c>
      <c r="F165" s="117" t="s">
        <v>230</v>
      </c>
      <c r="G165" s="117" t="s">
        <v>233</v>
      </c>
      <c r="H165" s="117" t="s">
        <v>234</v>
      </c>
      <c r="I165" s="121">
        <v>3</v>
      </c>
      <c r="J165" s="84">
        <v>600</v>
      </c>
      <c r="K165" s="73">
        <v>4800</v>
      </c>
      <c r="L165" s="72">
        <v>8700</v>
      </c>
      <c r="M165" s="73">
        <v>69600</v>
      </c>
      <c r="N165" s="72">
        <v>4200</v>
      </c>
      <c r="O165" s="73">
        <v>33600</v>
      </c>
      <c r="P165" s="72">
        <v>6600</v>
      </c>
      <c r="Q165" s="73">
        <v>52800</v>
      </c>
      <c r="R165" s="72">
        <v>10800</v>
      </c>
      <c r="S165" s="73">
        <v>86400</v>
      </c>
      <c r="T165" s="72">
        <v>4800</v>
      </c>
      <c r="U165" s="73">
        <v>38400</v>
      </c>
      <c r="V165" s="72">
        <v>12000</v>
      </c>
      <c r="W165" s="73">
        <v>96000</v>
      </c>
      <c r="X165" s="72">
        <v>10200</v>
      </c>
      <c r="Y165" s="73">
        <v>81600</v>
      </c>
      <c r="Z165" s="72">
        <v>4200</v>
      </c>
      <c r="AA165" s="73">
        <v>33600</v>
      </c>
      <c r="AB165" s="72">
        <v>4400</v>
      </c>
      <c r="AC165" s="73">
        <v>35200</v>
      </c>
      <c r="AD165" s="72">
        <v>0</v>
      </c>
      <c r="AE165" s="73">
        <v>0</v>
      </c>
      <c r="AF165" s="72">
        <v>0</v>
      </c>
      <c r="AG165" s="88">
        <v>0</v>
      </c>
      <c r="AH165"/>
    </row>
    <row r="166" spans="1:34">
      <c r="B166" s="114">
        <v>147</v>
      </c>
      <c r="C166" s="117">
        <v>51</v>
      </c>
      <c r="D166" s="117"/>
      <c r="E166" s="117" t="s">
        <v>243</v>
      </c>
      <c r="F166" s="117" t="s">
        <v>244</v>
      </c>
      <c r="G166" s="117" t="s">
        <v>245</v>
      </c>
      <c r="H166" s="117" t="s">
        <v>246</v>
      </c>
      <c r="I166" s="120" t="s">
        <v>164</v>
      </c>
      <c r="J166" s="84">
        <v>0</v>
      </c>
      <c r="K166" s="73">
        <v>0</v>
      </c>
      <c r="L166" s="72">
        <v>0</v>
      </c>
      <c r="M166" s="73">
        <v>0</v>
      </c>
      <c r="N166" s="72">
        <v>3840</v>
      </c>
      <c r="O166" s="73">
        <v>25190.4</v>
      </c>
      <c r="P166" s="72">
        <v>17760</v>
      </c>
      <c r="Q166" s="73">
        <v>116505.6</v>
      </c>
      <c r="R166" s="72">
        <v>16800</v>
      </c>
      <c r="S166" s="73">
        <v>110208</v>
      </c>
      <c r="T166" s="72">
        <v>19680</v>
      </c>
      <c r="U166" s="73">
        <v>129100.8</v>
      </c>
      <c r="V166" s="72">
        <v>16800</v>
      </c>
      <c r="W166" s="73">
        <v>110208</v>
      </c>
      <c r="X166" s="72">
        <v>19680</v>
      </c>
      <c r="Y166" s="73">
        <v>132441.6</v>
      </c>
      <c r="Z166" s="72">
        <v>13440</v>
      </c>
      <c r="AA166" s="73">
        <v>91392</v>
      </c>
      <c r="AB166" s="72">
        <v>9120</v>
      </c>
      <c r="AC166" s="73">
        <v>62016</v>
      </c>
      <c r="AD166" s="72">
        <v>0</v>
      </c>
      <c r="AE166" s="73">
        <v>0</v>
      </c>
      <c r="AF166" s="72">
        <v>0</v>
      </c>
      <c r="AG166" s="88">
        <v>0</v>
      </c>
      <c r="AH166"/>
    </row>
    <row r="167" spans="1:34">
      <c r="B167" s="114">
        <v>148</v>
      </c>
      <c r="C167" s="117">
        <v>51</v>
      </c>
      <c r="D167" s="117"/>
      <c r="E167" s="117" t="s">
        <v>247</v>
      </c>
      <c r="F167" s="117" t="s">
        <v>248</v>
      </c>
      <c r="G167" s="117" t="s">
        <v>249</v>
      </c>
      <c r="H167" s="117" t="s">
        <v>250</v>
      </c>
      <c r="I167" s="120" t="s">
        <v>251</v>
      </c>
      <c r="J167" s="84">
        <v>45000</v>
      </c>
      <c r="K167" s="73">
        <v>335250</v>
      </c>
      <c r="L167" s="72">
        <v>48000</v>
      </c>
      <c r="M167" s="73">
        <v>357600</v>
      </c>
      <c r="N167" s="72">
        <v>63000</v>
      </c>
      <c r="O167" s="73">
        <v>469350</v>
      </c>
      <c r="P167" s="72">
        <v>28000</v>
      </c>
      <c r="Q167" s="73">
        <v>208600</v>
      </c>
      <c r="R167" s="72">
        <v>60000</v>
      </c>
      <c r="S167" s="73">
        <v>447000</v>
      </c>
      <c r="T167" s="72">
        <v>60000</v>
      </c>
      <c r="U167" s="73">
        <v>447000</v>
      </c>
      <c r="V167" s="72">
        <v>72000</v>
      </c>
      <c r="W167" s="73">
        <v>536400</v>
      </c>
      <c r="X167" s="72">
        <v>69000</v>
      </c>
      <c r="Y167" s="73">
        <v>514050</v>
      </c>
      <c r="Z167" s="72">
        <v>24000</v>
      </c>
      <c r="AA167" s="73">
        <v>178800</v>
      </c>
      <c r="AB167" s="72">
        <v>12000</v>
      </c>
      <c r="AC167" s="73">
        <v>89400</v>
      </c>
      <c r="AD167" s="72">
        <v>0</v>
      </c>
      <c r="AE167" s="73">
        <v>0</v>
      </c>
      <c r="AF167" s="72">
        <v>0</v>
      </c>
      <c r="AG167" s="88">
        <v>0</v>
      </c>
      <c r="AH167"/>
    </row>
    <row r="168" spans="1:34">
      <c r="B168" s="114">
        <v>149</v>
      </c>
      <c r="C168" s="117">
        <v>52</v>
      </c>
      <c r="D168" s="117"/>
      <c r="E168" s="117" t="s">
        <v>252</v>
      </c>
      <c r="F168" s="117" t="s">
        <v>253</v>
      </c>
      <c r="G168" s="117" t="s">
        <v>254</v>
      </c>
      <c r="H168" s="117" t="s">
        <v>170</v>
      </c>
      <c r="I168" s="120" t="s">
        <v>255</v>
      </c>
      <c r="J168" s="84">
        <v>370000</v>
      </c>
      <c r="K168" s="73">
        <v>555000</v>
      </c>
      <c r="L168" s="72">
        <v>530000</v>
      </c>
      <c r="M168" s="73">
        <v>795000</v>
      </c>
      <c r="N168" s="72">
        <v>420000</v>
      </c>
      <c r="O168" s="73">
        <v>630000</v>
      </c>
      <c r="P168" s="72">
        <v>320000</v>
      </c>
      <c r="Q168" s="73">
        <v>480000</v>
      </c>
      <c r="R168" s="72">
        <v>350000</v>
      </c>
      <c r="S168" s="73">
        <v>525000</v>
      </c>
      <c r="T168" s="72">
        <v>390000</v>
      </c>
      <c r="U168" s="73">
        <v>585000</v>
      </c>
      <c r="V168" s="72">
        <v>420000</v>
      </c>
      <c r="W168" s="73">
        <v>630000</v>
      </c>
      <c r="X168" s="72">
        <v>480000</v>
      </c>
      <c r="Y168" s="73">
        <v>720000</v>
      </c>
      <c r="Z168" s="72">
        <v>460000</v>
      </c>
      <c r="AA168" s="73">
        <v>690000</v>
      </c>
      <c r="AB168" s="72">
        <v>146000</v>
      </c>
      <c r="AC168" s="73">
        <v>219000</v>
      </c>
      <c r="AD168" s="72">
        <v>0</v>
      </c>
      <c r="AE168" s="73">
        <v>0</v>
      </c>
      <c r="AF168" s="72">
        <v>0</v>
      </c>
      <c r="AG168" s="88">
        <v>0</v>
      </c>
      <c r="AH168"/>
    </row>
    <row r="169" spans="1:34">
      <c r="B169" s="114">
        <v>150</v>
      </c>
      <c r="C169" s="117">
        <v>51</v>
      </c>
      <c r="D169" s="117"/>
      <c r="E169" s="117" t="s">
        <v>252</v>
      </c>
      <c r="F169" s="117" t="s">
        <v>253</v>
      </c>
      <c r="G169" s="117" t="s">
        <v>256</v>
      </c>
      <c r="H169" s="117" t="s">
        <v>257</v>
      </c>
      <c r="I169" s="120" t="s">
        <v>258</v>
      </c>
      <c r="J169" s="84">
        <v>1600</v>
      </c>
      <c r="K169" s="73">
        <v>28800</v>
      </c>
      <c r="L169" s="72">
        <v>7200</v>
      </c>
      <c r="M169" s="73">
        <v>129600</v>
      </c>
      <c r="N169" s="72">
        <v>4000</v>
      </c>
      <c r="O169" s="73">
        <v>72000</v>
      </c>
      <c r="P169" s="72">
        <v>6400</v>
      </c>
      <c r="Q169" s="73">
        <v>115200</v>
      </c>
      <c r="R169" s="72">
        <v>6400</v>
      </c>
      <c r="S169" s="73">
        <v>115200</v>
      </c>
      <c r="T169" s="72">
        <v>1600</v>
      </c>
      <c r="U169" s="73">
        <v>28800</v>
      </c>
      <c r="V169" s="72">
        <v>4800</v>
      </c>
      <c r="W169" s="73">
        <v>86400</v>
      </c>
      <c r="X169" s="72">
        <v>3200</v>
      </c>
      <c r="Y169" s="73">
        <v>57600</v>
      </c>
      <c r="Z169" s="72">
        <v>0</v>
      </c>
      <c r="AA169" s="73">
        <v>0</v>
      </c>
      <c r="AB169" s="72">
        <v>1600</v>
      </c>
      <c r="AC169" s="73">
        <v>28800</v>
      </c>
      <c r="AD169" s="72">
        <v>0</v>
      </c>
      <c r="AE169" s="73">
        <v>0</v>
      </c>
      <c r="AF169" s="72">
        <v>0</v>
      </c>
      <c r="AG169" s="88">
        <v>0</v>
      </c>
      <c r="AH169"/>
    </row>
    <row r="170" spans="1:34">
      <c r="B170" s="114">
        <v>151</v>
      </c>
      <c r="C170" s="117">
        <v>52</v>
      </c>
      <c r="D170" s="117"/>
      <c r="E170" s="117" t="s">
        <v>252</v>
      </c>
      <c r="F170" s="117" t="s">
        <v>253</v>
      </c>
      <c r="G170" s="117" t="s">
        <v>254</v>
      </c>
      <c r="H170" s="117" t="s">
        <v>170</v>
      </c>
      <c r="I170" s="120"/>
      <c r="J170" s="84">
        <v>370000</v>
      </c>
      <c r="K170" s="73">
        <v>555000</v>
      </c>
      <c r="L170" s="72">
        <v>530000</v>
      </c>
      <c r="M170" s="73">
        <v>795000</v>
      </c>
      <c r="N170" s="72">
        <v>420000</v>
      </c>
      <c r="O170" s="73">
        <v>630000</v>
      </c>
      <c r="P170" s="72">
        <v>320000</v>
      </c>
      <c r="Q170" s="73">
        <v>480000</v>
      </c>
      <c r="R170" s="72">
        <v>350000</v>
      </c>
      <c r="S170" s="73">
        <v>525000</v>
      </c>
      <c r="T170" s="72">
        <v>390000</v>
      </c>
      <c r="U170" s="73">
        <v>585000</v>
      </c>
      <c r="V170" s="72">
        <v>420000</v>
      </c>
      <c r="W170" s="73">
        <v>630000</v>
      </c>
      <c r="X170" s="72">
        <v>480000</v>
      </c>
      <c r="Y170" s="73">
        <v>720000</v>
      </c>
      <c r="Z170" s="72">
        <v>460000</v>
      </c>
      <c r="AA170" s="73">
        <v>690000</v>
      </c>
      <c r="AB170" s="72">
        <v>146000</v>
      </c>
      <c r="AC170" s="73">
        <v>219000</v>
      </c>
      <c r="AD170" s="72">
        <v>0</v>
      </c>
      <c r="AE170" s="73">
        <v>0</v>
      </c>
      <c r="AF170" s="72">
        <v>0</v>
      </c>
      <c r="AG170" s="88">
        <v>0</v>
      </c>
      <c r="AH170"/>
    </row>
    <row r="171" spans="1:34">
      <c r="B171" s="114">
        <v>152</v>
      </c>
      <c r="C171" s="117">
        <v>51</v>
      </c>
      <c r="D171" s="117"/>
      <c r="E171" s="117" t="s">
        <v>259</v>
      </c>
      <c r="F171" s="117" t="s">
        <v>260</v>
      </c>
      <c r="G171" s="117" t="s">
        <v>261</v>
      </c>
      <c r="H171" s="117" t="s">
        <v>261</v>
      </c>
      <c r="I171" s="120" t="s">
        <v>88</v>
      </c>
      <c r="J171" s="84">
        <v>30313</v>
      </c>
      <c r="K171" s="73">
        <v>1940032</v>
      </c>
      <c r="L171" s="72">
        <v>29806</v>
      </c>
      <c r="M171" s="73">
        <v>1937390</v>
      </c>
      <c r="N171" s="72">
        <v>30230</v>
      </c>
      <c r="O171" s="73">
        <v>1995180</v>
      </c>
      <c r="P171" s="72">
        <v>0</v>
      </c>
      <c r="Q171" s="73">
        <v>0</v>
      </c>
      <c r="R171" s="72">
        <v>36277</v>
      </c>
      <c r="S171" s="73">
        <v>2463208.3</v>
      </c>
      <c r="T171" s="72">
        <v>0</v>
      </c>
      <c r="U171" s="73">
        <v>0</v>
      </c>
      <c r="V171" s="72">
        <v>0</v>
      </c>
      <c r="W171" s="73">
        <v>0</v>
      </c>
      <c r="X171" s="72">
        <v>0</v>
      </c>
      <c r="Y171" s="73">
        <v>0</v>
      </c>
      <c r="Z171" s="72">
        <v>29816</v>
      </c>
      <c r="AA171" s="73">
        <v>2009598.4</v>
      </c>
      <c r="AB171" s="72">
        <v>0</v>
      </c>
      <c r="AC171" s="73">
        <v>0</v>
      </c>
      <c r="AD171" s="72">
        <v>0</v>
      </c>
      <c r="AE171" s="73">
        <v>0</v>
      </c>
      <c r="AF171" s="72">
        <v>0</v>
      </c>
      <c r="AG171" s="88">
        <v>0</v>
      </c>
      <c r="AH171"/>
    </row>
    <row r="172" spans="1:34">
      <c r="B172" s="114">
        <v>153</v>
      </c>
      <c r="C172" s="117">
        <v>51</v>
      </c>
      <c r="D172" s="117"/>
      <c r="E172" s="117" t="s">
        <v>262</v>
      </c>
      <c r="F172" s="117" t="s">
        <v>263</v>
      </c>
      <c r="G172" s="117" t="s">
        <v>271</v>
      </c>
      <c r="H172" s="117" t="s">
        <v>155</v>
      </c>
      <c r="I172" s="120" t="s">
        <v>156</v>
      </c>
      <c r="J172" s="84">
        <v>0</v>
      </c>
      <c r="K172" s="73">
        <v>0</v>
      </c>
      <c r="L172" s="72">
        <v>936</v>
      </c>
      <c r="M172" s="73">
        <v>23924.16</v>
      </c>
      <c r="N172" s="72">
        <v>0</v>
      </c>
      <c r="O172" s="73">
        <v>0</v>
      </c>
      <c r="P172" s="72">
        <v>936</v>
      </c>
      <c r="Q172" s="73">
        <v>23924.16</v>
      </c>
      <c r="R172" s="72">
        <v>468</v>
      </c>
      <c r="S172" s="73">
        <v>11962.08</v>
      </c>
      <c r="T172" s="72">
        <v>368</v>
      </c>
      <c r="U172" s="73">
        <v>9406.08</v>
      </c>
      <c r="V172" s="72">
        <v>1228</v>
      </c>
      <c r="W172" s="73">
        <v>31387.68</v>
      </c>
      <c r="X172" s="72">
        <v>1404</v>
      </c>
      <c r="Y172" s="73">
        <v>35886.24</v>
      </c>
      <c r="Z172" s="72">
        <v>1404</v>
      </c>
      <c r="AA172" s="73">
        <v>35886.24</v>
      </c>
      <c r="AB172" s="72">
        <v>0</v>
      </c>
      <c r="AC172" s="73">
        <v>0</v>
      </c>
      <c r="AD172" s="72">
        <v>0</v>
      </c>
      <c r="AE172" s="73">
        <v>0</v>
      </c>
      <c r="AF172" s="72">
        <v>0</v>
      </c>
      <c r="AG172" s="88">
        <v>0</v>
      </c>
      <c r="AH172"/>
    </row>
    <row r="173" spans="1:34">
      <c r="B173" s="114">
        <v>154</v>
      </c>
      <c r="C173" s="117">
        <v>51</v>
      </c>
      <c r="D173" s="117"/>
      <c r="E173" s="117" t="s">
        <v>262</v>
      </c>
      <c r="F173" s="117" t="s">
        <v>263</v>
      </c>
      <c r="G173" s="117" t="s">
        <v>267</v>
      </c>
      <c r="H173" s="117" t="s">
        <v>158</v>
      </c>
      <c r="I173" s="120" t="s">
        <v>156</v>
      </c>
      <c r="J173" s="84">
        <v>0</v>
      </c>
      <c r="K173" s="73">
        <v>0</v>
      </c>
      <c r="L173" s="72">
        <v>1032</v>
      </c>
      <c r="M173" s="73">
        <v>11114.64</v>
      </c>
      <c r="N173" s="72">
        <v>1032</v>
      </c>
      <c r="O173" s="73">
        <v>11114.64</v>
      </c>
      <c r="P173" s="72">
        <v>0</v>
      </c>
      <c r="Q173" s="73">
        <v>0</v>
      </c>
      <c r="R173" s="72">
        <v>0</v>
      </c>
      <c r="S173" s="73">
        <v>0</v>
      </c>
      <c r="T173" s="72">
        <v>1032</v>
      </c>
      <c r="U173" s="73">
        <v>11114.64</v>
      </c>
      <c r="V173" s="72">
        <v>1032</v>
      </c>
      <c r="W173" s="73">
        <v>11114.64</v>
      </c>
      <c r="X173" s="72">
        <v>1032</v>
      </c>
      <c r="Y173" s="73">
        <v>11114.64</v>
      </c>
      <c r="Z173" s="72">
        <v>0</v>
      </c>
      <c r="AA173" s="73">
        <v>0</v>
      </c>
      <c r="AB173" s="72">
        <v>850</v>
      </c>
      <c r="AC173" s="73">
        <v>9154.5</v>
      </c>
      <c r="AD173" s="72">
        <v>0</v>
      </c>
      <c r="AE173" s="73">
        <v>0</v>
      </c>
      <c r="AF173" s="72">
        <v>0</v>
      </c>
      <c r="AG173" s="88">
        <v>0</v>
      </c>
      <c r="AH173"/>
    </row>
    <row r="174" spans="1:34">
      <c r="B174" s="114">
        <v>155</v>
      </c>
      <c r="C174" s="117">
        <v>51</v>
      </c>
      <c r="D174" s="117"/>
      <c r="E174" s="117" t="s">
        <v>262</v>
      </c>
      <c r="F174" s="117" t="s">
        <v>263</v>
      </c>
      <c r="G174" s="117" t="s">
        <v>272</v>
      </c>
      <c r="H174" s="117" t="s">
        <v>158</v>
      </c>
      <c r="I174" s="120" t="s">
        <v>156</v>
      </c>
      <c r="J174" s="84">
        <v>0</v>
      </c>
      <c r="K174" s="73">
        <v>0</v>
      </c>
      <c r="L174" s="72">
        <v>0</v>
      </c>
      <c r="M174" s="73">
        <v>0</v>
      </c>
      <c r="N174" s="72">
        <v>0</v>
      </c>
      <c r="O174" s="73">
        <v>0</v>
      </c>
      <c r="P174" s="72">
        <v>0</v>
      </c>
      <c r="Q174" s="73">
        <v>0</v>
      </c>
      <c r="R174" s="72">
        <v>0</v>
      </c>
      <c r="S174" s="73">
        <v>0</v>
      </c>
      <c r="T174" s="72">
        <v>0</v>
      </c>
      <c r="U174" s="73">
        <v>0</v>
      </c>
      <c r="V174" s="72">
        <v>0</v>
      </c>
      <c r="W174" s="73">
        <v>0</v>
      </c>
      <c r="X174" s="72">
        <v>0</v>
      </c>
      <c r="Y174" s="73">
        <v>0</v>
      </c>
      <c r="Z174" s="72">
        <v>0</v>
      </c>
      <c r="AA174" s="73">
        <v>0</v>
      </c>
      <c r="AB174" s="72">
        <v>100</v>
      </c>
      <c r="AC174" s="73">
        <v>1077</v>
      </c>
      <c r="AD174" s="72">
        <v>0</v>
      </c>
      <c r="AE174" s="73">
        <v>0</v>
      </c>
      <c r="AF174" s="72">
        <v>0</v>
      </c>
      <c r="AG174" s="88">
        <v>0</v>
      </c>
      <c r="AH174"/>
    </row>
    <row r="175" spans="1:34">
      <c r="B175" s="114">
        <v>156</v>
      </c>
      <c r="C175" s="117">
        <v>51</v>
      </c>
      <c r="D175" s="117"/>
      <c r="E175" s="117" t="s">
        <v>262</v>
      </c>
      <c r="F175" s="117" t="s">
        <v>263</v>
      </c>
      <c r="G175" s="117" t="s">
        <v>268</v>
      </c>
      <c r="H175" s="117" t="s">
        <v>269</v>
      </c>
      <c r="I175" s="120" t="s">
        <v>156</v>
      </c>
      <c r="J175" s="84">
        <v>0</v>
      </c>
      <c r="K175" s="73">
        <v>0</v>
      </c>
      <c r="L175" s="72">
        <v>468</v>
      </c>
      <c r="M175" s="73">
        <v>11962.08</v>
      </c>
      <c r="N175" s="72">
        <v>468</v>
      </c>
      <c r="O175" s="73">
        <v>11962.08</v>
      </c>
      <c r="P175" s="72">
        <v>936</v>
      </c>
      <c r="Q175" s="73">
        <v>23924.16</v>
      </c>
      <c r="R175" s="72">
        <v>0</v>
      </c>
      <c r="S175" s="73">
        <v>0</v>
      </c>
      <c r="T175" s="72">
        <v>0</v>
      </c>
      <c r="U175" s="73">
        <v>0</v>
      </c>
      <c r="V175" s="72">
        <v>0</v>
      </c>
      <c r="W175" s="73">
        <v>0</v>
      </c>
      <c r="X175" s="72">
        <v>0</v>
      </c>
      <c r="Y175" s="73">
        <v>0</v>
      </c>
      <c r="Z175" s="72">
        <v>0</v>
      </c>
      <c r="AA175" s="73">
        <v>0</v>
      </c>
      <c r="AB175" s="72">
        <v>0</v>
      </c>
      <c r="AC175" s="73">
        <v>0</v>
      </c>
      <c r="AD175" s="72">
        <v>0</v>
      </c>
      <c r="AE175" s="73">
        <v>0</v>
      </c>
      <c r="AF175" s="72">
        <v>0</v>
      </c>
      <c r="AG175" s="88">
        <v>0</v>
      </c>
      <c r="AH175"/>
    </row>
    <row r="176" spans="1:34">
      <c r="B176" s="114">
        <v>157</v>
      </c>
      <c r="C176" s="117">
        <v>51</v>
      </c>
      <c r="D176" s="117"/>
      <c r="E176" s="117" t="s">
        <v>262</v>
      </c>
      <c r="F176" s="117" t="s">
        <v>263</v>
      </c>
      <c r="G176" s="117" t="s">
        <v>264</v>
      </c>
      <c r="H176" s="117" t="s">
        <v>265</v>
      </c>
      <c r="I176" s="120" t="s">
        <v>266</v>
      </c>
      <c r="J176" s="84">
        <v>0</v>
      </c>
      <c r="K176" s="73">
        <v>0</v>
      </c>
      <c r="L176" s="72">
        <v>0</v>
      </c>
      <c r="M176" s="73">
        <v>0</v>
      </c>
      <c r="N176" s="72">
        <v>0</v>
      </c>
      <c r="O176" s="73">
        <v>0</v>
      </c>
      <c r="P176" s="72">
        <v>0</v>
      </c>
      <c r="Q176" s="73">
        <v>0</v>
      </c>
      <c r="R176" s="72">
        <v>2034</v>
      </c>
      <c r="S176" s="73">
        <v>33499.98</v>
      </c>
      <c r="T176" s="72">
        <v>0</v>
      </c>
      <c r="U176" s="73">
        <v>0</v>
      </c>
      <c r="V176" s="72">
        <v>0</v>
      </c>
      <c r="W176" s="73">
        <v>0</v>
      </c>
      <c r="X176" s="72">
        <v>0</v>
      </c>
      <c r="Y176" s="73">
        <v>0</v>
      </c>
      <c r="Z176" s="72">
        <v>2035</v>
      </c>
      <c r="AA176" s="73">
        <v>33516.45</v>
      </c>
      <c r="AB176" s="72">
        <v>0</v>
      </c>
      <c r="AC176" s="73">
        <v>0</v>
      </c>
      <c r="AD176" s="72">
        <v>0</v>
      </c>
      <c r="AE176" s="73">
        <v>0</v>
      </c>
      <c r="AF176" s="72">
        <v>0</v>
      </c>
      <c r="AG176" s="88">
        <v>0</v>
      </c>
      <c r="AH176"/>
    </row>
    <row r="177" spans="1:34">
      <c r="B177" s="114">
        <v>158</v>
      </c>
      <c r="C177" s="117">
        <v>51</v>
      </c>
      <c r="D177" s="117"/>
      <c r="E177" s="117" t="s">
        <v>262</v>
      </c>
      <c r="F177" s="117" t="s">
        <v>263</v>
      </c>
      <c r="G177" s="117" t="s">
        <v>270</v>
      </c>
      <c r="H177" s="117" t="s">
        <v>155</v>
      </c>
      <c r="I177" s="120" t="s">
        <v>156</v>
      </c>
      <c r="J177" s="84">
        <v>0</v>
      </c>
      <c r="K177" s="73">
        <v>0</v>
      </c>
      <c r="L177" s="72">
        <v>0</v>
      </c>
      <c r="M177" s="73">
        <v>0</v>
      </c>
      <c r="N177" s="72">
        <v>0</v>
      </c>
      <c r="O177" s="73">
        <v>0</v>
      </c>
      <c r="P177" s="72">
        <v>0</v>
      </c>
      <c r="Q177" s="73">
        <v>0</v>
      </c>
      <c r="R177" s="72">
        <v>0</v>
      </c>
      <c r="S177" s="73">
        <v>0</v>
      </c>
      <c r="T177" s="72">
        <v>100</v>
      </c>
      <c r="U177" s="73">
        <v>2556</v>
      </c>
      <c r="V177" s="72">
        <v>0</v>
      </c>
      <c r="W177" s="73">
        <v>0</v>
      </c>
      <c r="X177" s="72">
        <v>0</v>
      </c>
      <c r="Y177" s="73">
        <v>0</v>
      </c>
      <c r="Z177" s="72">
        <v>0</v>
      </c>
      <c r="AA177" s="73">
        <v>0</v>
      </c>
      <c r="AB177" s="72">
        <v>52</v>
      </c>
      <c r="AC177" s="73">
        <v>1329.12</v>
      </c>
      <c r="AD177" s="72">
        <v>0</v>
      </c>
      <c r="AE177" s="73">
        <v>0</v>
      </c>
      <c r="AF177" s="72">
        <v>0</v>
      </c>
      <c r="AG177" s="88">
        <v>0</v>
      </c>
      <c r="AH177"/>
    </row>
    <row r="178" spans="1:34">
      <c r="B178" s="114">
        <v>159</v>
      </c>
      <c r="C178" s="117">
        <v>51</v>
      </c>
      <c r="D178" s="117"/>
      <c r="E178" s="117" t="s">
        <v>273</v>
      </c>
      <c r="F178" s="117" t="s">
        <v>274</v>
      </c>
      <c r="G178" s="117" t="s">
        <v>278</v>
      </c>
      <c r="H178" s="117" t="s">
        <v>279</v>
      </c>
      <c r="I178" s="120" t="s">
        <v>280</v>
      </c>
      <c r="J178" s="84">
        <v>6750</v>
      </c>
      <c r="K178" s="73">
        <v>111037.5</v>
      </c>
      <c r="L178" s="72">
        <v>4500</v>
      </c>
      <c r="M178" s="73">
        <v>74025</v>
      </c>
      <c r="N178" s="72">
        <v>9900</v>
      </c>
      <c r="O178" s="73">
        <v>162855</v>
      </c>
      <c r="P178" s="72">
        <v>5850</v>
      </c>
      <c r="Q178" s="73">
        <v>96232.5</v>
      </c>
      <c r="R178" s="72">
        <v>9000</v>
      </c>
      <c r="S178" s="73">
        <v>148050</v>
      </c>
      <c r="T178" s="72">
        <v>9000</v>
      </c>
      <c r="U178" s="73">
        <v>148050</v>
      </c>
      <c r="V178" s="72">
        <v>9450</v>
      </c>
      <c r="W178" s="73">
        <v>155452.5</v>
      </c>
      <c r="X178" s="72">
        <v>8550</v>
      </c>
      <c r="Y178" s="73">
        <v>140647.5</v>
      </c>
      <c r="Z178" s="72">
        <v>4500</v>
      </c>
      <c r="AA178" s="73">
        <v>74025</v>
      </c>
      <c r="AB178" s="72">
        <v>4950</v>
      </c>
      <c r="AC178" s="73">
        <v>81427.5</v>
      </c>
      <c r="AD178" s="72">
        <v>0</v>
      </c>
      <c r="AE178" s="73">
        <v>0</v>
      </c>
      <c r="AF178" s="72">
        <v>0</v>
      </c>
      <c r="AG178" s="88">
        <v>0</v>
      </c>
      <c r="AH178"/>
    </row>
    <row r="179" spans="1:34">
      <c r="B179" s="114">
        <v>160</v>
      </c>
      <c r="C179" s="117">
        <v>51</v>
      </c>
      <c r="D179" s="117"/>
      <c r="E179" s="117" t="s">
        <v>273</v>
      </c>
      <c r="F179" s="117" t="s">
        <v>274</v>
      </c>
      <c r="G179" s="117" t="s">
        <v>275</v>
      </c>
      <c r="H179" s="117" t="s">
        <v>276</v>
      </c>
      <c r="I179" s="120" t="s">
        <v>277</v>
      </c>
      <c r="J179" s="84">
        <v>0</v>
      </c>
      <c r="K179" s="73">
        <v>0</v>
      </c>
      <c r="L179" s="72">
        <v>0</v>
      </c>
      <c r="M179" s="73">
        <v>0</v>
      </c>
      <c r="N179" s="72">
        <v>0</v>
      </c>
      <c r="O179" s="73">
        <v>0</v>
      </c>
      <c r="P179" s="72">
        <v>0</v>
      </c>
      <c r="Q179" s="73">
        <v>0</v>
      </c>
      <c r="R179" s="72">
        <v>0</v>
      </c>
      <c r="S179" s="73">
        <v>0</v>
      </c>
      <c r="T179" s="72">
        <v>0</v>
      </c>
      <c r="U179" s="73">
        <v>0</v>
      </c>
      <c r="V179" s="72">
        <v>0</v>
      </c>
      <c r="W179" s="73">
        <v>0</v>
      </c>
      <c r="X179" s="72">
        <v>0</v>
      </c>
      <c r="Y179" s="73">
        <v>0</v>
      </c>
      <c r="Z179" s="72">
        <v>0</v>
      </c>
      <c r="AA179" s="73">
        <v>0</v>
      </c>
      <c r="AB179" s="72">
        <v>240</v>
      </c>
      <c r="AC179" s="73">
        <v>4320</v>
      </c>
      <c r="AD179" s="72">
        <v>0</v>
      </c>
      <c r="AE179" s="73">
        <v>0</v>
      </c>
      <c r="AF179" s="72">
        <v>0</v>
      </c>
      <c r="AG179" s="88">
        <v>0</v>
      </c>
      <c r="AH179"/>
    </row>
    <row r="180" spans="1:34">
      <c r="B180" s="114">
        <v>161</v>
      </c>
      <c r="C180" s="117">
        <v>51</v>
      </c>
      <c r="D180" s="117"/>
      <c r="E180" s="117" t="s">
        <v>281</v>
      </c>
      <c r="F180" s="117" t="s">
        <v>282</v>
      </c>
      <c r="G180" s="117" t="s">
        <v>296</v>
      </c>
      <c r="H180" s="117" t="s">
        <v>292</v>
      </c>
      <c r="I180" s="120" t="s">
        <v>293</v>
      </c>
      <c r="J180" s="84">
        <v>9900</v>
      </c>
      <c r="K180" s="73">
        <v>112365</v>
      </c>
      <c r="L180" s="72">
        <v>16740</v>
      </c>
      <c r="M180" s="73">
        <v>189999</v>
      </c>
      <c r="N180" s="72">
        <v>14940</v>
      </c>
      <c r="O180" s="73">
        <v>169569</v>
      </c>
      <c r="P180" s="72">
        <v>12060</v>
      </c>
      <c r="Q180" s="73">
        <v>136881</v>
      </c>
      <c r="R180" s="72">
        <v>13680</v>
      </c>
      <c r="S180" s="73">
        <v>155268</v>
      </c>
      <c r="T180" s="72">
        <v>16200</v>
      </c>
      <c r="U180" s="73">
        <v>183870</v>
      </c>
      <c r="V180" s="72">
        <v>16920</v>
      </c>
      <c r="W180" s="73">
        <v>192042</v>
      </c>
      <c r="X180" s="72">
        <v>16560</v>
      </c>
      <c r="Y180" s="73">
        <v>187956</v>
      </c>
      <c r="Z180" s="72">
        <v>10260</v>
      </c>
      <c r="AA180" s="73">
        <v>116451</v>
      </c>
      <c r="AB180" s="72">
        <v>6480</v>
      </c>
      <c r="AC180" s="73">
        <v>73548</v>
      </c>
      <c r="AD180" s="72">
        <v>0</v>
      </c>
      <c r="AE180" s="73">
        <v>0</v>
      </c>
      <c r="AF180" s="72">
        <v>0</v>
      </c>
      <c r="AG180" s="88">
        <v>0</v>
      </c>
      <c r="AH180"/>
    </row>
    <row r="181" spans="1:34">
      <c r="B181" s="114">
        <v>162</v>
      </c>
      <c r="C181" s="117">
        <v>51</v>
      </c>
      <c r="D181" s="117"/>
      <c r="E181" s="117" t="s">
        <v>281</v>
      </c>
      <c r="F181" s="117" t="s">
        <v>282</v>
      </c>
      <c r="G181" s="117" t="s">
        <v>291</v>
      </c>
      <c r="H181" s="117" t="s">
        <v>292</v>
      </c>
      <c r="I181" s="120" t="s">
        <v>293</v>
      </c>
      <c r="J181" s="84">
        <v>10125</v>
      </c>
      <c r="K181" s="73">
        <v>134156.25</v>
      </c>
      <c r="L181" s="72">
        <v>16740</v>
      </c>
      <c r="M181" s="73">
        <v>221805</v>
      </c>
      <c r="N181" s="72">
        <v>15120</v>
      </c>
      <c r="O181" s="73">
        <v>200340</v>
      </c>
      <c r="P181" s="72">
        <v>12150</v>
      </c>
      <c r="Q181" s="73">
        <v>160987.5</v>
      </c>
      <c r="R181" s="72">
        <v>14985</v>
      </c>
      <c r="S181" s="73">
        <v>198551.25</v>
      </c>
      <c r="T181" s="72">
        <v>15525</v>
      </c>
      <c r="U181" s="73">
        <v>205706.25</v>
      </c>
      <c r="V181" s="72">
        <v>16200</v>
      </c>
      <c r="W181" s="73">
        <v>214650</v>
      </c>
      <c r="X181" s="72">
        <v>16200</v>
      </c>
      <c r="Y181" s="73">
        <v>214650</v>
      </c>
      <c r="Z181" s="72">
        <v>9720</v>
      </c>
      <c r="AA181" s="73">
        <v>128790</v>
      </c>
      <c r="AB181" s="72">
        <v>7020</v>
      </c>
      <c r="AC181" s="73">
        <v>93015</v>
      </c>
      <c r="AD181" s="72">
        <v>0</v>
      </c>
      <c r="AE181" s="73">
        <v>0</v>
      </c>
      <c r="AF181" s="72">
        <v>0</v>
      </c>
      <c r="AG181" s="88">
        <v>0</v>
      </c>
      <c r="AH181"/>
    </row>
    <row r="182" spans="1:34">
      <c r="B182" s="114">
        <v>163</v>
      </c>
      <c r="C182" s="117">
        <v>51</v>
      </c>
      <c r="D182" s="117"/>
      <c r="E182" s="117" t="s">
        <v>281</v>
      </c>
      <c r="F182" s="117" t="s">
        <v>282</v>
      </c>
      <c r="G182" s="117" t="s">
        <v>283</v>
      </c>
      <c r="H182" s="117" t="s">
        <v>284</v>
      </c>
      <c r="I182" s="120" t="s">
        <v>285</v>
      </c>
      <c r="J182" s="84">
        <v>14196</v>
      </c>
      <c r="K182" s="73">
        <v>295418.76</v>
      </c>
      <c r="L182" s="72">
        <v>18564</v>
      </c>
      <c r="M182" s="73">
        <v>386316.84</v>
      </c>
      <c r="N182" s="72">
        <v>15522</v>
      </c>
      <c r="O182" s="73">
        <v>323012.82</v>
      </c>
      <c r="P182" s="72">
        <v>14976</v>
      </c>
      <c r="Q182" s="73">
        <v>311650.56</v>
      </c>
      <c r="R182" s="72">
        <v>11466</v>
      </c>
      <c r="S182" s="73">
        <v>238607.46</v>
      </c>
      <c r="T182" s="72">
        <v>13260</v>
      </c>
      <c r="U182" s="73">
        <v>275940.6</v>
      </c>
      <c r="V182" s="72">
        <v>14820</v>
      </c>
      <c r="W182" s="73">
        <v>308404.2</v>
      </c>
      <c r="X182" s="72">
        <v>19110</v>
      </c>
      <c r="Y182" s="73">
        <v>397679.1</v>
      </c>
      <c r="Z182" s="72">
        <v>10140</v>
      </c>
      <c r="AA182" s="73">
        <v>211013.4</v>
      </c>
      <c r="AB182" s="72">
        <v>6396</v>
      </c>
      <c r="AC182" s="73">
        <v>133100.76</v>
      </c>
      <c r="AD182" s="72">
        <v>0</v>
      </c>
      <c r="AE182" s="73">
        <v>0</v>
      </c>
      <c r="AF182" s="72">
        <v>0</v>
      </c>
      <c r="AG182" s="88">
        <v>0</v>
      </c>
      <c r="AH182"/>
    </row>
    <row r="183" spans="1:34">
      <c r="B183" s="114">
        <v>164</v>
      </c>
      <c r="C183" s="117">
        <v>51</v>
      </c>
      <c r="D183" s="117"/>
      <c r="E183" s="117" t="s">
        <v>281</v>
      </c>
      <c r="F183" s="117" t="s">
        <v>282</v>
      </c>
      <c r="G183" s="117" t="s">
        <v>294</v>
      </c>
      <c r="H183" s="117" t="s">
        <v>295</v>
      </c>
      <c r="I183" s="120" t="s">
        <v>285</v>
      </c>
      <c r="J183" s="84">
        <v>14196</v>
      </c>
      <c r="K183" s="73">
        <v>352202.76</v>
      </c>
      <c r="L183" s="72">
        <v>18668</v>
      </c>
      <c r="M183" s="73">
        <v>463153.08</v>
      </c>
      <c r="N183" s="72">
        <v>15704</v>
      </c>
      <c r="O183" s="73">
        <v>389616.24</v>
      </c>
      <c r="P183" s="72">
        <v>15132</v>
      </c>
      <c r="Q183" s="73">
        <v>375424.92</v>
      </c>
      <c r="R183" s="72">
        <v>10088</v>
      </c>
      <c r="S183" s="73">
        <v>250283.28</v>
      </c>
      <c r="T183" s="72">
        <v>15600</v>
      </c>
      <c r="U183" s="73">
        <v>387036</v>
      </c>
      <c r="V183" s="72">
        <v>15392</v>
      </c>
      <c r="W183" s="73">
        <v>381875.52</v>
      </c>
      <c r="X183" s="72">
        <v>17576</v>
      </c>
      <c r="Y183" s="73">
        <v>436060.56</v>
      </c>
      <c r="Z183" s="72">
        <v>9360</v>
      </c>
      <c r="AA183" s="73">
        <v>232221.6</v>
      </c>
      <c r="AB183" s="72">
        <v>6500</v>
      </c>
      <c r="AC183" s="73">
        <v>161265</v>
      </c>
      <c r="AD183" s="72">
        <v>0</v>
      </c>
      <c r="AE183" s="73">
        <v>0</v>
      </c>
      <c r="AF183" s="72">
        <v>0</v>
      </c>
      <c r="AG183" s="88">
        <v>0</v>
      </c>
      <c r="AH183"/>
    </row>
    <row r="184" spans="1:34">
      <c r="B184" s="114">
        <v>165</v>
      </c>
      <c r="C184" s="117">
        <v>51</v>
      </c>
      <c r="D184" s="117"/>
      <c r="E184" s="117" t="s">
        <v>281</v>
      </c>
      <c r="F184" s="117" t="s">
        <v>282</v>
      </c>
      <c r="G184" s="117" t="s">
        <v>288</v>
      </c>
      <c r="H184" s="117" t="s">
        <v>289</v>
      </c>
      <c r="I184" s="120" t="s">
        <v>290</v>
      </c>
      <c r="J184" s="84">
        <v>0</v>
      </c>
      <c r="K184" s="73">
        <v>0</v>
      </c>
      <c r="L184" s="72">
        <v>0</v>
      </c>
      <c r="M184" s="73">
        <v>0</v>
      </c>
      <c r="N184" s="72">
        <v>300</v>
      </c>
      <c r="O184" s="73">
        <v>3780</v>
      </c>
      <c r="P184" s="72">
        <v>0</v>
      </c>
      <c r="Q184" s="73">
        <v>0</v>
      </c>
      <c r="R184" s="72">
        <v>470</v>
      </c>
      <c r="S184" s="73">
        <v>5922</v>
      </c>
      <c r="T184" s="72">
        <v>0</v>
      </c>
      <c r="U184" s="73">
        <v>0</v>
      </c>
      <c r="V184" s="72">
        <v>300</v>
      </c>
      <c r="W184" s="73">
        <v>3780</v>
      </c>
      <c r="X184" s="72">
        <v>0</v>
      </c>
      <c r="Y184" s="73">
        <v>0</v>
      </c>
      <c r="Z184" s="72">
        <v>0</v>
      </c>
      <c r="AA184" s="73">
        <v>0</v>
      </c>
      <c r="AB184" s="72">
        <v>300</v>
      </c>
      <c r="AC184" s="73">
        <v>3780</v>
      </c>
      <c r="AD184" s="72">
        <v>0</v>
      </c>
      <c r="AE184" s="73">
        <v>0</v>
      </c>
      <c r="AF184" s="72">
        <v>0</v>
      </c>
      <c r="AG184" s="88">
        <v>0</v>
      </c>
      <c r="AH184"/>
    </row>
    <row r="185" spans="1:34">
      <c r="B185" s="114">
        <v>166</v>
      </c>
      <c r="C185" s="117">
        <v>51</v>
      </c>
      <c r="D185" s="117"/>
      <c r="E185" s="117" t="s">
        <v>281</v>
      </c>
      <c r="F185" s="117" t="s">
        <v>282</v>
      </c>
      <c r="G185" s="117" t="s">
        <v>286</v>
      </c>
      <c r="H185" s="117" t="s">
        <v>287</v>
      </c>
      <c r="I185" s="120" t="s">
        <v>88</v>
      </c>
      <c r="J185" s="84">
        <v>39000</v>
      </c>
      <c r="K185" s="73">
        <v>63180</v>
      </c>
      <c r="L185" s="72">
        <v>57000</v>
      </c>
      <c r="M185" s="73">
        <v>92340</v>
      </c>
      <c r="N185" s="72">
        <v>54000</v>
      </c>
      <c r="O185" s="73">
        <v>87480</v>
      </c>
      <c r="P185" s="72">
        <v>42000</v>
      </c>
      <c r="Q185" s="73">
        <v>68040</v>
      </c>
      <c r="R185" s="72">
        <v>45000</v>
      </c>
      <c r="S185" s="73">
        <v>72900</v>
      </c>
      <c r="T185" s="72">
        <v>45000</v>
      </c>
      <c r="U185" s="73">
        <v>72900</v>
      </c>
      <c r="V185" s="72">
        <v>54000</v>
      </c>
      <c r="W185" s="73">
        <v>87480</v>
      </c>
      <c r="X185" s="72">
        <v>54000</v>
      </c>
      <c r="Y185" s="73">
        <v>87480</v>
      </c>
      <c r="Z185" s="72">
        <v>36000</v>
      </c>
      <c r="AA185" s="73">
        <v>58320</v>
      </c>
      <c r="AB185" s="72">
        <v>21000</v>
      </c>
      <c r="AC185" s="73">
        <v>34020</v>
      </c>
      <c r="AD185" s="72">
        <v>0</v>
      </c>
      <c r="AE185" s="73">
        <v>0</v>
      </c>
      <c r="AF185" s="72">
        <v>0</v>
      </c>
      <c r="AG185" s="88">
        <v>0</v>
      </c>
      <c r="AH185"/>
    </row>
    <row r="186" spans="1:34">
      <c r="B186" s="114">
        <v>167</v>
      </c>
      <c r="C186" s="117">
        <v>51</v>
      </c>
      <c r="D186" s="117"/>
      <c r="E186" s="117" t="s">
        <v>297</v>
      </c>
      <c r="F186" s="117" t="s">
        <v>298</v>
      </c>
      <c r="G186" s="117" t="s">
        <v>317</v>
      </c>
      <c r="H186" s="117" t="s">
        <v>300</v>
      </c>
      <c r="I186" s="120" t="s">
        <v>318</v>
      </c>
      <c r="J186" s="84">
        <v>33000</v>
      </c>
      <c r="K186" s="73">
        <v>2376000</v>
      </c>
      <c r="L186" s="72">
        <v>46500</v>
      </c>
      <c r="M186" s="73">
        <v>3348000</v>
      </c>
      <c r="N186" s="72">
        <v>34500</v>
      </c>
      <c r="O186" s="73">
        <v>2484000</v>
      </c>
      <c r="P186" s="72">
        <v>38500</v>
      </c>
      <c r="Q186" s="73">
        <v>2772000</v>
      </c>
      <c r="R186" s="72">
        <v>27000</v>
      </c>
      <c r="S186" s="73">
        <v>1967590</v>
      </c>
      <c r="T186" s="72">
        <v>40000</v>
      </c>
      <c r="U186" s="73">
        <v>3014800</v>
      </c>
      <c r="V186" s="72">
        <v>40000</v>
      </c>
      <c r="W186" s="73">
        <v>2995600</v>
      </c>
      <c r="X186" s="72">
        <v>44000</v>
      </c>
      <c r="Y186" s="73">
        <v>3295160</v>
      </c>
      <c r="Z186" s="72">
        <v>29000</v>
      </c>
      <c r="AA186" s="73">
        <v>2171810</v>
      </c>
      <c r="AB186" s="72">
        <v>16000</v>
      </c>
      <c r="AC186" s="73">
        <v>1212160</v>
      </c>
      <c r="AD186" s="72">
        <v>0</v>
      </c>
      <c r="AE186" s="73">
        <v>0</v>
      </c>
      <c r="AF186" s="72">
        <v>0</v>
      </c>
      <c r="AG186" s="88">
        <v>0</v>
      </c>
      <c r="AH186"/>
    </row>
    <row r="187" spans="1:34">
      <c r="B187" s="114">
        <v>168</v>
      </c>
      <c r="C187" s="117">
        <v>51</v>
      </c>
      <c r="D187" s="117"/>
      <c r="E187" s="117" t="s">
        <v>297</v>
      </c>
      <c r="F187" s="117" t="s">
        <v>298</v>
      </c>
      <c r="G187" s="117" t="s">
        <v>313</v>
      </c>
      <c r="H187" s="117" t="s">
        <v>300</v>
      </c>
      <c r="I187" s="120" t="s">
        <v>225</v>
      </c>
      <c r="J187" s="84">
        <v>0</v>
      </c>
      <c r="K187" s="73">
        <v>0</v>
      </c>
      <c r="L187" s="72">
        <v>0</v>
      </c>
      <c r="M187" s="73">
        <v>0</v>
      </c>
      <c r="N187" s="72">
        <v>500</v>
      </c>
      <c r="O187" s="73">
        <v>33775</v>
      </c>
      <c r="P187" s="72">
        <v>500</v>
      </c>
      <c r="Q187" s="73">
        <v>33300</v>
      </c>
      <c r="R187" s="72">
        <v>0</v>
      </c>
      <c r="S187" s="73">
        <v>0</v>
      </c>
      <c r="T187" s="72">
        <v>0</v>
      </c>
      <c r="U187" s="73">
        <v>0</v>
      </c>
      <c r="V187" s="72">
        <v>0</v>
      </c>
      <c r="W187" s="73">
        <v>0</v>
      </c>
      <c r="X187" s="72">
        <v>0</v>
      </c>
      <c r="Y187" s="73">
        <v>0</v>
      </c>
      <c r="Z187" s="72">
        <v>0</v>
      </c>
      <c r="AA187" s="73">
        <v>0</v>
      </c>
      <c r="AB187" s="72">
        <v>0</v>
      </c>
      <c r="AC187" s="73">
        <v>0</v>
      </c>
      <c r="AD187" s="72">
        <v>0</v>
      </c>
      <c r="AE187" s="73">
        <v>0</v>
      </c>
      <c r="AF187" s="72">
        <v>0</v>
      </c>
      <c r="AG187" s="88">
        <v>0</v>
      </c>
      <c r="AH187"/>
    </row>
    <row r="188" spans="1:34">
      <c r="B188" s="114">
        <v>169</v>
      </c>
      <c r="C188" s="117">
        <v>51</v>
      </c>
      <c r="D188" s="117"/>
      <c r="E188" s="117" t="s">
        <v>297</v>
      </c>
      <c r="F188" s="117" t="s">
        <v>298</v>
      </c>
      <c r="G188" s="117" t="s">
        <v>309</v>
      </c>
      <c r="H188" s="117" t="s">
        <v>300</v>
      </c>
      <c r="I188" s="120" t="s">
        <v>310</v>
      </c>
      <c r="J188" s="84">
        <v>2000</v>
      </c>
      <c r="K188" s="73">
        <v>151120</v>
      </c>
      <c r="L188" s="72">
        <v>3000</v>
      </c>
      <c r="M188" s="73">
        <v>226680</v>
      </c>
      <c r="N188" s="72">
        <v>2000</v>
      </c>
      <c r="O188" s="73">
        <v>151120</v>
      </c>
      <c r="P188" s="72">
        <v>3000</v>
      </c>
      <c r="Q188" s="73">
        <v>224880</v>
      </c>
      <c r="R188" s="72">
        <v>4500</v>
      </c>
      <c r="S188" s="73">
        <v>337320</v>
      </c>
      <c r="T188" s="72">
        <v>0</v>
      </c>
      <c r="U188" s="73">
        <v>0</v>
      </c>
      <c r="V188" s="72">
        <v>1000</v>
      </c>
      <c r="W188" s="73">
        <v>74500</v>
      </c>
      <c r="X188" s="72">
        <v>0</v>
      </c>
      <c r="Y188" s="73">
        <v>0</v>
      </c>
      <c r="Z188" s="72">
        <v>4500</v>
      </c>
      <c r="AA188" s="73">
        <v>335250</v>
      </c>
      <c r="AB188" s="72">
        <v>3000</v>
      </c>
      <c r="AC188" s="73">
        <v>225990</v>
      </c>
      <c r="AD188" s="72">
        <v>0</v>
      </c>
      <c r="AE188" s="73">
        <v>0</v>
      </c>
      <c r="AF188" s="72">
        <v>0</v>
      </c>
      <c r="AG188" s="88">
        <v>0</v>
      </c>
      <c r="AH188"/>
    </row>
    <row r="189" spans="1:34">
      <c r="B189" s="114">
        <v>170</v>
      </c>
      <c r="C189" s="117">
        <v>51</v>
      </c>
      <c r="D189" s="117"/>
      <c r="E189" s="117" t="s">
        <v>297</v>
      </c>
      <c r="F189" s="117" t="s">
        <v>298</v>
      </c>
      <c r="G189" s="117" t="s">
        <v>314</v>
      </c>
      <c r="H189" s="117" t="s">
        <v>300</v>
      </c>
      <c r="I189" s="120" t="s">
        <v>308</v>
      </c>
      <c r="J189" s="84">
        <v>5500</v>
      </c>
      <c r="K189" s="73">
        <v>379115</v>
      </c>
      <c r="L189" s="72">
        <v>5500</v>
      </c>
      <c r="M189" s="73">
        <v>379115</v>
      </c>
      <c r="N189" s="72">
        <v>6000</v>
      </c>
      <c r="O189" s="73">
        <v>412660</v>
      </c>
      <c r="P189" s="72">
        <v>4500</v>
      </c>
      <c r="Q189" s="73">
        <v>308115</v>
      </c>
      <c r="R189" s="72">
        <v>0</v>
      </c>
      <c r="S189" s="73">
        <v>0</v>
      </c>
      <c r="T189" s="72">
        <v>0</v>
      </c>
      <c r="U189" s="73">
        <v>0</v>
      </c>
      <c r="V189" s="72">
        <v>0</v>
      </c>
      <c r="W189" s="73">
        <v>0</v>
      </c>
      <c r="X189" s="72">
        <v>0</v>
      </c>
      <c r="Y189" s="73">
        <v>0</v>
      </c>
      <c r="Z189" s="72">
        <v>0</v>
      </c>
      <c r="AA189" s="73">
        <v>0</v>
      </c>
      <c r="AB189" s="72">
        <v>0</v>
      </c>
      <c r="AC189" s="73">
        <v>0</v>
      </c>
      <c r="AD189" s="72">
        <v>0</v>
      </c>
      <c r="AE189" s="73">
        <v>0</v>
      </c>
      <c r="AF189" s="72">
        <v>0</v>
      </c>
      <c r="AG189" s="88">
        <v>0</v>
      </c>
      <c r="AH189"/>
    </row>
    <row r="190" spans="1:34">
      <c r="B190" s="114">
        <v>171</v>
      </c>
      <c r="C190" s="117">
        <v>51</v>
      </c>
      <c r="D190" s="117"/>
      <c r="E190" s="117" t="s">
        <v>297</v>
      </c>
      <c r="F190" s="117" t="s">
        <v>298</v>
      </c>
      <c r="G190" s="117" t="s">
        <v>302</v>
      </c>
      <c r="H190" s="117" t="s">
        <v>300</v>
      </c>
      <c r="I190" s="120" t="s">
        <v>303</v>
      </c>
      <c r="J190" s="84">
        <v>0</v>
      </c>
      <c r="K190" s="73">
        <v>0</v>
      </c>
      <c r="L190" s="72">
        <v>0</v>
      </c>
      <c r="M190" s="73">
        <v>0</v>
      </c>
      <c r="N190" s="72">
        <v>0</v>
      </c>
      <c r="O190" s="73">
        <v>0</v>
      </c>
      <c r="P190" s="72">
        <v>500</v>
      </c>
      <c r="Q190" s="73">
        <v>32535</v>
      </c>
      <c r="R190" s="72">
        <v>0</v>
      </c>
      <c r="S190" s="73">
        <v>0</v>
      </c>
      <c r="T190" s="72">
        <v>0</v>
      </c>
      <c r="U190" s="73">
        <v>0</v>
      </c>
      <c r="V190" s="72">
        <v>0</v>
      </c>
      <c r="W190" s="73">
        <v>0</v>
      </c>
      <c r="X190" s="72">
        <v>0</v>
      </c>
      <c r="Y190" s="73">
        <v>0</v>
      </c>
      <c r="Z190" s="72">
        <v>500</v>
      </c>
      <c r="AA190" s="73">
        <v>32340</v>
      </c>
      <c r="AB190" s="72">
        <v>0</v>
      </c>
      <c r="AC190" s="73">
        <v>0</v>
      </c>
      <c r="AD190" s="72">
        <v>0</v>
      </c>
      <c r="AE190" s="73">
        <v>0</v>
      </c>
      <c r="AF190" s="72">
        <v>0</v>
      </c>
      <c r="AG190" s="88">
        <v>0</v>
      </c>
      <c r="AH190"/>
    </row>
    <row r="191" spans="1:34">
      <c r="B191" s="114">
        <v>172</v>
      </c>
      <c r="C191" s="117">
        <v>51</v>
      </c>
      <c r="D191" s="117"/>
      <c r="E191" s="117" t="s">
        <v>297</v>
      </c>
      <c r="F191" s="117" t="s">
        <v>298</v>
      </c>
      <c r="G191" s="117" t="s">
        <v>315</v>
      </c>
      <c r="H191" s="117" t="s">
        <v>300</v>
      </c>
      <c r="I191" s="120" t="s">
        <v>316</v>
      </c>
      <c r="J191" s="84">
        <v>1000</v>
      </c>
      <c r="K191" s="73">
        <v>104840</v>
      </c>
      <c r="L191" s="72">
        <v>3000</v>
      </c>
      <c r="M191" s="73">
        <v>314520</v>
      </c>
      <c r="N191" s="72">
        <v>3500</v>
      </c>
      <c r="O191" s="73">
        <v>365460</v>
      </c>
      <c r="P191" s="72">
        <v>3000</v>
      </c>
      <c r="Q191" s="73">
        <v>310080</v>
      </c>
      <c r="R191" s="72">
        <v>2500</v>
      </c>
      <c r="S191" s="73">
        <v>258400</v>
      </c>
      <c r="T191" s="72">
        <v>2000</v>
      </c>
      <c r="U191" s="73">
        <v>206720</v>
      </c>
      <c r="V191" s="72">
        <v>2500</v>
      </c>
      <c r="W191" s="73">
        <v>255600</v>
      </c>
      <c r="X191" s="72">
        <v>5000</v>
      </c>
      <c r="Y191" s="73">
        <v>511200</v>
      </c>
      <c r="Z191" s="72">
        <v>1000</v>
      </c>
      <c r="AA191" s="73">
        <v>102240</v>
      </c>
      <c r="AB191" s="72">
        <v>2500</v>
      </c>
      <c r="AC191" s="73">
        <v>260650</v>
      </c>
      <c r="AD191" s="72">
        <v>0</v>
      </c>
      <c r="AE191" s="73">
        <v>0</v>
      </c>
      <c r="AF191" s="72">
        <v>0</v>
      </c>
      <c r="AG191" s="88">
        <v>0</v>
      </c>
      <c r="AH191"/>
    </row>
    <row r="192" spans="1:34">
      <c r="B192" s="114">
        <v>173</v>
      </c>
      <c r="C192" s="117">
        <v>51</v>
      </c>
      <c r="D192" s="117"/>
      <c r="E192" s="117" t="s">
        <v>297</v>
      </c>
      <c r="F192" s="117" t="s">
        <v>298</v>
      </c>
      <c r="G192" s="117" t="s">
        <v>307</v>
      </c>
      <c r="H192" s="117" t="s">
        <v>300</v>
      </c>
      <c r="I192" s="120" t="s">
        <v>308</v>
      </c>
      <c r="J192" s="84">
        <v>10000</v>
      </c>
      <c r="K192" s="73">
        <v>689300</v>
      </c>
      <c r="L192" s="72">
        <v>9500</v>
      </c>
      <c r="M192" s="73">
        <v>654835</v>
      </c>
      <c r="N192" s="72">
        <v>9000</v>
      </c>
      <c r="O192" s="73">
        <v>619910</v>
      </c>
      <c r="P192" s="72">
        <v>10000</v>
      </c>
      <c r="Q192" s="73">
        <v>684700</v>
      </c>
      <c r="R192" s="72">
        <v>14000</v>
      </c>
      <c r="S192" s="73">
        <v>958580</v>
      </c>
      <c r="T192" s="72">
        <v>15000</v>
      </c>
      <c r="U192" s="73">
        <v>1027050</v>
      </c>
      <c r="V192" s="72">
        <v>14000</v>
      </c>
      <c r="W192" s="73">
        <v>953680</v>
      </c>
      <c r="X192" s="72">
        <v>18000</v>
      </c>
      <c r="Y192" s="73">
        <v>1226160</v>
      </c>
      <c r="Z192" s="72">
        <v>14000</v>
      </c>
      <c r="AA192" s="73">
        <v>953680</v>
      </c>
      <c r="AB192" s="72">
        <v>7000</v>
      </c>
      <c r="AC192" s="73">
        <v>481250</v>
      </c>
      <c r="AD192" s="72">
        <v>0</v>
      </c>
      <c r="AE192" s="73">
        <v>0</v>
      </c>
      <c r="AF192" s="72">
        <v>0</v>
      </c>
      <c r="AG192" s="88">
        <v>0</v>
      </c>
      <c r="AH192"/>
    </row>
    <row r="193" spans="1:34">
      <c r="B193" s="114">
        <v>174</v>
      </c>
      <c r="C193" s="117">
        <v>51</v>
      </c>
      <c r="D193" s="117"/>
      <c r="E193" s="117" t="s">
        <v>297</v>
      </c>
      <c r="F193" s="117" t="s">
        <v>298</v>
      </c>
      <c r="G193" s="117" t="s">
        <v>299</v>
      </c>
      <c r="H193" s="117" t="s">
        <v>300</v>
      </c>
      <c r="I193" s="120" t="s">
        <v>301</v>
      </c>
      <c r="J193" s="84">
        <v>5000</v>
      </c>
      <c r="K193" s="73">
        <v>380000</v>
      </c>
      <c r="L193" s="72">
        <v>9000</v>
      </c>
      <c r="M193" s="73">
        <v>684000</v>
      </c>
      <c r="N193" s="72">
        <v>5500</v>
      </c>
      <c r="O193" s="73">
        <v>417370</v>
      </c>
      <c r="P193" s="72">
        <v>10000</v>
      </c>
      <c r="Q193" s="73">
        <v>753700</v>
      </c>
      <c r="R193" s="72">
        <v>8000</v>
      </c>
      <c r="S193" s="73">
        <v>602960</v>
      </c>
      <c r="T193" s="72">
        <v>8000</v>
      </c>
      <c r="U193" s="73">
        <v>602960</v>
      </c>
      <c r="V193" s="72">
        <v>7000</v>
      </c>
      <c r="W193" s="73">
        <v>524230</v>
      </c>
      <c r="X193" s="72">
        <v>9000</v>
      </c>
      <c r="Y193" s="73">
        <v>674010</v>
      </c>
      <c r="Z193" s="72">
        <v>7000</v>
      </c>
      <c r="AA193" s="73">
        <v>524230</v>
      </c>
      <c r="AB193" s="72">
        <v>5500</v>
      </c>
      <c r="AC193" s="73">
        <v>416680</v>
      </c>
      <c r="AD193" s="72">
        <v>0</v>
      </c>
      <c r="AE193" s="73">
        <v>0</v>
      </c>
      <c r="AF193" s="72">
        <v>0</v>
      </c>
      <c r="AG193" s="88">
        <v>0</v>
      </c>
      <c r="AH193"/>
    </row>
    <row r="194" spans="1:34">
      <c r="B194" s="114">
        <v>175</v>
      </c>
      <c r="C194" s="117">
        <v>51</v>
      </c>
      <c r="D194" s="117"/>
      <c r="E194" s="117" t="s">
        <v>319</v>
      </c>
      <c r="F194" s="117" t="s">
        <v>320</v>
      </c>
      <c r="G194" s="117" t="s">
        <v>321</v>
      </c>
      <c r="H194" s="117" t="s">
        <v>322</v>
      </c>
      <c r="I194" s="120" t="s">
        <v>323</v>
      </c>
      <c r="J194" s="84">
        <v>0</v>
      </c>
      <c r="K194" s="73">
        <v>0</v>
      </c>
      <c r="L194" s="72">
        <v>0</v>
      </c>
      <c r="M194" s="73">
        <v>0</v>
      </c>
      <c r="N194" s="72">
        <v>0</v>
      </c>
      <c r="O194" s="73">
        <v>0</v>
      </c>
      <c r="P194" s="72">
        <v>20000</v>
      </c>
      <c r="Q194" s="73">
        <v>35000</v>
      </c>
      <c r="R194" s="72">
        <v>16000</v>
      </c>
      <c r="S194" s="73">
        <v>28000</v>
      </c>
      <c r="T194" s="72">
        <v>14000</v>
      </c>
      <c r="U194" s="73">
        <v>24500</v>
      </c>
      <c r="V194" s="72">
        <v>18000</v>
      </c>
      <c r="W194" s="73">
        <v>31500</v>
      </c>
      <c r="X194" s="72">
        <v>12000</v>
      </c>
      <c r="Y194" s="73">
        <v>21000</v>
      </c>
      <c r="Z194" s="72">
        <v>10000</v>
      </c>
      <c r="AA194" s="73">
        <v>17500</v>
      </c>
      <c r="AB194" s="72">
        <v>4000</v>
      </c>
      <c r="AC194" s="73">
        <v>7000</v>
      </c>
      <c r="AD194" s="72">
        <v>0</v>
      </c>
      <c r="AE194" s="73">
        <v>0</v>
      </c>
      <c r="AF194" s="72">
        <v>0</v>
      </c>
      <c r="AG194" s="88">
        <v>0</v>
      </c>
      <c r="AH194"/>
    </row>
    <row r="195" spans="1:34">
      <c r="B195" s="114">
        <v>176</v>
      </c>
      <c r="C195" s="117">
        <v>51</v>
      </c>
      <c r="D195" s="117"/>
      <c r="E195" s="117" t="s">
        <v>319</v>
      </c>
      <c r="F195" s="117" t="s">
        <v>320</v>
      </c>
      <c r="G195" s="117" t="s">
        <v>324</v>
      </c>
      <c r="H195" s="117" t="s">
        <v>325</v>
      </c>
      <c r="I195" s="120" t="s">
        <v>164</v>
      </c>
      <c r="J195" s="84">
        <v>26000</v>
      </c>
      <c r="K195" s="73">
        <v>54600</v>
      </c>
      <c r="L195" s="72">
        <v>34000</v>
      </c>
      <c r="M195" s="73">
        <v>71400</v>
      </c>
      <c r="N195" s="72">
        <v>0</v>
      </c>
      <c r="O195" s="73">
        <v>0</v>
      </c>
      <c r="P195" s="72">
        <v>16900</v>
      </c>
      <c r="Q195" s="73">
        <v>35490</v>
      </c>
      <c r="R195" s="72">
        <v>20000</v>
      </c>
      <c r="S195" s="73">
        <v>42000</v>
      </c>
      <c r="T195" s="72">
        <v>20000</v>
      </c>
      <c r="U195" s="73">
        <v>42000</v>
      </c>
      <c r="V195" s="72">
        <v>30000</v>
      </c>
      <c r="W195" s="73">
        <v>63000</v>
      </c>
      <c r="X195" s="72">
        <v>20000</v>
      </c>
      <c r="Y195" s="73">
        <v>42000</v>
      </c>
      <c r="Z195" s="72">
        <v>12000</v>
      </c>
      <c r="AA195" s="73">
        <v>25200</v>
      </c>
      <c r="AB195" s="72">
        <v>6000</v>
      </c>
      <c r="AC195" s="73">
        <v>12600</v>
      </c>
      <c r="AD195" s="72">
        <v>0</v>
      </c>
      <c r="AE195" s="73">
        <v>0</v>
      </c>
      <c r="AF195" s="72">
        <v>0</v>
      </c>
      <c r="AG195" s="88">
        <v>0</v>
      </c>
      <c r="AH195"/>
    </row>
    <row r="196" spans="1:34">
      <c r="B196" s="114">
        <v>177</v>
      </c>
      <c r="C196" s="117">
        <v>51</v>
      </c>
      <c r="D196" s="117"/>
      <c r="E196" s="117" t="s">
        <v>326</v>
      </c>
      <c r="F196" s="117" t="s">
        <v>327</v>
      </c>
      <c r="G196" s="117" t="s">
        <v>261</v>
      </c>
      <c r="H196" s="117" t="s">
        <v>261</v>
      </c>
      <c r="I196" s="120" t="s">
        <v>88</v>
      </c>
      <c r="J196" s="84">
        <v>11980</v>
      </c>
      <c r="K196" s="73">
        <v>754740</v>
      </c>
      <c r="L196" s="72">
        <v>29801</v>
      </c>
      <c r="M196" s="73">
        <v>1937065</v>
      </c>
      <c r="N196" s="72">
        <v>44974</v>
      </c>
      <c r="O196" s="73">
        <v>2968284</v>
      </c>
      <c r="P196" s="72">
        <v>0</v>
      </c>
      <c r="Q196" s="73">
        <v>0</v>
      </c>
      <c r="R196" s="72">
        <v>0</v>
      </c>
      <c r="S196" s="73">
        <v>0</v>
      </c>
      <c r="T196" s="72">
        <v>0</v>
      </c>
      <c r="U196" s="73">
        <v>0</v>
      </c>
      <c r="V196" s="72">
        <v>0</v>
      </c>
      <c r="W196" s="73">
        <v>0</v>
      </c>
      <c r="X196" s="72">
        <v>0</v>
      </c>
      <c r="Y196" s="73">
        <v>0</v>
      </c>
      <c r="Z196" s="72">
        <v>0</v>
      </c>
      <c r="AA196" s="73">
        <v>0</v>
      </c>
      <c r="AB196" s="72">
        <v>54000</v>
      </c>
      <c r="AC196" s="73">
        <v>3631500</v>
      </c>
      <c r="AD196" s="72">
        <v>0</v>
      </c>
      <c r="AE196" s="73">
        <v>0</v>
      </c>
      <c r="AF196" s="72">
        <v>0</v>
      </c>
      <c r="AG196" s="88">
        <v>0</v>
      </c>
      <c r="AH196"/>
    </row>
    <row r="197" spans="1:34">
      <c r="B197" s="114">
        <v>178</v>
      </c>
      <c r="C197" s="117">
        <v>51</v>
      </c>
      <c r="D197" s="117"/>
      <c r="E197" s="117" t="s">
        <v>328</v>
      </c>
      <c r="F197" s="117" t="s">
        <v>329</v>
      </c>
      <c r="G197" s="117" t="s">
        <v>335</v>
      </c>
      <c r="H197" s="117" t="s">
        <v>336</v>
      </c>
      <c r="I197" s="121">
        <v>3</v>
      </c>
      <c r="J197" s="84">
        <v>2500</v>
      </c>
      <c r="K197" s="73">
        <v>2500</v>
      </c>
      <c r="L197" s="72">
        <v>7500</v>
      </c>
      <c r="M197" s="73">
        <v>7500</v>
      </c>
      <c r="N197" s="72">
        <v>6000</v>
      </c>
      <c r="O197" s="73">
        <v>6000</v>
      </c>
      <c r="P197" s="72">
        <v>5000</v>
      </c>
      <c r="Q197" s="73">
        <v>5000</v>
      </c>
      <c r="R197" s="72">
        <v>7500</v>
      </c>
      <c r="S197" s="73">
        <v>7500</v>
      </c>
      <c r="T197" s="72">
        <v>5000</v>
      </c>
      <c r="U197" s="73">
        <v>5000</v>
      </c>
      <c r="V197" s="72">
        <v>7500</v>
      </c>
      <c r="W197" s="73">
        <v>7500</v>
      </c>
      <c r="X197" s="72">
        <v>7500</v>
      </c>
      <c r="Y197" s="73">
        <v>7500</v>
      </c>
      <c r="Z197" s="72">
        <v>5000</v>
      </c>
      <c r="AA197" s="73">
        <v>5000</v>
      </c>
      <c r="AB197" s="72">
        <v>2500</v>
      </c>
      <c r="AC197" s="73">
        <v>2500</v>
      </c>
      <c r="AD197" s="72">
        <v>0</v>
      </c>
      <c r="AE197" s="73">
        <v>0</v>
      </c>
      <c r="AF197" s="72">
        <v>0</v>
      </c>
      <c r="AG197" s="88">
        <v>0</v>
      </c>
      <c r="AH197"/>
    </row>
    <row r="198" spans="1:34">
      <c r="B198" s="114">
        <v>179</v>
      </c>
      <c r="C198" s="117">
        <v>51</v>
      </c>
      <c r="D198" s="117"/>
      <c r="E198" s="117" t="s">
        <v>328</v>
      </c>
      <c r="F198" s="117" t="s">
        <v>329</v>
      </c>
      <c r="G198" s="117" t="s">
        <v>331</v>
      </c>
      <c r="H198" s="117" t="s">
        <v>332</v>
      </c>
      <c r="I198" s="120" t="s">
        <v>211</v>
      </c>
      <c r="J198" s="84">
        <v>30000</v>
      </c>
      <c r="K198" s="73">
        <v>24600</v>
      </c>
      <c r="L198" s="72">
        <v>34000</v>
      </c>
      <c r="M198" s="73">
        <v>27880</v>
      </c>
      <c r="N198" s="72">
        <v>28000</v>
      </c>
      <c r="O198" s="73">
        <v>22960</v>
      </c>
      <c r="P198" s="72">
        <v>28000</v>
      </c>
      <c r="Q198" s="73">
        <v>22960</v>
      </c>
      <c r="R198" s="72">
        <v>44000</v>
      </c>
      <c r="S198" s="73">
        <v>36080</v>
      </c>
      <c r="T198" s="72">
        <v>34000</v>
      </c>
      <c r="U198" s="73">
        <v>27880</v>
      </c>
      <c r="V198" s="72">
        <v>40000</v>
      </c>
      <c r="W198" s="73">
        <v>32800</v>
      </c>
      <c r="X198" s="72">
        <v>34000</v>
      </c>
      <c r="Y198" s="73">
        <v>27880</v>
      </c>
      <c r="Z198" s="72">
        <v>20000</v>
      </c>
      <c r="AA198" s="73">
        <v>16400</v>
      </c>
      <c r="AB198" s="72">
        <v>12000</v>
      </c>
      <c r="AC198" s="73">
        <v>9840</v>
      </c>
      <c r="AD198" s="72">
        <v>0</v>
      </c>
      <c r="AE198" s="73">
        <v>0</v>
      </c>
      <c r="AF198" s="72">
        <v>0</v>
      </c>
      <c r="AG198" s="88">
        <v>0</v>
      </c>
      <c r="AH198"/>
    </row>
    <row r="199" spans="1:34">
      <c r="B199" s="114">
        <v>180</v>
      </c>
      <c r="C199" s="117">
        <v>51</v>
      </c>
      <c r="D199" s="117"/>
      <c r="E199" s="117" t="s">
        <v>328</v>
      </c>
      <c r="F199" s="117" t="s">
        <v>329</v>
      </c>
      <c r="G199" s="117" t="s">
        <v>330</v>
      </c>
      <c r="H199" s="117" t="s">
        <v>246</v>
      </c>
      <c r="I199" s="120" t="s">
        <v>228</v>
      </c>
      <c r="J199" s="84">
        <v>0</v>
      </c>
      <c r="K199" s="73">
        <v>0</v>
      </c>
      <c r="L199" s="72">
        <v>0</v>
      </c>
      <c r="M199" s="73">
        <v>0</v>
      </c>
      <c r="N199" s="72">
        <v>0</v>
      </c>
      <c r="O199" s="73">
        <v>0</v>
      </c>
      <c r="P199" s="72">
        <v>600</v>
      </c>
      <c r="Q199" s="73">
        <v>3720</v>
      </c>
      <c r="R199" s="72">
        <v>0</v>
      </c>
      <c r="S199" s="73">
        <v>0</v>
      </c>
      <c r="T199" s="72">
        <v>0</v>
      </c>
      <c r="U199" s="73">
        <v>0</v>
      </c>
      <c r="V199" s="72">
        <v>600</v>
      </c>
      <c r="W199" s="73">
        <v>3720</v>
      </c>
      <c r="X199" s="72">
        <v>300</v>
      </c>
      <c r="Y199" s="73">
        <v>1860</v>
      </c>
      <c r="Z199" s="72">
        <v>300</v>
      </c>
      <c r="AA199" s="73">
        <v>1860</v>
      </c>
      <c r="AB199" s="72">
        <v>0</v>
      </c>
      <c r="AC199" s="73">
        <v>0</v>
      </c>
      <c r="AD199" s="72">
        <v>0</v>
      </c>
      <c r="AE199" s="73">
        <v>0</v>
      </c>
      <c r="AF199" s="72">
        <v>0</v>
      </c>
      <c r="AG199" s="88">
        <v>0</v>
      </c>
      <c r="AH199"/>
    </row>
    <row r="200" spans="1:34">
      <c r="B200" s="114">
        <v>181</v>
      </c>
      <c r="C200" s="117">
        <v>51</v>
      </c>
      <c r="D200" s="117"/>
      <c r="E200" s="117" t="s">
        <v>328</v>
      </c>
      <c r="F200" s="117" t="s">
        <v>329</v>
      </c>
      <c r="G200" s="117" t="s">
        <v>337</v>
      </c>
      <c r="H200" s="117" t="s">
        <v>338</v>
      </c>
      <c r="I200" s="120" t="s">
        <v>339</v>
      </c>
      <c r="J200" s="84">
        <v>800</v>
      </c>
      <c r="K200" s="73">
        <v>1560</v>
      </c>
      <c r="L200" s="72">
        <v>0</v>
      </c>
      <c r="M200" s="73">
        <v>0</v>
      </c>
      <c r="N200" s="72">
        <v>0</v>
      </c>
      <c r="O200" s="73">
        <v>0</v>
      </c>
      <c r="P200" s="72">
        <v>1600</v>
      </c>
      <c r="Q200" s="73">
        <v>3120</v>
      </c>
      <c r="R200" s="72">
        <v>2000</v>
      </c>
      <c r="S200" s="73">
        <v>3900</v>
      </c>
      <c r="T200" s="72">
        <v>800</v>
      </c>
      <c r="U200" s="73">
        <v>1560</v>
      </c>
      <c r="V200" s="72">
        <v>0</v>
      </c>
      <c r="W200" s="73">
        <v>0</v>
      </c>
      <c r="X200" s="72">
        <v>0</v>
      </c>
      <c r="Y200" s="73">
        <v>0</v>
      </c>
      <c r="Z200" s="72">
        <v>0</v>
      </c>
      <c r="AA200" s="73">
        <v>0</v>
      </c>
      <c r="AB200" s="72">
        <v>400</v>
      </c>
      <c r="AC200" s="73">
        <v>780</v>
      </c>
      <c r="AD200" s="72">
        <v>0</v>
      </c>
      <c r="AE200" s="73">
        <v>0</v>
      </c>
      <c r="AF200" s="72">
        <v>0</v>
      </c>
      <c r="AG200" s="88">
        <v>0</v>
      </c>
      <c r="AH200"/>
    </row>
    <row r="201" spans="1:34">
      <c r="B201" s="114">
        <v>182</v>
      </c>
      <c r="C201" s="117">
        <v>51</v>
      </c>
      <c r="D201" s="117"/>
      <c r="E201" s="117" t="s">
        <v>328</v>
      </c>
      <c r="F201" s="117" t="s">
        <v>329</v>
      </c>
      <c r="G201" s="117" t="s">
        <v>340</v>
      </c>
      <c r="H201" s="117" t="s">
        <v>246</v>
      </c>
      <c r="I201" s="120" t="s">
        <v>341</v>
      </c>
      <c r="J201" s="84">
        <v>0</v>
      </c>
      <c r="K201" s="73">
        <v>0</v>
      </c>
      <c r="L201" s="72">
        <v>0</v>
      </c>
      <c r="M201" s="73">
        <v>0</v>
      </c>
      <c r="N201" s="72">
        <v>0</v>
      </c>
      <c r="O201" s="73">
        <v>0</v>
      </c>
      <c r="P201" s="72">
        <v>0</v>
      </c>
      <c r="Q201" s="73">
        <v>0</v>
      </c>
      <c r="R201" s="72">
        <v>1000</v>
      </c>
      <c r="S201" s="73">
        <v>2690</v>
      </c>
      <c r="T201" s="72">
        <v>0</v>
      </c>
      <c r="U201" s="73">
        <v>0</v>
      </c>
      <c r="V201" s="72">
        <v>0</v>
      </c>
      <c r="W201" s="73">
        <v>0</v>
      </c>
      <c r="X201" s="72">
        <v>0</v>
      </c>
      <c r="Y201" s="73">
        <v>0</v>
      </c>
      <c r="Z201" s="72">
        <v>0</v>
      </c>
      <c r="AA201" s="73">
        <v>0</v>
      </c>
      <c r="AB201" s="72">
        <v>0</v>
      </c>
      <c r="AC201" s="73">
        <v>0</v>
      </c>
      <c r="AD201" s="72">
        <v>0</v>
      </c>
      <c r="AE201" s="73">
        <v>0</v>
      </c>
      <c r="AF201" s="72">
        <v>0</v>
      </c>
      <c r="AG201" s="88">
        <v>0</v>
      </c>
      <c r="AH201"/>
    </row>
    <row r="202" spans="1:34">
      <c r="B202" s="114">
        <v>183</v>
      </c>
      <c r="C202" s="117">
        <v>51</v>
      </c>
      <c r="D202" s="117"/>
      <c r="E202" s="117" t="s">
        <v>328</v>
      </c>
      <c r="F202" s="117" t="s">
        <v>329</v>
      </c>
      <c r="G202" s="117" t="s">
        <v>342</v>
      </c>
      <c r="H202" s="117" t="s">
        <v>338</v>
      </c>
      <c r="I202" s="120" t="s">
        <v>343</v>
      </c>
      <c r="J202" s="84">
        <v>54000</v>
      </c>
      <c r="K202" s="73">
        <v>118800</v>
      </c>
      <c r="L202" s="72">
        <v>72000</v>
      </c>
      <c r="M202" s="73">
        <v>158400</v>
      </c>
      <c r="N202" s="72">
        <v>64000</v>
      </c>
      <c r="O202" s="73">
        <v>140800</v>
      </c>
      <c r="P202" s="72">
        <v>48000</v>
      </c>
      <c r="Q202" s="73">
        <v>105600</v>
      </c>
      <c r="R202" s="72">
        <v>90000</v>
      </c>
      <c r="S202" s="73">
        <v>198000</v>
      </c>
      <c r="T202" s="72">
        <v>64000</v>
      </c>
      <c r="U202" s="73">
        <v>140800</v>
      </c>
      <c r="V202" s="72">
        <v>76000</v>
      </c>
      <c r="W202" s="73">
        <v>167200</v>
      </c>
      <c r="X202" s="72">
        <v>74000</v>
      </c>
      <c r="Y202" s="73">
        <v>162800</v>
      </c>
      <c r="Z202" s="72">
        <v>36000</v>
      </c>
      <c r="AA202" s="73">
        <v>79200</v>
      </c>
      <c r="AB202" s="72">
        <v>26000</v>
      </c>
      <c r="AC202" s="73">
        <v>57200</v>
      </c>
      <c r="AD202" s="72">
        <v>0</v>
      </c>
      <c r="AE202" s="73">
        <v>0</v>
      </c>
      <c r="AF202" s="72">
        <v>0</v>
      </c>
      <c r="AG202" s="88">
        <v>0</v>
      </c>
      <c r="AH202"/>
    </row>
    <row r="203" spans="1:34">
      <c r="B203" s="114">
        <v>184</v>
      </c>
      <c r="C203" s="117">
        <v>51</v>
      </c>
      <c r="D203" s="117"/>
      <c r="E203" s="117" t="s">
        <v>328</v>
      </c>
      <c r="F203" s="117" t="s">
        <v>329</v>
      </c>
      <c r="G203" s="117" t="s">
        <v>333</v>
      </c>
      <c r="H203" s="117" t="s">
        <v>334</v>
      </c>
      <c r="I203" s="120" t="s">
        <v>211</v>
      </c>
      <c r="J203" s="84">
        <v>0</v>
      </c>
      <c r="K203" s="73">
        <v>0</v>
      </c>
      <c r="L203" s="72">
        <v>0</v>
      </c>
      <c r="M203" s="73">
        <v>0</v>
      </c>
      <c r="N203" s="72">
        <v>0</v>
      </c>
      <c r="O203" s="73">
        <v>0</v>
      </c>
      <c r="P203" s="72">
        <v>0</v>
      </c>
      <c r="Q203" s="73">
        <v>0</v>
      </c>
      <c r="R203" s="72">
        <v>0</v>
      </c>
      <c r="S203" s="73">
        <v>0</v>
      </c>
      <c r="T203" s="72">
        <v>0</v>
      </c>
      <c r="U203" s="73">
        <v>0</v>
      </c>
      <c r="V203" s="72">
        <v>0</v>
      </c>
      <c r="W203" s="73">
        <v>0</v>
      </c>
      <c r="X203" s="72">
        <v>0</v>
      </c>
      <c r="Y203" s="73">
        <v>0</v>
      </c>
      <c r="Z203" s="72">
        <v>0</v>
      </c>
      <c r="AA203" s="73">
        <v>0</v>
      </c>
      <c r="AB203" s="72">
        <v>800</v>
      </c>
      <c r="AC203" s="73">
        <v>976</v>
      </c>
      <c r="AD203" s="72">
        <v>0</v>
      </c>
      <c r="AE203" s="73">
        <v>0</v>
      </c>
      <c r="AF203" s="72">
        <v>0</v>
      </c>
      <c r="AG203" s="88">
        <v>0</v>
      </c>
      <c r="AH203"/>
    </row>
    <row r="204" spans="1:34">
      <c r="B204" s="114">
        <v>185</v>
      </c>
      <c r="C204" s="117">
        <v>51</v>
      </c>
      <c r="D204" s="117"/>
      <c r="E204" s="117" t="s">
        <v>344</v>
      </c>
      <c r="F204" s="117" t="s">
        <v>345</v>
      </c>
      <c r="G204" s="117" t="s">
        <v>370</v>
      </c>
      <c r="H204" s="117" t="s">
        <v>371</v>
      </c>
      <c r="I204" s="120" t="s">
        <v>372</v>
      </c>
      <c r="J204" s="84">
        <v>10500</v>
      </c>
      <c r="K204" s="73">
        <v>1003380</v>
      </c>
      <c r="L204" s="72">
        <v>18500</v>
      </c>
      <c r="M204" s="73">
        <v>1767860</v>
      </c>
      <c r="N204" s="72">
        <v>11500</v>
      </c>
      <c r="O204" s="73">
        <v>1098940</v>
      </c>
      <c r="P204" s="72">
        <v>11500</v>
      </c>
      <c r="Q204" s="73">
        <v>1098940</v>
      </c>
      <c r="R204" s="72">
        <v>9000</v>
      </c>
      <c r="S204" s="73">
        <v>860040</v>
      </c>
      <c r="T204" s="72">
        <v>12500</v>
      </c>
      <c r="U204" s="73">
        <v>1194500</v>
      </c>
      <c r="V204" s="72">
        <v>13000</v>
      </c>
      <c r="W204" s="73">
        <v>1242280</v>
      </c>
      <c r="X204" s="72">
        <v>14500</v>
      </c>
      <c r="Y204" s="73">
        <v>1385620</v>
      </c>
      <c r="Z204" s="72">
        <v>9500</v>
      </c>
      <c r="AA204" s="73">
        <v>907820</v>
      </c>
      <c r="AB204" s="72">
        <v>7000</v>
      </c>
      <c r="AC204" s="73">
        <v>668920</v>
      </c>
      <c r="AD204" s="72">
        <v>0</v>
      </c>
      <c r="AE204" s="73">
        <v>0</v>
      </c>
      <c r="AF204" s="72">
        <v>0</v>
      </c>
      <c r="AG204" s="88">
        <v>0</v>
      </c>
      <c r="AH204"/>
    </row>
    <row r="205" spans="1:34">
      <c r="B205" s="114">
        <v>186</v>
      </c>
      <c r="C205" s="117">
        <v>51</v>
      </c>
      <c r="D205" s="117"/>
      <c r="E205" s="117" t="s">
        <v>344</v>
      </c>
      <c r="F205" s="117" t="s">
        <v>345</v>
      </c>
      <c r="G205" s="117" t="s">
        <v>367</v>
      </c>
      <c r="H205" s="117" t="s">
        <v>368</v>
      </c>
      <c r="I205" s="120" t="s">
        <v>369</v>
      </c>
      <c r="J205" s="84">
        <v>12500</v>
      </c>
      <c r="K205" s="73">
        <v>922500</v>
      </c>
      <c r="L205" s="72">
        <v>20500</v>
      </c>
      <c r="M205" s="73">
        <v>1512900</v>
      </c>
      <c r="N205" s="72">
        <v>15500</v>
      </c>
      <c r="O205" s="73">
        <v>1143900</v>
      </c>
      <c r="P205" s="72">
        <v>13500</v>
      </c>
      <c r="Q205" s="73">
        <v>996300</v>
      </c>
      <c r="R205" s="72">
        <v>9500</v>
      </c>
      <c r="S205" s="73">
        <v>701100</v>
      </c>
      <c r="T205" s="72">
        <v>17500</v>
      </c>
      <c r="U205" s="73">
        <v>1291500</v>
      </c>
      <c r="V205" s="72">
        <v>15000</v>
      </c>
      <c r="W205" s="73">
        <v>1107000</v>
      </c>
      <c r="X205" s="72">
        <v>17000</v>
      </c>
      <c r="Y205" s="73">
        <v>1254600</v>
      </c>
      <c r="Z205" s="72">
        <v>11000</v>
      </c>
      <c r="AA205" s="73">
        <v>811800</v>
      </c>
      <c r="AB205" s="72">
        <v>8500</v>
      </c>
      <c r="AC205" s="73">
        <v>627300</v>
      </c>
      <c r="AD205" s="72">
        <v>0</v>
      </c>
      <c r="AE205" s="73">
        <v>0</v>
      </c>
      <c r="AF205" s="72">
        <v>0</v>
      </c>
      <c r="AG205" s="88">
        <v>0</v>
      </c>
      <c r="AH205"/>
    </row>
    <row r="206" spans="1:34">
      <c r="B206" s="114">
        <v>187</v>
      </c>
      <c r="C206" s="117">
        <v>51</v>
      </c>
      <c r="D206" s="117"/>
      <c r="E206" s="117" t="s">
        <v>344</v>
      </c>
      <c r="F206" s="117" t="s">
        <v>345</v>
      </c>
      <c r="G206" s="117" t="s">
        <v>359</v>
      </c>
      <c r="H206" s="117" t="s">
        <v>360</v>
      </c>
      <c r="I206" s="120" t="s">
        <v>156</v>
      </c>
      <c r="J206" s="84">
        <v>0</v>
      </c>
      <c r="K206" s="73">
        <v>0</v>
      </c>
      <c r="L206" s="72">
        <v>500</v>
      </c>
      <c r="M206" s="73">
        <v>62555</v>
      </c>
      <c r="N206" s="72">
        <v>500</v>
      </c>
      <c r="O206" s="73">
        <v>62555</v>
      </c>
      <c r="P206" s="72">
        <v>980</v>
      </c>
      <c r="Q206" s="73">
        <v>122607.8</v>
      </c>
      <c r="R206" s="72">
        <v>500</v>
      </c>
      <c r="S206" s="73">
        <v>62555</v>
      </c>
      <c r="T206" s="72">
        <v>0</v>
      </c>
      <c r="U206" s="73">
        <v>0</v>
      </c>
      <c r="V206" s="72">
        <v>0</v>
      </c>
      <c r="W206" s="73">
        <v>0</v>
      </c>
      <c r="X206" s="72">
        <v>0</v>
      </c>
      <c r="Y206" s="73">
        <v>0</v>
      </c>
      <c r="Z206" s="72">
        <v>0</v>
      </c>
      <c r="AA206" s="73">
        <v>0</v>
      </c>
      <c r="AB206" s="72">
        <v>0</v>
      </c>
      <c r="AC206" s="73">
        <v>0</v>
      </c>
      <c r="AD206" s="72">
        <v>0</v>
      </c>
      <c r="AE206" s="73">
        <v>0</v>
      </c>
      <c r="AF206" s="72">
        <v>0</v>
      </c>
      <c r="AG206" s="88">
        <v>0</v>
      </c>
      <c r="AH206"/>
    </row>
    <row r="207" spans="1:34">
      <c r="B207" s="114">
        <v>188</v>
      </c>
      <c r="C207" s="117">
        <v>51</v>
      </c>
      <c r="D207" s="117"/>
      <c r="E207" s="117" t="s">
        <v>344</v>
      </c>
      <c r="F207" s="117" t="s">
        <v>345</v>
      </c>
      <c r="G207" s="117" t="s">
        <v>349</v>
      </c>
      <c r="H207" s="117" t="s">
        <v>350</v>
      </c>
      <c r="I207" s="120" t="s">
        <v>351</v>
      </c>
      <c r="J207" s="84">
        <v>0</v>
      </c>
      <c r="K207" s="73">
        <v>0</v>
      </c>
      <c r="L207" s="72">
        <v>0</v>
      </c>
      <c r="M207" s="73">
        <v>0</v>
      </c>
      <c r="N207" s="72">
        <v>0</v>
      </c>
      <c r="O207" s="73">
        <v>0</v>
      </c>
      <c r="P207" s="72">
        <v>0</v>
      </c>
      <c r="Q207" s="73">
        <v>0</v>
      </c>
      <c r="R207" s="72">
        <v>0</v>
      </c>
      <c r="S207" s="73">
        <v>0</v>
      </c>
      <c r="T207" s="72">
        <v>0</v>
      </c>
      <c r="U207" s="73">
        <v>0</v>
      </c>
      <c r="V207" s="72">
        <v>0</v>
      </c>
      <c r="W207" s="73">
        <v>0</v>
      </c>
      <c r="X207" s="72">
        <v>0</v>
      </c>
      <c r="Y207" s="73">
        <v>0</v>
      </c>
      <c r="Z207" s="72">
        <v>0</v>
      </c>
      <c r="AA207" s="73">
        <v>0</v>
      </c>
      <c r="AB207" s="72">
        <v>4500</v>
      </c>
      <c r="AC207" s="73">
        <v>317160</v>
      </c>
      <c r="AD207" s="72">
        <v>0</v>
      </c>
      <c r="AE207" s="73">
        <v>0</v>
      </c>
      <c r="AF207" s="72">
        <v>0</v>
      </c>
      <c r="AG207" s="88">
        <v>0</v>
      </c>
      <c r="AH207"/>
    </row>
    <row r="208" spans="1:34">
      <c r="B208" s="114">
        <v>189</v>
      </c>
      <c r="C208" s="117">
        <v>51</v>
      </c>
      <c r="D208" s="117"/>
      <c r="E208" s="117" t="s">
        <v>344</v>
      </c>
      <c r="F208" s="117" t="s">
        <v>345</v>
      </c>
      <c r="G208" s="117" t="s">
        <v>363</v>
      </c>
      <c r="H208" s="117" t="s">
        <v>364</v>
      </c>
      <c r="I208" s="120" t="s">
        <v>280</v>
      </c>
      <c r="J208" s="84">
        <v>4000</v>
      </c>
      <c r="K208" s="73">
        <v>288840</v>
      </c>
      <c r="L208" s="72">
        <v>8000</v>
      </c>
      <c r="M208" s="73">
        <v>577680</v>
      </c>
      <c r="N208" s="72">
        <v>12000</v>
      </c>
      <c r="O208" s="73">
        <v>866520</v>
      </c>
      <c r="P208" s="72">
        <v>7000</v>
      </c>
      <c r="Q208" s="73">
        <v>508270</v>
      </c>
      <c r="R208" s="72">
        <v>6000</v>
      </c>
      <c r="S208" s="73">
        <v>435660</v>
      </c>
      <c r="T208" s="72">
        <v>10000</v>
      </c>
      <c r="U208" s="73">
        <v>726100</v>
      </c>
      <c r="V208" s="72">
        <v>8000</v>
      </c>
      <c r="W208" s="73">
        <v>580880</v>
      </c>
      <c r="X208" s="72">
        <v>8000</v>
      </c>
      <c r="Y208" s="73">
        <v>580880</v>
      </c>
      <c r="Z208" s="72">
        <v>5000</v>
      </c>
      <c r="AA208" s="73">
        <v>363050</v>
      </c>
      <c r="AB208" s="72">
        <v>6000</v>
      </c>
      <c r="AC208" s="73">
        <v>435660</v>
      </c>
      <c r="AD208" s="72">
        <v>0</v>
      </c>
      <c r="AE208" s="73">
        <v>0</v>
      </c>
      <c r="AF208" s="72">
        <v>0</v>
      </c>
      <c r="AG208" s="88">
        <v>0</v>
      </c>
      <c r="AH208"/>
    </row>
    <row r="209" spans="1:34">
      <c r="B209" s="114">
        <v>190</v>
      </c>
      <c r="C209" s="117">
        <v>51</v>
      </c>
      <c r="D209" s="117"/>
      <c r="E209" s="117" t="s">
        <v>344</v>
      </c>
      <c r="F209" s="117" t="s">
        <v>345</v>
      </c>
      <c r="G209" s="117" t="s">
        <v>354</v>
      </c>
      <c r="H209" s="117" t="s">
        <v>355</v>
      </c>
      <c r="I209" s="120" t="s">
        <v>285</v>
      </c>
      <c r="J209" s="84">
        <v>10500</v>
      </c>
      <c r="K209" s="73">
        <v>740040</v>
      </c>
      <c r="L209" s="72">
        <v>18000</v>
      </c>
      <c r="M209" s="73">
        <v>1268640</v>
      </c>
      <c r="N209" s="72">
        <v>9500</v>
      </c>
      <c r="O209" s="73">
        <v>669560</v>
      </c>
      <c r="P209" s="72">
        <v>11000</v>
      </c>
      <c r="Q209" s="73">
        <v>775280</v>
      </c>
      <c r="R209" s="72">
        <v>7500</v>
      </c>
      <c r="S209" s="73">
        <v>528600</v>
      </c>
      <c r="T209" s="72">
        <v>14000</v>
      </c>
      <c r="U209" s="73">
        <v>986720</v>
      </c>
      <c r="V209" s="72">
        <v>13000</v>
      </c>
      <c r="W209" s="73">
        <v>916240</v>
      </c>
      <c r="X209" s="72">
        <v>15000</v>
      </c>
      <c r="Y209" s="73">
        <v>1057200</v>
      </c>
      <c r="Z209" s="72">
        <v>8500</v>
      </c>
      <c r="AA209" s="73">
        <v>599080</v>
      </c>
      <c r="AB209" s="72">
        <v>5000</v>
      </c>
      <c r="AC209" s="73">
        <v>352400</v>
      </c>
      <c r="AD209" s="72">
        <v>0</v>
      </c>
      <c r="AE209" s="73">
        <v>0</v>
      </c>
      <c r="AF209" s="72">
        <v>0</v>
      </c>
      <c r="AG209" s="88">
        <v>0</v>
      </c>
      <c r="AH209"/>
    </row>
    <row r="210" spans="1:34">
      <c r="B210" s="114">
        <v>191</v>
      </c>
      <c r="C210" s="117">
        <v>51</v>
      </c>
      <c r="D210" s="117"/>
      <c r="E210" s="117" t="s">
        <v>344</v>
      </c>
      <c r="F210" s="117" t="s">
        <v>345</v>
      </c>
      <c r="G210" s="117" t="s">
        <v>352</v>
      </c>
      <c r="H210" s="117" t="s">
        <v>353</v>
      </c>
      <c r="I210" s="120" t="s">
        <v>351</v>
      </c>
      <c r="J210" s="84">
        <v>14000</v>
      </c>
      <c r="K210" s="73">
        <v>697900</v>
      </c>
      <c r="L210" s="72">
        <v>16000</v>
      </c>
      <c r="M210" s="73">
        <v>797600</v>
      </c>
      <c r="N210" s="72">
        <v>13000</v>
      </c>
      <c r="O210" s="73">
        <v>648050</v>
      </c>
      <c r="P210" s="72">
        <v>15000</v>
      </c>
      <c r="Q210" s="73">
        <v>747750</v>
      </c>
      <c r="R210" s="72">
        <v>11000</v>
      </c>
      <c r="S210" s="73">
        <v>548350</v>
      </c>
      <c r="T210" s="72">
        <v>12000</v>
      </c>
      <c r="U210" s="73">
        <v>598200</v>
      </c>
      <c r="V210" s="72">
        <v>15000</v>
      </c>
      <c r="W210" s="73">
        <v>747750</v>
      </c>
      <c r="X210" s="72">
        <v>15000</v>
      </c>
      <c r="Y210" s="73">
        <v>747750</v>
      </c>
      <c r="Z210" s="72">
        <v>11000</v>
      </c>
      <c r="AA210" s="73">
        <v>548350</v>
      </c>
      <c r="AB210" s="72">
        <v>9000</v>
      </c>
      <c r="AC210" s="73">
        <v>448650</v>
      </c>
      <c r="AD210" s="72">
        <v>0</v>
      </c>
      <c r="AE210" s="73">
        <v>0</v>
      </c>
      <c r="AF210" s="72">
        <v>0</v>
      </c>
      <c r="AG210" s="88">
        <v>0</v>
      </c>
      <c r="AH210"/>
    </row>
    <row r="211" spans="1:34">
      <c r="B211" s="114">
        <v>192</v>
      </c>
      <c r="C211" s="117">
        <v>51</v>
      </c>
      <c r="D211" s="117"/>
      <c r="E211" s="117" t="s">
        <v>344</v>
      </c>
      <c r="F211" s="117" t="s">
        <v>345</v>
      </c>
      <c r="G211" s="117" t="s">
        <v>357</v>
      </c>
      <c r="H211" s="117" t="s">
        <v>358</v>
      </c>
      <c r="I211" s="120" t="s">
        <v>351</v>
      </c>
      <c r="J211" s="84">
        <v>0</v>
      </c>
      <c r="K211" s="73">
        <v>0</v>
      </c>
      <c r="L211" s="72">
        <v>0</v>
      </c>
      <c r="M211" s="73">
        <v>0</v>
      </c>
      <c r="N211" s="72">
        <v>0</v>
      </c>
      <c r="O211" s="73">
        <v>0</v>
      </c>
      <c r="P211" s="72">
        <v>0</v>
      </c>
      <c r="Q211" s="73">
        <v>0</v>
      </c>
      <c r="R211" s="72">
        <v>0</v>
      </c>
      <c r="S211" s="73">
        <v>0</v>
      </c>
      <c r="T211" s="72">
        <v>0</v>
      </c>
      <c r="U211" s="73">
        <v>0</v>
      </c>
      <c r="V211" s="72">
        <v>0</v>
      </c>
      <c r="W211" s="73">
        <v>0</v>
      </c>
      <c r="X211" s="72">
        <v>0</v>
      </c>
      <c r="Y211" s="73">
        <v>0</v>
      </c>
      <c r="Z211" s="72">
        <v>0</v>
      </c>
      <c r="AA211" s="73">
        <v>0</v>
      </c>
      <c r="AB211" s="72">
        <v>4000</v>
      </c>
      <c r="AC211" s="73">
        <v>339640</v>
      </c>
      <c r="AD211" s="72">
        <v>0</v>
      </c>
      <c r="AE211" s="73">
        <v>0</v>
      </c>
      <c r="AF211" s="72">
        <v>0</v>
      </c>
      <c r="AG211" s="88">
        <v>0</v>
      </c>
      <c r="AH211"/>
    </row>
    <row r="212" spans="1:34">
      <c r="B212" s="114">
        <v>193</v>
      </c>
      <c r="C212" s="117">
        <v>51</v>
      </c>
      <c r="D212" s="117"/>
      <c r="E212" s="117" t="s">
        <v>344</v>
      </c>
      <c r="F212" s="117" t="s">
        <v>345</v>
      </c>
      <c r="G212" s="117" t="s">
        <v>356</v>
      </c>
      <c r="H212" s="117" t="s">
        <v>155</v>
      </c>
      <c r="I212" s="120" t="s">
        <v>164</v>
      </c>
      <c r="J212" s="84">
        <v>13000</v>
      </c>
      <c r="K212" s="73">
        <v>934960</v>
      </c>
      <c r="L212" s="72">
        <v>25000</v>
      </c>
      <c r="M212" s="73">
        <v>1798000</v>
      </c>
      <c r="N212" s="72">
        <v>19000</v>
      </c>
      <c r="O212" s="73">
        <v>1366770</v>
      </c>
      <c r="P212" s="72">
        <v>15000</v>
      </c>
      <c r="Q212" s="73">
        <v>1071600</v>
      </c>
      <c r="R212" s="72">
        <v>17000</v>
      </c>
      <c r="S212" s="73">
        <v>1214480</v>
      </c>
      <c r="T212" s="72">
        <v>17000</v>
      </c>
      <c r="U212" s="73">
        <v>1214480</v>
      </c>
      <c r="V212" s="72">
        <v>16000</v>
      </c>
      <c r="W212" s="73">
        <v>1143040</v>
      </c>
      <c r="X212" s="72">
        <v>23500</v>
      </c>
      <c r="Y212" s="73">
        <v>1678840</v>
      </c>
      <c r="Z212" s="72">
        <v>12000</v>
      </c>
      <c r="AA212" s="73">
        <v>905280</v>
      </c>
      <c r="AB212" s="72">
        <v>10054</v>
      </c>
      <c r="AC212" s="73">
        <v>814776.16</v>
      </c>
      <c r="AD212" s="72">
        <v>0</v>
      </c>
      <c r="AE212" s="73">
        <v>0</v>
      </c>
      <c r="AF212" s="72">
        <v>0</v>
      </c>
      <c r="AG212" s="88">
        <v>0</v>
      </c>
      <c r="AH212"/>
    </row>
    <row r="213" spans="1:34">
      <c r="B213" s="114">
        <v>194</v>
      </c>
      <c r="C213" s="117">
        <v>51</v>
      </c>
      <c r="D213" s="117"/>
      <c r="E213" s="117" t="s">
        <v>344</v>
      </c>
      <c r="F213" s="117" t="s">
        <v>345</v>
      </c>
      <c r="G213" s="117" t="s">
        <v>346</v>
      </c>
      <c r="H213" s="117" t="s">
        <v>347</v>
      </c>
      <c r="I213" s="120" t="s">
        <v>348</v>
      </c>
      <c r="J213" s="84">
        <v>0</v>
      </c>
      <c r="K213" s="73">
        <v>0</v>
      </c>
      <c r="L213" s="72">
        <v>0</v>
      </c>
      <c r="M213" s="73">
        <v>0</v>
      </c>
      <c r="N213" s="72">
        <v>0</v>
      </c>
      <c r="O213" s="73">
        <v>0</v>
      </c>
      <c r="P213" s="72">
        <v>0</v>
      </c>
      <c r="Q213" s="73">
        <v>0</v>
      </c>
      <c r="R213" s="72">
        <v>0</v>
      </c>
      <c r="S213" s="73">
        <v>0</v>
      </c>
      <c r="T213" s="72">
        <v>0</v>
      </c>
      <c r="U213" s="73">
        <v>0</v>
      </c>
      <c r="V213" s="72">
        <v>0</v>
      </c>
      <c r="W213" s="73">
        <v>0</v>
      </c>
      <c r="X213" s="72">
        <v>0</v>
      </c>
      <c r="Y213" s="73">
        <v>0</v>
      </c>
      <c r="Z213" s="72">
        <v>0</v>
      </c>
      <c r="AA213" s="73">
        <v>0</v>
      </c>
      <c r="AB213" s="72">
        <v>500</v>
      </c>
      <c r="AC213" s="73">
        <v>40625</v>
      </c>
      <c r="AD213" s="72">
        <v>0</v>
      </c>
      <c r="AE213" s="73">
        <v>0</v>
      </c>
      <c r="AF213" s="72">
        <v>0</v>
      </c>
      <c r="AG213" s="88">
        <v>0</v>
      </c>
      <c r="AH213"/>
    </row>
    <row r="214" spans="1:34">
      <c r="B214" s="114">
        <v>195</v>
      </c>
      <c r="C214" s="117">
        <v>51</v>
      </c>
      <c r="D214" s="117"/>
      <c r="E214" s="117" t="s">
        <v>344</v>
      </c>
      <c r="F214" s="117" t="s">
        <v>345</v>
      </c>
      <c r="G214" s="117" t="s">
        <v>365</v>
      </c>
      <c r="H214" s="117" t="s">
        <v>366</v>
      </c>
      <c r="I214" s="120" t="s">
        <v>164</v>
      </c>
      <c r="J214" s="84">
        <v>12500</v>
      </c>
      <c r="K214" s="73">
        <v>1052250</v>
      </c>
      <c r="L214" s="72">
        <v>24000</v>
      </c>
      <c r="M214" s="73">
        <v>2020320</v>
      </c>
      <c r="N214" s="72">
        <v>19500</v>
      </c>
      <c r="O214" s="73">
        <v>1639620</v>
      </c>
      <c r="P214" s="72">
        <v>15000</v>
      </c>
      <c r="Q214" s="73">
        <v>1247700</v>
      </c>
      <c r="R214" s="72">
        <v>17500</v>
      </c>
      <c r="S214" s="73">
        <v>1455650</v>
      </c>
      <c r="T214" s="72">
        <v>18000</v>
      </c>
      <c r="U214" s="73">
        <v>1497240</v>
      </c>
      <c r="V214" s="72">
        <v>18000</v>
      </c>
      <c r="W214" s="73">
        <v>1497240</v>
      </c>
      <c r="X214" s="72">
        <v>19500</v>
      </c>
      <c r="Y214" s="73">
        <v>1622010</v>
      </c>
      <c r="Z214" s="72">
        <v>11000</v>
      </c>
      <c r="AA214" s="73">
        <v>933460</v>
      </c>
      <c r="AB214" s="72">
        <v>12160</v>
      </c>
      <c r="AC214" s="73">
        <v>1161280</v>
      </c>
      <c r="AD214" s="72">
        <v>0</v>
      </c>
      <c r="AE214" s="73">
        <v>0</v>
      </c>
      <c r="AF214" s="72">
        <v>0</v>
      </c>
      <c r="AG214" s="88">
        <v>0</v>
      </c>
      <c r="AH214"/>
    </row>
    <row r="215" spans="1:34">
      <c r="B215" s="114">
        <v>196</v>
      </c>
      <c r="C215" s="117">
        <v>51</v>
      </c>
      <c r="D215" s="117"/>
      <c r="E215" s="117" t="s">
        <v>344</v>
      </c>
      <c r="F215" s="117" t="s">
        <v>345</v>
      </c>
      <c r="G215" s="117" t="s">
        <v>361</v>
      </c>
      <c r="H215" s="117" t="s">
        <v>362</v>
      </c>
      <c r="I215" s="120" t="s">
        <v>280</v>
      </c>
      <c r="J215" s="84">
        <v>15000</v>
      </c>
      <c r="K215" s="73">
        <v>717750</v>
      </c>
      <c r="L215" s="72">
        <v>24000</v>
      </c>
      <c r="M215" s="73">
        <v>1148400</v>
      </c>
      <c r="N215" s="72">
        <v>21000</v>
      </c>
      <c r="O215" s="73">
        <v>1005230</v>
      </c>
      <c r="P215" s="72">
        <v>17000</v>
      </c>
      <c r="Q215" s="73">
        <v>816680</v>
      </c>
      <c r="R215" s="72">
        <v>25000</v>
      </c>
      <c r="S215" s="73">
        <v>1201000</v>
      </c>
      <c r="T215" s="72">
        <v>18000</v>
      </c>
      <c r="U215" s="73">
        <v>864720</v>
      </c>
      <c r="V215" s="72">
        <v>19000</v>
      </c>
      <c r="W215" s="73">
        <v>912760</v>
      </c>
      <c r="X215" s="72">
        <v>20000</v>
      </c>
      <c r="Y215" s="73">
        <v>960800</v>
      </c>
      <c r="Z215" s="72">
        <v>15000</v>
      </c>
      <c r="AA215" s="73">
        <v>729800</v>
      </c>
      <c r="AB215" s="72">
        <v>12647</v>
      </c>
      <c r="AC215" s="73">
        <v>630832.36</v>
      </c>
      <c r="AD215" s="72">
        <v>0</v>
      </c>
      <c r="AE215" s="73">
        <v>0</v>
      </c>
      <c r="AF215" s="72">
        <v>0</v>
      </c>
      <c r="AG215" s="88">
        <v>0</v>
      </c>
      <c r="AH215"/>
    </row>
    <row r="216" spans="1:34">
      <c r="B216" s="114">
        <v>197</v>
      </c>
      <c r="C216" s="117">
        <v>51</v>
      </c>
      <c r="D216" s="117"/>
      <c r="E216" s="117" t="s">
        <v>344</v>
      </c>
      <c r="F216" s="117" t="s">
        <v>345</v>
      </c>
      <c r="G216" s="117" t="s">
        <v>373</v>
      </c>
      <c r="H216" s="117" t="s">
        <v>374</v>
      </c>
      <c r="I216" s="120" t="s">
        <v>266</v>
      </c>
      <c r="J216" s="84">
        <v>13500</v>
      </c>
      <c r="K216" s="73">
        <v>1148175</v>
      </c>
      <c r="L216" s="72">
        <v>22500</v>
      </c>
      <c r="M216" s="73">
        <v>1913625</v>
      </c>
      <c r="N216" s="72">
        <v>20000</v>
      </c>
      <c r="O216" s="73">
        <v>1700360</v>
      </c>
      <c r="P216" s="72">
        <v>15000</v>
      </c>
      <c r="Q216" s="73">
        <v>1261350</v>
      </c>
      <c r="R216" s="72">
        <v>17000</v>
      </c>
      <c r="S216" s="73">
        <v>1429530</v>
      </c>
      <c r="T216" s="72">
        <v>18000</v>
      </c>
      <c r="U216" s="73">
        <v>1513620</v>
      </c>
      <c r="V216" s="72">
        <v>17000</v>
      </c>
      <c r="W216" s="73">
        <v>1429530</v>
      </c>
      <c r="X216" s="72">
        <v>20500</v>
      </c>
      <c r="Y216" s="73">
        <v>1723845</v>
      </c>
      <c r="Z216" s="72">
        <v>14000</v>
      </c>
      <c r="AA216" s="73">
        <v>1177260</v>
      </c>
      <c r="AB216" s="72">
        <v>10625</v>
      </c>
      <c r="AC216" s="73">
        <v>1025525</v>
      </c>
      <c r="AD216" s="72">
        <v>0</v>
      </c>
      <c r="AE216" s="73">
        <v>0</v>
      </c>
      <c r="AF216" s="72">
        <v>0</v>
      </c>
      <c r="AG216" s="88">
        <v>0</v>
      </c>
      <c r="AH216"/>
    </row>
    <row r="217" spans="1:34">
      <c r="B217" s="114">
        <v>198</v>
      </c>
      <c r="C217" s="117">
        <v>51</v>
      </c>
      <c r="D217" s="117"/>
      <c r="E217" s="117" t="s">
        <v>375</v>
      </c>
      <c r="F217" s="117" t="s">
        <v>376</v>
      </c>
      <c r="G217" s="117" t="s">
        <v>377</v>
      </c>
      <c r="H217" s="117" t="s">
        <v>198</v>
      </c>
      <c r="I217" s="120" t="s">
        <v>199</v>
      </c>
      <c r="J217" s="84">
        <v>0</v>
      </c>
      <c r="K217" s="73">
        <v>0</v>
      </c>
      <c r="L217" s="72">
        <v>0</v>
      </c>
      <c r="M217" s="73">
        <v>0</v>
      </c>
      <c r="N217" s="72">
        <v>0</v>
      </c>
      <c r="O217" s="73">
        <v>0</v>
      </c>
      <c r="P217" s="72">
        <v>0</v>
      </c>
      <c r="Q217" s="73">
        <v>0</v>
      </c>
      <c r="R217" s="72">
        <v>0</v>
      </c>
      <c r="S217" s="73">
        <v>0</v>
      </c>
      <c r="T217" s="72">
        <v>12505</v>
      </c>
      <c r="U217" s="73">
        <v>719037.5</v>
      </c>
      <c r="V217" s="72">
        <v>11040</v>
      </c>
      <c r="W217" s="73">
        <v>634800</v>
      </c>
      <c r="X217" s="72">
        <v>0</v>
      </c>
      <c r="Y217" s="73">
        <v>0</v>
      </c>
      <c r="Z217" s="72">
        <v>0</v>
      </c>
      <c r="AA217" s="73">
        <v>0</v>
      </c>
      <c r="AB217" s="72">
        <v>4930</v>
      </c>
      <c r="AC217" s="73">
        <v>283475</v>
      </c>
      <c r="AD217" s="72">
        <v>0</v>
      </c>
      <c r="AE217" s="73">
        <v>0</v>
      </c>
      <c r="AF217" s="72">
        <v>0</v>
      </c>
      <c r="AG217" s="88">
        <v>0</v>
      </c>
      <c r="AH217"/>
    </row>
    <row r="218" spans="1:34">
      <c r="B218" s="114">
        <v>199</v>
      </c>
      <c r="C218" s="117">
        <v>51</v>
      </c>
      <c r="D218" s="117"/>
      <c r="E218" s="117" t="s">
        <v>378</v>
      </c>
      <c r="F218" s="117" t="s">
        <v>379</v>
      </c>
      <c r="G218" s="117" t="s">
        <v>390</v>
      </c>
      <c r="H218" s="117" t="s">
        <v>381</v>
      </c>
      <c r="I218" s="120" t="s">
        <v>391</v>
      </c>
      <c r="J218" s="84">
        <v>500</v>
      </c>
      <c r="K218" s="73">
        <v>73885</v>
      </c>
      <c r="L218" s="72">
        <v>2950</v>
      </c>
      <c r="M218" s="73">
        <v>435921.5</v>
      </c>
      <c r="N218" s="72">
        <v>2000</v>
      </c>
      <c r="O218" s="73">
        <v>295540</v>
      </c>
      <c r="P218" s="72">
        <v>4000</v>
      </c>
      <c r="Q218" s="73">
        <v>591080</v>
      </c>
      <c r="R218" s="72">
        <v>2500</v>
      </c>
      <c r="S218" s="73">
        <v>369425</v>
      </c>
      <c r="T218" s="72">
        <v>1550</v>
      </c>
      <c r="U218" s="73">
        <v>229043.5</v>
      </c>
      <c r="V218" s="72">
        <v>2000</v>
      </c>
      <c r="W218" s="73">
        <v>295540</v>
      </c>
      <c r="X218" s="72">
        <v>5500</v>
      </c>
      <c r="Y218" s="73">
        <v>812735</v>
      </c>
      <c r="Z218" s="72">
        <v>1500</v>
      </c>
      <c r="AA218" s="73">
        <v>221655</v>
      </c>
      <c r="AB218" s="72">
        <v>1500</v>
      </c>
      <c r="AC218" s="73">
        <v>221655</v>
      </c>
      <c r="AD218" s="72">
        <v>0</v>
      </c>
      <c r="AE218" s="73">
        <v>0</v>
      </c>
      <c r="AF218" s="72">
        <v>0</v>
      </c>
      <c r="AG218" s="88">
        <v>0</v>
      </c>
      <c r="AH218"/>
    </row>
    <row r="219" spans="1:34">
      <c r="B219" s="114">
        <v>200</v>
      </c>
      <c r="C219" s="117">
        <v>51</v>
      </c>
      <c r="D219" s="117"/>
      <c r="E219" s="117" t="s">
        <v>378</v>
      </c>
      <c r="F219" s="117" t="s">
        <v>379</v>
      </c>
      <c r="G219" s="117" t="s">
        <v>380</v>
      </c>
      <c r="H219" s="117" t="s">
        <v>381</v>
      </c>
      <c r="I219" s="120" t="s">
        <v>382</v>
      </c>
      <c r="J219" s="84">
        <v>400</v>
      </c>
      <c r="K219" s="73">
        <v>73716</v>
      </c>
      <c r="L219" s="72">
        <v>0</v>
      </c>
      <c r="M219" s="73">
        <v>0</v>
      </c>
      <c r="N219" s="72">
        <v>400</v>
      </c>
      <c r="O219" s="73">
        <v>73716</v>
      </c>
      <c r="P219" s="72">
        <v>0</v>
      </c>
      <c r="Q219" s="73">
        <v>0</v>
      </c>
      <c r="R219" s="72">
        <v>0</v>
      </c>
      <c r="S219" s="73">
        <v>0</v>
      </c>
      <c r="T219" s="72">
        <v>50</v>
      </c>
      <c r="U219" s="73">
        <v>6834.5</v>
      </c>
      <c r="V219" s="72">
        <v>0</v>
      </c>
      <c r="W219" s="73">
        <v>0</v>
      </c>
      <c r="X219" s="72">
        <v>0</v>
      </c>
      <c r="Y219" s="73">
        <v>0</v>
      </c>
      <c r="Z219" s="72">
        <v>0</v>
      </c>
      <c r="AA219" s="73">
        <v>0</v>
      </c>
      <c r="AB219" s="72">
        <v>0</v>
      </c>
      <c r="AC219" s="73">
        <v>0</v>
      </c>
      <c r="AD219" s="72">
        <v>0</v>
      </c>
      <c r="AE219" s="73">
        <v>0</v>
      </c>
      <c r="AF219" s="72">
        <v>0</v>
      </c>
      <c r="AG219" s="88">
        <v>0</v>
      </c>
      <c r="AH219"/>
    </row>
    <row r="220" spans="1:34">
      <c r="B220" s="114">
        <v>201</v>
      </c>
      <c r="C220" s="117">
        <v>51</v>
      </c>
      <c r="D220" s="117"/>
      <c r="E220" s="117" t="s">
        <v>378</v>
      </c>
      <c r="F220" s="117" t="s">
        <v>379</v>
      </c>
      <c r="G220" s="117" t="s">
        <v>389</v>
      </c>
      <c r="H220" s="117" t="s">
        <v>384</v>
      </c>
      <c r="I220" s="120" t="s">
        <v>316</v>
      </c>
      <c r="J220" s="84">
        <v>0</v>
      </c>
      <c r="K220" s="73">
        <v>0</v>
      </c>
      <c r="L220" s="72">
        <v>0</v>
      </c>
      <c r="M220" s="73">
        <v>0</v>
      </c>
      <c r="N220" s="72">
        <v>50</v>
      </c>
      <c r="O220" s="73">
        <v>7944</v>
      </c>
      <c r="P220" s="72">
        <v>0</v>
      </c>
      <c r="Q220" s="73">
        <v>0</v>
      </c>
      <c r="R220" s="72">
        <v>0</v>
      </c>
      <c r="S220" s="73">
        <v>0</v>
      </c>
      <c r="T220" s="72">
        <v>200</v>
      </c>
      <c r="U220" s="73">
        <v>31776</v>
      </c>
      <c r="V220" s="72">
        <v>0</v>
      </c>
      <c r="W220" s="73">
        <v>0</v>
      </c>
      <c r="X220" s="72">
        <v>0</v>
      </c>
      <c r="Y220" s="73">
        <v>0</v>
      </c>
      <c r="Z220" s="72">
        <v>0</v>
      </c>
      <c r="AA220" s="73">
        <v>0</v>
      </c>
      <c r="AB220" s="72">
        <v>0</v>
      </c>
      <c r="AC220" s="73">
        <v>0</v>
      </c>
      <c r="AD220" s="72">
        <v>0</v>
      </c>
      <c r="AE220" s="73">
        <v>0</v>
      </c>
      <c r="AF220" s="72">
        <v>0</v>
      </c>
      <c r="AG220" s="88">
        <v>0</v>
      </c>
      <c r="AH220"/>
    </row>
    <row r="221" spans="1:34">
      <c r="B221" s="114">
        <v>202</v>
      </c>
      <c r="C221" s="117">
        <v>51</v>
      </c>
      <c r="D221" s="117"/>
      <c r="E221" s="117" t="s">
        <v>378</v>
      </c>
      <c r="F221" s="117" t="s">
        <v>379</v>
      </c>
      <c r="G221" s="117" t="s">
        <v>394</v>
      </c>
      <c r="H221" s="117" t="s">
        <v>384</v>
      </c>
      <c r="I221" s="120" t="s">
        <v>395</v>
      </c>
      <c r="J221" s="84">
        <v>0</v>
      </c>
      <c r="K221" s="73">
        <v>0</v>
      </c>
      <c r="L221" s="72">
        <v>100</v>
      </c>
      <c r="M221" s="73">
        <v>11464</v>
      </c>
      <c r="N221" s="72">
        <v>100</v>
      </c>
      <c r="O221" s="73">
        <v>11464</v>
      </c>
      <c r="P221" s="72">
        <v>0</v>
      </c>
      <c r="Q221" s="73">
        <v>0</v>
      </c>
      <c r="R221" s="72">
        <v>200</v>
      </c>
      <c r="S221" s="73">
        <v>22928</v>
      </c>
      <c r="T221" s="72">
        <v>0</v>
      </c>
      <c r="U221" s="73">
        <v>0</v>
      </c>
      <c r="V221" s="72">
        <v>0</v>
      </c>
      <c r="W221" s="73">
        <v>0</v>
      </c>
      <c r="X221" s="72">
        <v>0</v>
      </c>
      <c r="Y221" s="73">
        <v>0</v>
      </c>
      <c r="Z221" s="72">
        <v>0</v>
      </c>
      <c r="AA221" s="73">
        <v>0</v>
      </c>
      <c r="AB221" s="72">
        <v>0</v>
      </c>
      <c r="AC221" s="73">
        <v>0</v>
      </c>
      <c r="AD221" s="72">
        <v>0</v>
      </c>
      <c r="AE221" s="73">
        <v>0</v>
      </c>
      <c r="AF221" s="72">
        <v>0</v>
      </c>
      <c r="AG221" s="88">
        <v>0</v>
      </c>
      <c r="AH221"/>
    </row>
    <row r="222" spans="1:34">
      <c r="B222" s="114">
        <v>203</v>
      </c>
      <c r="C222" s="117">
        <v>51</v>
      </c>
      <c r="D222" s="117"/>
      <c r="E222" s="117" t="s">
        <v>378</v>
      </c>
      <c r="F222" s="117" t="s">
        <v>379</v>
      </c>
      <c r="G222" s="117" t="s">
        <v>396</v>
      </c>
      <c r="H222" s="117" t="s">
        <v>387</v>
      </c>
      <c r="I222" s="120" t="s">
        <v>88</v>
      </c>
      <c r="J222" s="84">
        <v>10000</v>
      </c>
      <c r="K222" s="73">
        <v>4000</v>
      </c>
      <c r="L222" s="72">
        <v>10000</v>
      </c>
      <c r="M222" s="73">
        <v>4000</v>
      </c>
      <c r="N222" s="72">
        <v>10000</v>
      </c>
      <c r="O222" s="73">
        <v>4000</v>
      </c>
      <c r="P222" s="72">
        <v>10000</v>
      </c>
      <c r="Q222" s="73">
        <v>4000</v>
      </c>
      <c r="R222" s="72">
        <v>10000</v>
      </c>
      <c r="S222" s="73">
        <v>4000</v>
      </c>
      <c r="T222" s="72">
        <v>10000</v>
      </c>
      <c r="U222" s="73">
        <v>4000</v>
      </c>
      <c r="V222" s="72">
        <v>0</v>
      </c>
      <c r="W222" s="73">
        <v>0</v>
      </c>
      <c r="X222" s="72">
        <v>10000</v>
      </c>
      <c r="Y222" s="73">
        <v>4000</v>
      </c>
      <c r="Z222" s="72">
        <v>0</v>
      </c>
      <c r="AA222" s="73">
        <v>0</v>
      </c>
      <c r="AB222" s="72">
        <v>0</v>
      </c>
      <c r="AC222" s="73">
        <v>0</v>
      </c>
      <c r="AD222" s="72">
        <v>0</v>
      </c>
      <c r="AE222" s="73">
        <v>0</v>
      </c>
      <c r="AF222" s="72">
        <v>0</v>
      </c>
      <c r="AG222" s="88">
        <v>0</v>
      </c>
      <c r="AH222"/>
    </row>
    <row r="223" spans="1:34">
      <c r="B223" s="114">
        <v>204</v>
      </c>
      <c r="C223" s="117">
        <v>51</v>
      </c>
      <c r="D223" s="117"/>
      <c r="E223" s="117" t="s">
        <v>378</v>
      </c>
      <c r="F223" s="117" t="s">
        <v>379</v>
      </c>
      <c r="G223" s="117" t="s">
        <v>397</v>
      </c>
      <c r="H223" s="117" t="s">
        <v>381</v>
      </c>
      <c r="I223" s="120" t="s">
        <v>398</v>
      </c>
      <c r="J223" s="84">
        <v>420</v>
      </c>
      <c r="K223" s="73">
        <v>86553.60000000001</v>
      </c>
      <c r="L223" s="72">
        <v>420</v>
      </c>
      <c r="M223" s="73">
        <v>86553.60000000001</v>
      </c>
      <c r="N223" s="72">
        <v>350</v>
      </c>
      <c r="O223" s="73">
        <v>72128</v>
      </c>
      <c r="P223" s="72">
        <v>0</v>
      </c>
      <c r="Q223" s="73">
        <v>0</v>
      </c>
      <c r="R223" s="72">
        <v>1400</v>
      </c>
      <c r="S223" s="73">
        <v>288512</v>
      </c>
      <c r="T223" s="72">
        <v>350</v>
      </c>
      <c r="U223" s="73">
        <v>72128</v>
      </c>
      <c r="V223" s="72">
        <v>0</v>
      </c>
      <c r="W223" s="73">
        <v>0</v>
      </c>
      <c r="X223" s="72">
        <v>350</v>
      </c>
      <c r="Y223" s="73">
        <v>72128</v>
      </c>
      <c r="Z223" s="72">
        <v>1050</v>
      </c>
      <c r="AA223" s="73">
        <v>216384</v>
      </c>
      <c r="AB223" s="72">
        <v>700</v>
      </c>
      <c r="AC223" s="73">
        <v>144256</v>
      </c>
      <c r="AD223" s="72">
        <v>0</v>
      </c>
      <c r="AE223" s="73">
        <v>0</v>
      </c>
      <c r="AF223" s="72">
        <v>0</v>
      </c>
      <c r="AG223" s="88">
        <v>0</v>
      </c>
      <c r="AH223"/>
    </row>
    <row r="224" spans="1:34">
      <c r="B224" s="114">
        <v>205</v>
      </c>
      <c r="C224" s="117">
        <v>51</v>
      </c>
      <c r="D224" s="117"/>
      <c r="E224" s="117" t="s">
        <v>378</v>
      </c>
      <c r="F224" s="117" t="s">
        <v>379</v>
      </c>
      <c r="G224" s="117" t="s">
        <v>383</v>
      </c>
      <c r="H224" s="117" t="s">
        <v>384</v>
      </c>
      <c r="I224" s="120" t="s">
        <v>385</v>
      </c>
      <c r="J224" s="84">
        <v>0</v>
      </c>
      <c r="K224" s="73">
        <v>0</v>
      </c>
      <c r="L224" s="72">
        <v>0</v>
      </c>
      <c r="M224" s="73">
        <v>0</v>
      </c>
      <c r="N224" s="72">
        <v>0</v>
      </c>
      <c r="O224" s="73">
        <v>0</v>
      </c>
      <c r="P224" s="72">
        <v>0</v>
      </c>
      <c r="Q224" s="73">
        <v>0</v>
      </c>
      <c r="R224" s="72">
        <v>0</v>
      </c>
      <c r="S224" s="73">
        <v>0</v>
      </c>
      <c r="T224" s="72">
        <v>0</v>
      </c>
      <c r="U224" s="73">
        <v>0</v>
      </c>
      <c r="V224" s="72">
        <v>0</v>
      </c>
      <c r="W224" s="73">
        <v>0</v>
      </c>
      <c r="X224" s="72">
        <v>0</v>
      </c>
      <c r="Y224" s="73">
        <v>0</v>
      </c>
      <c r="Z224" s="72">
        <v>175</v>
      </c>
      <c r="AA224" s="73">
        <v>28222.25</v>
      </c>
      <c r="AB224" s="72">
        <v>0</v>
      </c>
      <c r="AC224" s="73">
        <v>0</v>
      </c>
      <c r="AD224" s="72">
        <v>0</v>
      </c>
      <c r="AE224" s="73">
        <v>0</v>
      </c>
      <c r="AF224" s="72">
        <v>0</v>
      </c>
      <c r="AG224" s="88">
        <v>0</v>
      </c>
      <c r="AH224"/>
    </row>
    <row r="225" spans="1:34">
      <c r="B225" s="114">
        <v>206</v>
      </c>
      <c r="C225" s="117">
        <v>51</v>
      </c>
      <c r="D225" s="117"/>
      <c r="E225" s="117" t="s">
        <v>378</v>
      </c>
      <c r="F225" s="117" t="s">
        <v>379</v>
      </c>
      <c r="G225" s="117" t="s">
        <v>399</v>
      </c>
      <c r="H225" s="117" t="s">
        <v>381</v>
      </c>
      <c r="I225" s="120" t="s">
        <v>258</v>
      </c>
      <c r="J225" s="84">
        <v>1100</v>
      </c>
      <c r="K225" s="73">
        <v>134871</v>
      </c>
      <c r="L225" s="72">
        <v>4000</v>
      </c>
      <c r="M225" s="73">
        <v>490440</v>
      </c>
      <c r="N225" s="72">
        <v>7500</v>
      </c>
      <c r="O225" s="73">
        <v>919575</v>
      </c>
      <c r="P225" s="72">
        <v>5000</v>
      </c>
      <c r="Q225" s="73">
        <v>613050</v>
      </c>
      <c r="R225" s="72">
        <v>7000</v>
      </c>
      <c r="S225" s="73">
        <v>858270</v>
      </c>
      <c r="T225" s="72">
        <v>3500</v>
      </c>
      <c r="U225" s="73">
        <v>429135</v>
      </c>
      <c r="V225" s="72">
        <v>7000</v>
      </c>
      <c r="W225" s="73">
        <v>858270</v>
      </c>
      <c r="X225" s="72">
        <v>500</v>
      </c>
      <c r="Y225" s="73">
        <v>61305</v>
      </c>
      <c r="Z225" s="72">
        <v>0</v>
      </c>
      <c r="AA225" s="73">
        <v>0</v>
      </c>
      <c r="AB225" s="72">
        <v>0</v>
      </c>
      <c r="AC225" s="73">
        <v>0</v>
      </c>
      <c r="AD225" s="72">
        <v>0</v>
      </c>
      <c r="AE225" s="73">
        <v>0</v>
      </c>
      <c r="AF225" s="72">
        <v>0</v>
      </c>
      <c r="AG225" s="88">
        <v>0</v>
      </c>
      <c r="AH225"/>
    </row>
    <row r="226" spans="1:34">
      <c r="B226" s="114">
        <v>207</v>
      </c>
      <c r="C226" s="117">
        <v>51</v>
      </c>
      <c r="D226" s="117"/>
      <c r="E226" s="117" t="s">
        <v>400</v>
      </c>
      <c r="F226" s="117" t="s">
        <v>401</v>
      </c>
      <c r="G226" s="117" t="s">
        <v>402</v>
      </c>
      <c r="H226" s="117" t="s">
        <v>289</v>
      </c>
      <c r="I226" s="120" t="s">
        <v>323</v>
      </c>
      <c r="J226" s="84">
        <v>0</v>
      </c>
      <c r="K226" s="73">
        <v>0</v>
      </c>
      <c r="L226" s="72">
        <v>4000</v>
      </c>
      <c r="M226" s="73">
        <v>48400</v>
      </c>
      <c r="N226" s="72">
        <v>9000</v>
      </c>
      <c r="O226" s="73">
        <v>108900</v>
      </c>
      <c r="P226" s="72">
        <v>11000</v>
      </c>
      <c r="Q226" s="73">
        <v>133100</v>
      </c>
      <c r="R226" s="72">
        <v>9000</v>
      </c>
      <c r="S226" s="73">
        <v>108900</v>
      </c>
      <c r="T226" s="72">
        <v>20000</v>
      </c>
      <c r="U226" s="73">
        <v>242000</v>
      </c>
      <c r="V226" s="72">
        <v>17000</v>
      </c>
      <c r="W226" s="73">
        <v>205700</v>
      </c>
      <c r="X226" s="72">
        <v>12000</v>
      </c>
      <c r="Y226" s="73">
        <v>145200</v>
      </c>
      <c r="Z226" s="72">
        <v>9000</v>
      </c>
      <c r="AA226" s="73">
        <v>108900</v>
      </c>
      <c r="AB226" s="72">
        <v>5000</v>
      </c>
      <c r="AC226" s="73">
        <v>60500</v>
      </c>
      <c r="AD226" s="72">
        <v>0</v>
      </c>
      <c r="AE226" s="73">
        <v>0</v>
      </c>
      <c r="AF226" s="72">
        <v>0</v>
      </c>
      <c r="AG226" s="88">
        <v>0</v>
      </c>
      <c r="AH226"/>
    </row>
    <row r="227" spans="1:34">
      <c r="B227" s="114">
        <v>208</v>
      </c>
      <c r="C227" s="117">
        <v>51</v>
      </c>
      <c r="D227" s="117"/>
      <c r="E227" s="117" t="s">
        <v>403</v>
      </c>
      <c r="F227" s="117" t="s">
        <v>404</v>
      </c>
      <c r="G227" s="117" t="s">
        <v>415</v>
      </c>
      <c r="H227" s="117" t="s">
        <v>416</v>
      </c>
      <c r="I227" s="120" t="s">
        <v>188</v>
      </c>
      <c r="J227" s="84">
        <v>0</v>
      </c>
      <c r="K227" s="73">
        <v>0</v>
      </c>
      <c r="L227" s="72">
        <v>0</v>
      </c>
      <c r="M227" s="73">
        <v>0</v>
      </c>
      <c r="N227" s="72">
        <v>359</v>
      </c>
      <c r="O227" s="73">
        <v>7036.4</v>
      </c>
      <c r="P227" s="72">
        <v>0</v>
      </c>
      <c r="Q227" s="73">
        <v>0</v>
      </c>
      <c r="R227" s="72">
        <v>198</v>
      </c>
      <c r="S227" s="73">
        <v>3880.8</v>
      </c>
      <c r="T227" s="72">
        <v>0</v>
      </c>
      <c r="U227" s="73">
        <v>0</v>
      </c>
      <c r="V227" s="72">
        <v>297</v>
      </c>
      <c r="W227" s="73">
        <v>5821.2</v>
      </c>
      <c r="X227" s="72">
        <v>251</v>
      </c>
      <c r="Y227" s="73">
        <v>4919.6</v>
      </c>
      <c r="Z227" s="72">
        <v>0</v>
      </c>
      <c r="AA227" s="73">
        <v>0</v>
      </c>
      <c r="AB227" s="72">
        <v>600</v>
      </c>
      <c r="AC227" s="73">
        <v>11760</v>
      </c>
      <c r="AD227" s="72">
        <v>0</v>
      </c>
      <c r="AE227" s="73">
        <v>0</v>
      </c>
      <c r="AF227" s="72">
        <v>0</v>
      </c>
      <c r="AG227" s="88">
        <v>0</v>
      </c>
      <c r="AH227"/>
    </row>
    <row r="228" spans="1:34">
      <c r="B228" s="114">
        <v>209</v>
      </c>
      <c r="C228" s="117">
        <v>51</v>
      </c>
      <c r="D228" s="117"/>
      <c r="E228" s="117" t="s">
        <v>403</v>
      </c>
      <c r="F228" s="117" t="s">
        <v>404</v>
      </c>
      <c r="G228" s="117" t="s">
        <v>417</v>
      </c>
      <c r="H228" s="117" t="s">
        <v>190</v>
      </c>
      <c r="I228" s="120" t="s">
        <v>188</v>
      </c>
      <c r="J228" s="84">
        <v>299</v>
      </c>
      <c r="K228" s="73">
        <v>4455.1</v>
      </c>
      <c r="L228" s="72">
        <v>0</v>
      </c>
      <c r="M228" s="73">
        <v>0</v>
      </c>
      <c r="N228" s="72">
        <v>597</v>
      </c>
      <c r="O228" s="73">
        <v>8895.299999999999</v>
      </c>
      <c r="P228" s="72">
        <v>1196</v>
      </c>
      <c r="Q228" s="73">
        <v>17820.4</v>
      </c>
      <c r="R228" s="72">
        <v>298</v>
      </c>
      <c r="S228" s="73">
        <v>4440.2</v>
      </c>
      <c r="T228" s="72">
        <v>1793</v>
      </c>
      <c r="U228" s="73">
        <v>26715.7</v>
      </c>
      <c r="V228" s="72">
        <v>299</v>
      </c>
      <c r="W228" s="73">
        <v>4455.1</v>
      </c>
      <c r="X228" s="72">
        <v>910</v>
      </c>
      <c r="Y228" s="73">
        <v>13559</v>
      </c>
      <c r="Z228" s="72">
        <v>1006</v>
      </c>
      <c r="AA228" s="73">
        <v>14989.4</v>
      </c>
      <c r="AB228" s="72">
        <v>1195</v>
      </c>
      <c r="AC228" s="73">
        <v>17805.5</v>
      </c>
      <c r="AD228" s="72">
        <v>0</v>
      </c>
      <c r="AE228" s="73">
        <v>0</v>
      </c>
      <c r="AF228" s="72">
        <v>0</v>
      </c>
      <c r="AG228" s="88">
        <v>0</v>
      </c>
      <c r="AH228"/>
    </row>
    <row r="229" spans="1:34">
      <c r="B229" s="114">
        <v>210</v>
      </c>
      <c r="C229" s="117">
        <v>51</v>
      </c>
      <c r="D229" s="117"/>
      <c r="E229" s="117" t="s">
        <v>403</v>
      </c>
      <c r="F229" s="117" t="s">
        <v>404</v>
      </c>
      <c r="G229" s="117" t="s">
        <v>419</v>
      </c>
      <c r="H229" s="117" t="s">
        <v>183</v>
      </c>
      <c r="I229" s="120" t="s">
        <v>179</v>
      </c>
      <c r="J229" s="84">
        <v>97</v>
      </c>
      <c r="K229" s="73">
        <v>1493.8</v>
      </c>
      <c r="L229" s="72">
        <v>118</v>
      </c>
      <c r="M229" s="73">
        <v>1817.2</v>
      </c>
      <c r="N229" s="72">
        <v>0</v>
      </c>
      <c r="O229" s="73">
        <v>0</v>
      </c>
      <c r="P229" s="72">
        <v>0</v>
      </c>
      <c r="Q229" s="73">
        <v>0</v>
      </c>
      <c r="R229" s="72">
        <v>0</v>
      </c>
      <c r="S229" s="73">
        <v>0</v>
      </c>
      <c r="T229" s="72">
        <v>198</v>
      </c>
      <c r="U229" s="73">
        <v>3049.2</v>
      </c>
      <c r="V229" s="72">
        <v>0</v>
      </c>
      <c r="W229" s="73">
        <v>0</v>
      </c>
      <c r="X229" s="72">
        <v>0</v>
      </c>
      <c r="Y229" s="73">
        <v>0</v>
      </c>
      <c r="Z229" s="72">
        <v>0</v>
      </c>
      <c r="AA229" s="73">
        <v>0</v>
      </c>
      <c r="AB229" s="72">
        <v>0</v>
      </c>
      <c r="AC229" s="73">
        <v>0</v>
      </c>
      <c r="AD229" s="72">
        <v>0</v>
      </c>
      <c r="AE229" s="73">
        <v>0</v>
      </c>
      <c r="AF229" s="72">
        <v>0</v>
      </c>
      <c r="AG229" s="88">
        <v>0</v>
      </c>
      <c r="AH229"/>
    </row>
    <row r="230" spans="1:34">
      <c r="B230" s="114">
        <v>211</v>
      </c>
      <c r="C230" s="117">
        <v>51</v>
      </c>
      <c r="D230" s="117"/>
      <c r="E230" s="117" t="s">
        <v>403</v>
      </c>
      <c r="F230" s="117" t="s">
        <v>404</v>
      </c>
      <c r="G230" s="117" t="s">
        <v>414</v>
      </c>
      <c r="H230" s="117" t="s">
        <v>194</v>
      </c>
      <c r="I230" s="120" t="s">
        <v>179</v>
      </c>
      <c r="J230" s="84">
        <v>0</v>
      </c>
      <c r="K230" s="73">
        <v>0</v>
      </c>
      <c r="L230" s="72">
        <v>0</v>
      </c>
      <c r="M230" s="73">
        <v>0</v>
      </c>
      <c r="N230" s="72">
        <v>74</v>
      </c>
      <c r="O230" s="73">
        <v>1036</v>
      </c>
      <c r="P230" s="72">
        <v>0</v>
      </c>
      <c r="Q230" s="73">
        <v>0</v>
      </c>
      <c r="R230" s="72">
        <v>0</v>
      </c>
      <c r="S230" s="73">
        <v>0</v>
      </c>
      <c r="T230" s="72">
        <v>0</v>
      </c>
      <c r="U230" s="73">
        <v>0</v>
      </c>
      <c r="V230" s="72">
        <v>0</v>
      </c>
      <c r="W230" s="73">
        <v>0</v>
      </c>
      <c r="X230" s="72">
        <v>0</v>
      </c>
      <c r="Y230" s="73">
        <v>0</v>
      </c>
      <c r="Z230" s="72">
        <v>0</v>
      </c>
      <c r="AA230" s="73">
        <v>0</v>
      </c>
      <c r="AB230" s="72">
        <v>0</v>
      </c>
      <c r="AC230" s="73">
        <v>0</v>
      </c>
      <c r="AD230" s="72">
        <v>0</v>
      </c>
      <c r="AE230" s="73">
        <v>0</v>
      </c>
      <c r="AF230" s="72">
        <v>0</v>
      </c>
      <c r="AG230" s="88">
        <v>0</v>
      </c>
      <c r="AH230"/>
    </row>
    <row r="231" spans="1:34">
      <c r="B231" s="114">
        <v>212</v>
      </c>
      <c r="C231" s="117">
        <v>51</v>
      </c>
      <c r="D231" s="117"/>
      <c r="E231" s="117" t="s">
        <v>403</v>
      </c>
      <c r="F231" s="117" t="s">
        <v>404</v>
      </c>
      <c r="G231" s="117" t="s">
        <v>405</v>
      </c>
      <c r="H231" s="117" t="s">
        <v>185</v>
      </c>
      <c r="I231" s="120" t="s">
        <v>176</v>
      </c>
      <c r="J231" s="84">
        <v>635</v>
      </c>
      <c r="K231" s="73">
        <v>7620</v>
      </c>
      <c r="L231" s="72">
        <v>724</v>
      </c>
      <c r="M231" s="73">
        <v>8688</v>
      </c>
      <c r="N231" s="72">
        <v>0</v>
      </c>
      <c r="O231" s="73">
        <v>0</v>
      </c>
      <c r="P231" s="72">
        <v>606</v>
      </c>
      <c r="Q231" s="73">
        <v>7272</v>
      </c>
      <c r="R231" s="72">
        <v>1058</v>
      </c>
      <c r="S231" s="73">
        <v>12696</v>
      </c>
      <c r="T231" s="72">
        <v>1804</v>
      </c>
      <c r="U231" s="73">
        <v>21648</v>
      </c>
      <c r="V231" s="72">
        <v>302</v>
      </c>
      <c r="W231" s="73">
        <v>3624</v>
      </c>
      <c r="X231" s="72">
        <v>897</v>
      </c>
      <c r="Y231" s="73">
        <v>10764</v>
      </c>
      <c r="Z231" s="72">
        <v>595</v>
      </c>
      <c r="AA231" s="73">
        <v>7140</v>
      </c>
      <c r="AB231" s="72">
        <v>1190</v>
      </c>
      <c r="AC231" s="73">
        <v>14280</v>
      </c>
      <c r="AD231" s="72">
        <v>0</v>
      </c>
      <c r="AE231" s="73">
        <v>0</v>
      </c>
      <c r="AF231" s="72">
        <v>0</v>
      </c>
      <c r="AG231" s="88">
        <v>0</v>
      </c>
      <c r="AH231"/>
    </row>
    <row r="232" spans="1:34">
      <c r="B232" s="114">
        <v>213</v>
      </c>
      <c r="C232" s="117">
        <v>51</v>
      </c>
      <c r="D232" s="117"/>
      <c r="E232" s="117" t="s">
        <v>403</v>
      </c>
      <c r="F232" s="117" t="s">
        <v>404</v>
      </c>
      <c r="G232" s="117" t="s">
        <v>413</v>
      </c>
      <c r="H232" s="117" t="s">
        <v>192</v>
      </c>
      <c r="I232" s="120" t="s">
        <v>176</v>
      </c>
      <c r="J232" s="84">
        <v>596</v>
      </c>
      <c r="K232" s="73">
        <v>7152</v>
      </c>
      <c r="L232" s="72">
        <v>592</v>
      </c>
      <c r="M232" s="73">
        <v>7104</v>
      </c>
      <c r="N232" s="72">
        <v>295</v>
      </c>
      <c r="O232" s="73">
        <v>3540</v>
      </c>
      <c r="P232" s="72">
        <v>598</v>
      </c>
      <c r="Q232" s="73">
        <v>7176</v>
      </c>
      <c r="R232" s="72">
        <v>849</v>
      </c>
      <c r="S232" s="73">
        <v>10188</v>
      </c>
      <c r="T232" s="72">
        <v>1635</v>
      </c>
      <c r="U232" s="73">
        <v>19620</v>
      </c>
      <c r="V232" s="72">
        <v>590</v>
      </c>
      <c r="W232" s="73">
        <v>7080</v>
      </c>
      <c r="X232" s="72">
        <v>595</v>
      </c>
      <c r="Y232" s="73">
        <v>7140</v>
      </c>
      <c r="Z232" s="72">
        <v>598</v>
      </c>
      <c r="AA232" s="73">
        <v>7176</v>
      </c>
      <c r="AB232" s="72">
        <v>1190</v>
      </c>
      <c r="AC232" s="73">
        <v>14280</v>
      </c>
      <c r="AD232" s="72">
        <v>0</v>
      </c>
      <c r="AE232" s="73">
        <v>0</v>
      </c>
      <c r="AF232" s="72">
        <v>0</v>
      </c>
      <c r="AG232" s="88">
        <v>0</v>
      </c>
      <c r="AH232"/>
    </row>
    <row r="233" spans="1:34">
      <c r="B233" s="114">
        <v>214</v>
      </c>
      <c r="C233" s="117">
        <v>51</v>
      </c>
      <c r="D233" s="117"/>
      <c r="E233" s="117" t="s">
        <v>403</v>
      </c>
      <c r="F233" s="117" t="s">
        <v>404</v>
      </c>
      <c r="G233" s="117" t="s">
        <v>418</v>
      </c>
      <c r="H233" s="117" t="s">
        <v>194</v>
      </c>
      <c r="I233" s="120" t="s">
        <v>179</v>
      </c>
      <c r="J233" s="84">
        <v>0</v>
      </c>
      <c r="K233" s="73">
        <v>0</v>
      </c>
      <c r="L233" s="72">
        <v>213</v>
      </c>
      <c r="M233" s="73">
        <v>2982</v>
      </c>
      <c r="N233" s="72">
        <v>0</v>
      </c>
      <c r="O233" s="73">
        <v>0</v>
      </c>
      <c r="P233" s="72">
        <v>0</v>
      </c>
      <c r="Q233" s="73">
        <v>0</v>
      </c>
      <c r="R233" s="72">
        <v>44</v>
      </c>
      <c r="S233" s="73">
        <v>616</v>
      </c>
      <c r="T233" s="72">
        <v>0</v>
      </c>
      <c r="U233" s="73">
        <v>0</v>
      </c>
      <c r="V233" s="72">
        <v>98</v>
      </c>
      <c r="W233" s="73">
        <v>1372</v>
      </c>
      <c r="X233" s="72">
        <v>0</v>
      </c>
      <c r="Y233" s="73">
        <v>0</v>
      </c>
      <c r="Z233" s="72">
        <v>0</v>
      </c>
      <c r="AA233" s="73">
        <v>0</v>
      </c>
      <c r="AB233" s="72">
        <v>0</v>
      </c>
      <c r="AC233" s="73">
        <v>0</v>
      </c>
      <c r="AD233" s="72">
        <v>0</v>
      </c>
      <c r="AE233" s="73">
        <v>0</v>
      </c>
      <c r="AF233" s="72">
        <v>0</v>
      </c>
      <c r="AG233" s="88">
        <v>0</v>
      </c>
      <c r="AH233"/>
    </row>
    <row r="234" spans="1:34">
      <c r="B234" s="114">
        <v>215</v>
      </c>
      <c r="C234" s="117">
        <v>51</v>
      </c>
      <c r="D234" s="117"/>
      <c r="E234" s="117" t="s">
        <v>403</v>
      </c>
      <c r="F234" s="117" t="s">
        <v>404</v>
      </c>
      <c r="G234" s="117" t="s">
        <v>407</v>
      </c>
      <c r="H234" s="117" t="s">
        <v>181</v>
      </c>
      <c r="I234" s="120" t="s">
        <v>179</v>
      </c>
      <c r="J234" s="84">
        <v>98</v>
      </c>
      <c r="K234" s="73">
        <v>1372</v>
      </c>
      <c r="L234" s="72">
        <v>0</v>
      </c>
      <c r="M234" s="73">
        <v>0</v>
      </c>
      <c r="N234" s="72">
        <v>0</v>
      </c>
      <c r="O234" s="73">
        <v>0</v>
      </c>
      <c r="P234" s="72">
        <v>0</v>
      </c>
      <c r="Q234" s="73">
        <v>0</v>
      </c>
      <c r="R234" s="72">
        <v>0</v>
      </c>
      <c r="S234" s="73">
        <v>0</v>
      </c>
      <c r="T234" s="72">
        <v>198</v>
      </c>
      <c r="U234" s="73">
        <v>2772</v>
      </c>
      <c r="V234" s="72">
        <v>97</v>
      </c>
      <c r="W234" s="73">
        <v>1358</v>
      </c>
      <c r="X234" s="72">
        <v>0</v>
      </c>
      <c r="Y234" s="73">
        <v>0</v>
      </c>
      <c r="Z234" s="72">
        <v>0</v>
      </c>
      <c r="AA234" s="73">
        <v>0</v>
      </c>
      <c r="AB234" s="72">
        <v>0</v>
      </c>
      <c r="AC234" s="73">
        <v>0</v>
      </c>
      <c r="AD234" s="72">
        <v>0</v>
      </c>
      <c r="AE234" s="73">
        <v>0</v>
      </c>
      <c r="AF234" s="72">
        <v>0</v>
      </c>
      <c r="AG234" s="88">
        <v>0</v>
      </c>
      <c r="AH234"/>
    </row>
    <row r="235" spans="1:34">
      <c r="B235" s="114">
        <v>216</v>
      </c>
      <c r="C235" s="117">
        <v>51</v>
      </c>
      <c r="D235" s="117"/>
      <c r="E235" s="117" t="s">
        <v>403</v>
      </c>
      <c r="F235" s="117" t="s">
        <v>404</v>
      </c>
      <c r="G235" s="117" t="s">
        <v>406</v>
      </c>
      <c r="H235" s="117" t="s">
        <v>175</v>
      </c>
      <c r="I235" s="120" t="s">
        <v>176</v>
      </c>
      <c r="J235" s="84">
        <v>595</v>
      </c>
      <c r="K235" s="73">
        <v>7140</v>
      </c>
      <c r="L235" s="72">
        <v>593</v>
      </c>
      <c r="M235" s="73">
        <v>7116</v>
      </c>
      <c r="N235" s="72">
        <v>297</v>
      </c>
      <c r="O235" s="73">
        <v>3564</v>
      </c>
      <c r="P235" s="72">
        <v>872</v>
      </c>
      <c r="Q235" s="73">
        <v>10464</v>
      </c>
      <c r="R235" s="72">
        <v>894</v>
      </c>
      <c r="S235" s="73">
        <v>10728</v>
      </c>
      <c r="T235" s="72">
        <v>1646</v>
      </c>
      <c r="U235" s="73">
        <v>19752</v>
      </c>
      <c r="V235" s="72">
        <v>797</v>
      </c>
      <c r="W235" s="73">
        <v>9564</v>
      </c>
      <c r="X235" s="72">
        <v>595</v>
      </c>
      <c r="Y235" s="73">
        <v>7140</v>
      </c>
      <c r="Z235" s="72">
        <v>595</v>
      </c>
      <c r="AA235" s="73">
        <v>7140</v>
      </c>
      <c r="AB235" s="72">
        <v>295</v>
      </c>
      <c r="AC235" s="73">
        <v>3540</v>
      </c>
      <c r="AD235" s="72">
        <v>0</v>
      </c>
      <c r="AE235" s="73">
        <v>0</v>
      </c>
      <c r="AF235" s="72">
        <v>0</v>
      </c>
      <c r="AG235" s="88">
        <v>0</v>
      </c>
      <c r="AH235"/>
    </row>
    <row r="236" spans="1:34">
      <c r="B236" s="114">
        <v>217</v>
      </c>
      <c r="C236" s="117">
        <v>51</v>
      </c>
      <c r="D236" s="117"/>
      <c r="E236" s="117" t="s">
        <v>403</v>
      </c>
      <c r="F236" s="117" t="s">
        <v>404</v>
      </c>
      <c r="G236" s="117" t="s">
        <v>409</v>
      </c>
      <c r="H236" s="117" t="s">
        <v>410</v>
      </c>
      <c r="I236" s="120" t="s">
        <v>411</v>
      </c>
      <c r="J236" s="84">
        <v>0</v>
      </c>
      <c r="K236" s="73">
        <v>0</v>
      </c>
      <c r="L236" s="72">
        <v>0</v>
      </c>
      <c r="M236" s="73">
        <v>0</v>
      </c>
      <c r="N236" s="72">
        <v>56</v>
      </c>
      <c r="O236" s="73">
        <v>1232</v>
      </c>
      <c r="P236" s="72">
        <v>0</v>
      </c>
      <c r="Q236" s="73">
        <v>0</v>
      </c>
      <c r="R236" s="72">
        <v>0</v>
      </c>
      <c r="S236" s="73">
        <v>0</v>
      </c>
      <c r="T236" s="72">
        <v>0</v>
      </c>
      <c r="U236" s="73">
        <v>0</v>
      </c>
      <c r="V236" s="72">
        <v>0</v>
      </c>
      <c r="W236" s="73">
        <v>0</v>
      </c>
      <c r="X236" s="72">
        <v>0</v>
      </c>
      <c r="Y236" s="73">
        <v>0</v>
      </c>
      <c r="Z236" s="72">
        <v>0</v>
      </c>
      <c r="AA236" s="73">
        <v>0</v>
      </c>
      <c r="AB236" s="72">
        <v>0</v>
      </c>
      <c r="AC236" s="73">
        <v>0</v>
      </c>
      <c r="AD236" s="72">
        <v>0</v>
      </c>
      <c r="AE236" s="73">
        <v>0</v>
      </c>
      <c r="AF236" s="72">
        <v>0</v>
      </c>
      <c r="AG236" s="88">
        <v>0</v>
      </c>
      <c r="AH236"/>
    </row>
    <row r="237" spans="1:34">
      <c r="B237" s="114">
        <v>218</v>
      </c>
      <c r="C237" s="117">
        <v>51</v>
      </c>
      <c r="D237" s="117"/>
      <c r="E237" s="117" t="s">
        <v>403</v>
      </c>
      <c r="F237" s="117" t="s">
        <v>404</v>
      </c>
      <c r="G237" s="117" t="s">
        <v>408</v>
      </c>
      <c r="H237" s="117" t="s">
        <v>190</v>
      </c>
      <c r="I237" s="120" t="s">
        <v>188</v>
      </c>
      <c r="J237" s="84">
        <v>0</v>
      </c>
      <c r="K237" s="73">
        <v>0</v>
      </c>
      <c r="L237" s="72">
        <v>0</v>
      </c>
      <c r="M237" s="73">
        <v>0</v>
      </c>
      <c r="N237" s="72">
        <v>587</v>
      </c>
      <c r="O237" s="73">
        <v>11563.9</v>
      </c>
      <c r="P237" s="72">
        <v>0</v>
      </c>
      <c r="Q237" s="73">
        <v>0</v>
      </c>
      <c r="R237" s="72">
        <v>584</v>
      </c>
      <c r="S237" s="73">
        <v>11504.8</v>
      </c>
      <c r="T237" s="72">
        <v>0</v>
      </c>
      <c r="U237" s="73">
        <v>0</v>
      </c>
      <c r="V237" s="72">
        <v>283</v>
      </c>
      <c r="W237" s="73">
        <v>5575.1</v>
      </c>
      <c r="X237" s="72">
        <v>591</v>
      </c>
      <c r="Y237" s="73">
        <v>11642.7</v>
      </c>
      <c r="Z237" s="72">
        <v>0</v>
      </c>
      <c r="AA237" s="73">
        <v>0</v>
      </c>
      <c r="AB237" s="72">
        <v>895</v>
      </c>
      <c r="AC237" s="73">
        <v>17631.5</v>
      </c>
      <c r="AD237" s="72">
        <v>0</v>
      </c>
      <c r="AE237" s="73">
        <v>0</v>
      </c>
      <c r="AF237" s="72">
        <v>0</v>
      </c>
      <c r="AG237" s="88">
        <v>0</v>
      </c>
      <c r="AH237"/>
    </row>
    <row r="238" spans="1:34">
      <c r="B238" s="114">
        <v>219</v>
      </c>
      <c r="C238" s="117">
        <v>51</v>
      </c>
      <c r="D238" s="117"/>
      <c r="E238" s="117" t="s">
        <v>403</v>
      </c>
      <c r="F238" s="117" t="s">
        <v>404</v>
      </c>
      <c r="G238" s="117" t="s">
        <v>412</v>
      </c>
      <c r="H238" s="117" t="s">
        <v>178</v>
      </c>
      <c r="I238" s="120" t="s">
        <v>179</v>
      </c>
      <c r="J238" s="84">
        <v>0</v>
      </c>
      <c r="K238" s="73">
        <v>0</v>
      </c>
      <c r="L238" s="72">
        <v>98</v>
      </c>
      <c r="M238" s="73">
        <v>1372</v>
      </c>
      <c r="N238" s="72">
        <v>0</v>
      </c>
      <c r="O238" s="73">
        <v>0</v>
      </c>
      <c r="P238" s="72">
        <v>0</v>
      </c>
      <c r="Q238" s="73">
        <v>0</v>
      </c>
      <c r="R238" s="72">
        <v>199</v>
      </c>
      <c r="S238" s="73">
        <v>2786</v>
      </c>
      <c r="T238" s="72">
        <v>0</v>
      </c>
      <c r="U238" s="73">
        <v>0</v>
      </c>
      <c r="V238" s="72">
        <v>0</v>
      </c>
      <c r="W238" s="73">
        <v>0</v>
      </c>
      <c r="X238" s="72">
        <v>0</v>
      </c>
      <c r="Y238" s="73">
        <v>0</v>
      </c>
      <c r="Z238" s="72">
        <v>0</v>
      </c>
      <c r="AA238" s="73">
        <v>0</v>
      </c>
      <c r="AB238" s="72">
        <v>0</v>
      </c>
      <c r="AC238" s="73">
        <v>0</v>
      </c>
      <c r="AD238" s="72">
        <v>0</v>
      </c>
      <c r="AE238" s="73">
        <v>0</v>
      </c>
      <c r="AF238" s="72">
        <v>0</v>
      </c>
      <c r="AG238" s="88">
        <v>0</v>
      </c>
      <c r="AH238"/>
    </row>
    <row r="239" spans="1:34">
      <c r="B239" s="114">
        <v>220</v>
      </c>
      <c r="C239" s="117">
        <v>51</v>
      </c>
      <c r="D239" s="117"/>
      <c r="E239" s="117" t="s">
        <v>420</v>
      </c>
      <c r="F239" s="117" t="s">
        <v>421</v>
      </c>
      <c r="G239" s="117" t="s">
        <v>437</v>
      </c>
      <c r="H239" s="117" t="s">
        <v>438</v>
      </c>
      <c r="I239" s="120" t="s">
        <v>439</v>
      </c>
      <c r="J239" s="84">
        <v>900</v>
      </c>
      <c r="K239" s="73">
        <v>30987</v>
      </c>
      <c r="L239" s="72">
        <v>3000</v>
      </c>
      <c r="M239" s="73">
        <v>103290</v>
      </c>
      <c r="N239" s="72">
        <v>2550</v>
      </c>
      <c r="O239" s="73">
        <v>87796.5</v>
      </c>
      <c r="P239" s="72">
        <v>1500</v>
      </c>
      <c r="Q239" s="73">
        <v>51645</v>
      </c>
      <c r="R239" s="72">
        <v>1200</v>
      </c>
      <c r="S239" s="73">
        <v>41316</v>
      </c>
      <c r="T239" s="72">
        <v>1800</v>
      </c>
      <c r="U239" s="73">
        <v>61974</v>
      </c>
      <c r="V239" s="72">
        <v>600</v>
      </c>
      <c r="W239" s="73">
        <v>20658</v>
      </c>
      <c r="X239" s="72">
        <v>2400</v>
      </c>
      <c r="Y239" s="73">
        <v>82632</v>
      </c>
      <c r="Z239" s="72">
        <v>2310</v>
      </c>
      <c r="AA239" s="73">
        <v>79533.3</v>
      </c>
      <c r="AB239" s="72">
        <v>0</v>
      </c>
      <c r="AC239" s="73">
        <v>0</v>
      </c>
      <c r="AD239" s="72">
        <v>0</v>
      </c>
      <c r="AE239" s="73">
        <v>0</v>
      </c>
      <c r="AF239" s="72">
        <v>0</v>
      </c>
      <c r="AG239" s="88">
        <v>0</v>
      </c>
      <c r="AH239"/>
    </row>
    <row r="240" spans="1:34">
      <c r="B240" s="114">
        <v>221</v>
      </c>
      <c r="C240" s="117">
        <v>51</v>
      </c>
      <c r="D240" s="117"/>
      <c r="E240" s="117" t="s">
        <v>420</v>
      </c>
      <c r="F240" s="117" t="s">
        <v>421</v>
      </c>
      <c r="G240" s="117" t="s">
        <v>425</v>
      </c>
      <c r="H240" s="117" t="s">
        <v>426</v>
      </c>
      <c r="I240" s="120" t="s">
        <v>427</v>
      </c>
      <c r="J240" s="84">
        <v>0</v>
      </c>
      <c r="K240" s="73">
        <v>0</v>
      </c>
      <c r="L240" s="72">
        <v>0</v>
      </c>
      <c r="M240" s="73">
        <v>0</v>
      </c>
      <c r="N240" s="72">
        <v>200</v>
      </c>
      <c r="O240" s="73">
        <v>16000</v>
      </c>
      <c r="P240" s="72">
        <v>0</v>
      </c>
      <c r="Q240" s="73">
        <v>0</v>
      </c>
      <c r="R240" s="72">
        <v>500</v>
      </c>
      <c r="S240" s="73">
        <v>40000</v>
      </c>
      <c r="T240" s="72">
        <v>200</v>
      </c>
      <c r="U240" s="73">
        <v>16000</v>
      </c>
      <c r="V240" s="72">
        <v>200</v>
      </c>
      <c r="W240" s="73">
        <v>16000</v>
      </c>
      <c r="X240" s="72">
        <v>0</v>
      </c>
      <c r="Y240" s="73">
        <v>0</v>
      </c>
      <c r="Z240" s="72">
        <v>100</v>
      </c>
      <c r="AA240" s="73">
        <v>8000</v>
      </c>
      <c r="AB240" s="72">
        <v>0</v>
      </c>
      <c r="AC240" s="73">
        <v>0</v>
      </c>
      <c r="AD240" s="72">
        <v>0</v>
      </c>
      <c r="AE240" s="73">
        <v>0</v>
      </c>
      <c r="AF240" s="72">
        <v>0</v>
      </c>
      <c r="AG240" s="88">
        <v>0</v>
      </c>
      <c r="AH240"/>
    </row>
    <row r="241" spans="1:34">
      <c r="B241" s="114">
        <v>222</v>
      </c>
      <c r="C241" s="117">
        <v>51</v>
      </c>
      <c r="D241" s="117"/>
      <c r="E241" s="117" t="s">
        <v>420</v>
      </c>
      <c r="F241" s="117" t="s">
        <v>421</v>
      </c>
      <c r="G241" s="117" t="s">
        <v>435</v>
      </c>
      <c r="H241" s="117" t="s">
        <v>362</v>
      </c>
      <c r="I241" s="120" t="s">
        <v>436</v>
      </c>
      <c r="J241" s="84">
        <v>21888</v>
      </c>
      <c r="K241" s="73">
        <v>588568.3199999999</v>
      </c>
      <c r="L241" s="72">
        <v>17280</v>
      </c>
      <c r="M241" s="73">
        <v>464659.2</v>
      </c>
      <c r="N241" s="72">
        <v>20736</v>
      </c>
      <c r="O241" s="73">
        <v>557591.04</v>
      </c>
      <c r="P241" s="72">
        <v>20736</v>
      </c>
      <c r="Q241" s="73">
        <v>557591.04</v>
      </c>
      <c r="R241" s="72">
        <v>31104</v>
      </c>
      <c r="S241" s="73">
        <v>836386.5600000001</v>
      </c>
      <c r="T241" s="72">
        <v>15552</v>
      </c>
      <c r="U241" s="73">
        <v>418193.28</v>
      </c>
      <c r="V241" s="72">
        <v>15552</v>
      </c>
      <c r="W241" s="73">
        <v>418193.28</v>
      </c>
      <c r="X241" s="72">
        <v>20736</v>
      </c>
      <c r="Y241" s="73">
        <v>557591.04</v>
      </c>
      <c r="Z241" s="72">
        <v>10368</v>
      </c>
      <c r="AA241" s="73">
        <v>278795.52</v>
      </c>
      <c r="AB241" s="72">
        <v>0</v>
      </c>
      <c r="AC241" s="73">
        <v>0</v>
      </c>
      <c r="AD241" s="72">
        <v>0</v>
      </c>
      <c r="AE241" s="73">
        <v>0</v>
      </c>
      <c r="AF241" s="72">
        <v>0</v>
      </c>
      <c r="AG241" s="88">
        <v>0</v>
      </c>
      <c r="AH241"/>
    </row>
    <row r="242" spans="1:34">
      <c r="B242" s="114">
        <v>223</v>
      </c>
      <c r="C242" s="117">
        <v>51</v>
      </c>
      <c r="D242" s="117"/>
      <c r="E242" s="117" t="s">
        <v>420</v>
      </c>
      <c r="F242" s="117" t="s">
        <v>421</v>
      </c>
      <c r="G242" s="117" t="s">
        <v>430</v>
      </c>
      <c r="H242" s="117" t="s">
        <v>431</v>
      </c>
      <c r="I242" s="120" t="s">
        <v>432</v>
      </c>
      <c r="J242" s="84">
        <v>1440</v>
      </c>
      <c r="K242" s="73">
        <v>51019.2</v>
      </c>
      <c r="L242" s="72">
        <v>2160</v>
      </c>
      <c r="M242" s="73">
        <v>76528.8</v>
      </c>
      <c r="N242" s="72">
        <v>1680</v>
      </c>
      <c r="O242" s="73">
        <v>59522.4</v>
      </c>
      <c r="P242" s="72">
        <v>2640</v>
      </c>
      <c r="Q242" s="73">
        <v>93535.2</v>
      </c>
      <c r="R242" s="72">
        <v>1800</v>
      </c>
      <c r="S242" s="73">
        <v>63774</v>
      </c>
      <c r="T242" s="72">
        <v>0</v>
      </c>
      <c r="U242" s="73">
        <v>0</v>
      </c>
      <c r="V242" s="72">
        <v>2400</v>
      </c>
      <c r="W242" s="73">
        <v>85032</v>
      </c>
      <c r="X242" s="72">
        <v>1800</v>
      </c>
      <c r="Y242" s="73">
        <v>63774</v>
      </c>
      <c r="Z242" s="72">
        <v>1200</v>
      </c>
      <c r="AA242" s="73">
        <v>42516</v>
      </c>
      <c r="AB242" s="72">
        <v>720</v>
      </c>
      <c r="AC242" s="73">
        <v>25509.6</v>
      </c>
      <c r="AD242" s="72">
        <v>0</v>
      </c>
      <c r="AE242" s="73">
        <v>0</v>
      </c>
      <c r="AF242" s="72">
        <v>0</v>
      </c>
      <c r="AG242" s="88">
        <v>0</v>
      </c>
      <c r="AH242"/>
    </row>
    <row r="243" spans="1:34">
      <c r="B243" s="114">
        <v>224</v>
      </c>
      <c r="C243" s="117">
        <v>51</v>
      </c>
      <c r="D243" s="117"/>
      <c r="E243" s="117" t="s">
        <v>420</v>
      </c>
      <c r="F243" s="117" t="s">
        <v>421</v>
      </c>
      <c r="G243" s="117" t="s">
        <v>433</v>
      </c>
      <c r="H243" s="117" t="s">
        <v>434</v>
      </c>
      <c r="I243" s="120" t="s">
        <v>88</v>
      </c>
      <c r="J243" s="84">
        <v>2520</v>
      </c>
      <c r="K243" s="73">
        <v>59522.4</v>
      </c>
      <c r="L243" s="72">
        <v>5880</v>
      </c>
      <c r="M243" s="73">
        <v>138885.6</v>
      </c>
      <c r="N243" s="72">
        <v>6720</v>
      </c>
      <c r="O243" s="73">
        <v>158726.4</v>
      </c>
      <c r="P243" s="72">
        <v>3360</v>
      </c>
      <c r="Q243" s="73">
        <v>79363.2</v>
      </c>
      <c r="R243" s="72">
        <v>5040</v>
      </c>
      <c r="S243" s="73">
        <v>119044.8</v>
      </c>
      <c r="T243" s="72">
        <v>6720</v>
      </c>
      <c r="U243" s="73">
        <v>158726.4</v>
      </c>
      <c r="V243" s="72">
        <v>6720</v>
      </c>
      <c r="W243" s="73">
        <v>158726.4</v>
      </c>
      <c r="X243" s="72">
        <v>6720</v>
      </c>
      <c r="Y243" s="73">
        <v>158726.4</v>
      </c>
      <c r="Z243" s="72">
        <v>2520</v>
      </c>
      <c r="AA243" s="73">
        <v>59522.4</v>
      </c>
      <c r="AB243" s="72">
        <v>1960</v>
      </c>
      <c r="AC243" s="73">
        <v>46295.2</v>
      </c>
      <c r="AD243" s="72">
        <v>0</v>
      </c>
      <c r="AE243" s="73">
        <v>0</v>
      </c>
      <c r="AF243" s="72">
        <v>0</v>
      </c>
      <c r="AG243" s="88">
        <v>0</v>
      </c>
      <c r="AH243"/>
    </row>
    <row r="244" spans="1:34">
      <c r="B244" s="114">
        <v>225</v>
      </c>
      <c r="C244" s="117">
        <v>51</v>
      </c>
      <c r="D244" s="117"/>
      <c r="E244" s="117" t="s">
        <v>420</v>
      </c>
      <c r="F244" s="117" t="s">
        <v>421</v>
      </c>
      <c r="G244" s="117" t="s">
        <v>422</v>
      </c>
      <c r="H244" s="117" t="s">
        <v>423</v>
      </c>
      <c r="I244" s="120" t="s">
        <v>424</v>
      </c>
      <c r="J244" s="84">
        <v>0</v>
      </c>
      <c r="K244" s="73">
        <v>0</v>
      </c>
      <c r="L244" s="72">
        <v>0</v>
      </c>
      <c r="M244" s="73">
        <v>0</v>
      </c>
      <c r="N244" s="72">
        <v>0</v>
      </c>
      <c r="O244" s="73">
        <v>0</v>
      </c>
      <c r="P244" s="72">
        <v>0</v>
      </c>
      <c r="Q244" s="73">
        <v>0</v>
      </c>
      <c r="R244" s="72">
        <v>0</v>
      </c>
      <c r="S244" s="73">
        <v>0</v>
      </c>
      <c r="T244" s="72">
        <v>0</v>
      </c>
      <c r="U244" s="73">
        <v>0</v>
      </c>
      <c r="V244" s="72">
        <v>0</v>
      </c>
      <c r="W244" s="73">
        <v>0</v>
      </c>
      <c r="X244" s="72">
        <v>200</v>
      </c>
      <c r="Y244" s="73">
        <v>1750</v>
      </c>
      <c r="Z244" s="72">
        <v>0</v>
      </c>
      <c r="AA244" s="73">
        <v>0</v>
      </c>
      <c r="AB244" s="72">
        <v>0</v>
      </c>
      <c r="AC244" s="73">
        <v>0</v>
      </c>
      <c r="AD244" s="72">
        <v>0</v>
      </c>
      <c r="AE244" s="73">
        <v>0</v>
      </c>
      <c r="AF244" s="72">
        <v>0</v>
      </c>
      <c r="AG244" s="88">
        <v>0</v>
      </c>
      <c r="AH244"/>
    </row>
    <row r="245" spans="1:34">
      <c r="B245" s="114">
        <v>226</v>
      </c>
      <c r="C245" s="117">
        <v>51</v>
      </c>
      <c r="D245" s="117"/>
      <c r="E245" s="117" t="s">
        <v>420</v>
      </c>
      <c r="F245" s="117" t="s">
        <v>421</v>
      </c>
      <c r="G245" s="117" t="s">
        <v>440</v>
      </c>
      <c r="H245" s="117" t="s">
        <v>362</v>
      </c>
      <c r="I245" s="120" t="s">
        <v>436</v>
      </c>
      <c r="J245" s="84">
        <v>210</v>
      </c>
      <c r="K245" s="73">
        <v>7140</v>
      </c>
      <c r="L245" s="72">
        <v>210</v>
      </c>
      <c r="M245" s="73">
        <v>7140</v>
      </c>
      <c r="N245" s="72">
        <v>140</v>
      </c>
      <c r="O245" s="73">
        <v>4760</v>
      </c>
      <c r="P245" s="72">
        <v>350</v>
      </c>
      <c r="Q245" s="73">
        <v>11900</v>
      </c>
      <c r="R245" s="72">
        <v>0</v>
      </c>
      <c r="S245" s="73">
        <v>0</v>
      </c>
      <c r="T245" s="72">
        <v>0</v>
      </c>
      <c r="U245" s="73">
        <v>0</v>
      </c>
      <c r="V245" s="72">
        <v>0</v>
      </c>
      <c r="W245" s="73">
        <v>0</v>
      </c>
      <c r="X245" s="72">
        <v>0</v>
      </c>
      <c r="Y245" s="73">
        <v>0</v>
      </c>
      <c r="Z245" s="72">
        <v>10368</v>
      </c>
      <c r="AA245" s="73">
        <v>352512</v>
      </c>
      <c r="AB245" s="72">
        <v>15478</v>
      </c>
      <c r="AC245" s="73">
        <v>416203.42</v>
      </c>
      <c r="AD245" s="72">
        <v>0</v>
      </c>
      <c r="AE245" s="73">
        <v>0</v>
      </c>
      <c r="AF245" s="72">
        <v>0</v>
      </c>
      <c r="AG245" s="88">
        <v>0</v>
      </c>
      <c r="AH245"/>
    </row>
    <row r="246" spans="1:34">
      <c r="B246" s="114">
        <v>227</v>
      </c>
      <c r="C246" s="117">
        <v>51</v>
      </c>
      <c r="D246" s="117"/>
      <c r="E246" s="117" t="s">
        <v>441</v>
      </c>
      <c r="F246" s="117" t="s">
        <v>442</v>
      </c>
      <c r="G246" s="117" t="s">
        <v>494</v>
      </c>
      <c r="H246" s="117" t="s">
        <v>475</v>
      </c>
      <c r="I246" s="120" t="s">
        <v>228</v>
      </c>
      <c r="J246" s="84">
        <v>352</v>
      </c>
      <c r="K246" s="73">
        <v>26143.04</v>
      </c>
      <c r="L246" s="72">
        <v>128</v>
      </c>
      <c r="M246" s="73">
        <v>9506.559999999999</v>
      </c>
      <c r="N246" s="72">
        <v>160</v>
      </c>
      <c r="O246" s="73">
        <v>7936</v>
      </c>
      <c r="P246" s="72">
        <v>0</v>
      </c>
      <c r="Q246" s="73">
        <v>0</v>
      </c>
      <c r="R246" s="72">
        <v>64</v>
      </c>
      <c r="S246" s="73">
        <v>3174.4</v>
      </c>
      <c r="T246" s="72">
        <v>160</v>
      </c>
      <c r="U246" s="73">
        <v>7936</v>
      </c>
      <c r="V246" s="72">
        <v>320</v>
      </c>
      <c r="W246" s="73">
        <v>15872</v>
      </c>
      <c r="X246" s="72">
        <v>320</v>
      </c>
      <c r="Y246" s="73">
        <v>15872</v>
      </c>
      <c r="Z246" s="72">
        <v>320</v>
      </c>
      <c r="AA246" s="73">
        <v>15872</v>
      </c>
      <c r="AB246" s="72">
        <v>192</v>
      </c>
      <c r="AC246" s="73">
        <v>9523.200000000001</v>
      </c>
      <c r="AD246" s="72">
        <v>0</v>
      </c>
      <c r="AE246" s="73">
        <v>0</v>
      </c>
      <c r="AF246" s="72">
        <v>0</v>
      </c>
      <c r="AG246" s="88">
        <v>0</v>
      </c>
      <c r="AH246"/>
    </row>
    <row r="247" spans="1:34">
      <c r="B247" s="114">
        <v>228</v>
      </c>
      <c r="C247" s="117">
        <v>51</v>
      </c>
      <c r="D247" s="117"/>
      <c r="E247" s="117" t="s">
        <v>441</v>
      </c>
      <c r="F247" s="117" t="s">
        <v>442</v>
      </c>
      <c r="G247" s="117" t="s">
        <v>459</v>
      </c>
      <c r="H247" s="117" t="s">
        <v>451</v>
      </c>
      <c r="I247" s="120" t="s">
        <v>460</v>
      </c>
      <c r="J247" s="84">
        <v>1600</v>
      </c>
      <c r="K247" s="73">
        <v>33056</v>
      </c>
      <c r="L247" s="72">
        <v>1000</v>
      </c>
      <c r="M247" s="73">
        <v>20660</v>
      </c>
      <c r="N247" s="72">
        <v>800</v>
      </c>
      <c r="O247" s="73">
        <v>16528</v>
      </c>
      <c r="P247" s="72">
        <v>0</v>
      </c>
      <c r="Q247" s="73">
        <v>0</v>
      </c>
      <c r="R247" s="72">
        <v>2000</v>
      </c>
      <c r="S247" s="73">
        <v>41320</v>
      </c>
      <c r="T247" s="72">
        <v>2000</v>
      </c>
      <c r="U247" s="73">
        <v>41320</v>
      </c>
      <c r="V247" s="72">
        <v>700</v>
      </c>
      <c r="W247" s="73">
        <v>14462</v>
      </c>
      <c r="X247" s="72">
        <v>1200</v>
      </c>
      <c r="Y247" s="73">
        <v>24792</v>
      </c>
      <c r="Z247" s="72">
        <v>1000</v>
      </c>
      <c r="AA247" s="73">
        <v>20660</v>
      </c>
      <c r="AB247" s="72">
        <v>500</v>
      </c>
      <c r="AC247" s="73">
        <v>10330</v>
      </c>
      <c r="AD247" s="72">
        <v>0</v>
      </c>
      <c r="AE247" s="73">
        <v>0</v>
      </c>
      <c r="AF247" s="72">
        <v>0</v>
      </c>
      <c r="AG247" s="88">
        <v>0</v>
      </c>
      <c r="AH247"/>
    </row>
    <row r="248" spans="1:34">
      <c r="B248" s="114">
        <v>229</v>
      </c>
      <c r="C248" s="117">
        <v>51</v>
      </c>
      <c r="D248" s="117"/>
      <c r="E248" s="117" t="s">
        <v>441</v>
      </c>
      <c r="F248" s="117" t="s">
        <v>442</v>
      </c>
      <c r="G248" s="117" t="s">
        <v>495</v>
      </c>
      <c r="H248" s="117" t="s">
        <v>451</v>
      </c>
      <c r="I248" s="120" t="s">
        <v>496</v>
      </c>
      <c r="J248" s="84">
        <v>0</v>
      </c>
      <c r="K248" s="73">
        <v>0</v>
      </c>
      <c r="L248" s="72">
        <v>0</v>
      </c>
      <c r="M248" s="73">
        <v>0</v>
      </c>
      <c r="N248" s="72">
        <v>1000</v>
      </c>
      <c r="O248" s="73">
        <v>132090</v>
      </c>
      <c r="P248" s="72">
        <v>0</v>
      </c>
      <c r="Q248" s="73">
        <v>0</v>
      </c>
      <c r="R248" s="72">
        <v>163</v>
      </c>
      <c r="S248" s="73">
        <v>21530.67</v>
      </c>
      <c r="T248" s="72">
        <v>200</v>
      </c>
      <c r="U248" s="73">
        <v>26418</v>
      </c>
      <c r="V248" s="72">
        <v>200</v>
      </c>
      <c r="W248" s="73">
        <v>26418</v>
      </c>
      <c r="X248" s="72">
        <v>0</v>
      </c>
      <c r="Y248" s="73">
        <v>0</v>
      </c>
      <c r="Z248" s="72">
        <v>0</v>
      </c>
      <c r="AA248" s="73">
        <v>0</v>
      </c>
      <c r="AB248" s="72">
        <v>0</v>
      </c>
      <c r="AC248" s="73">
        <v>0</v>
      </c>
      <c r="AD248" s="72">
        <v>0</v>
      </c>
      <c r="AE248" s="73">
        <v>0</v>
      </c>
      <c r="AF248" s="72">
        <v>0</v>
      </c>
      <c r="AG248" s="88">
        <v>0</v>
      </c>
      <c r="AH248"/>
    </row>
    <row r="249" spans="1:34">
      <c r="B249" s="114">
        <v>230</v>
      </c>
      <c r="C249" s="117">
        <v>51</v>
      </c>
      <c r="D249" s="117"/>
      <c r="E249" s="117" t="s">
        <v>441</v>
      </c>
      <c r="F249" s="117" t="s">
        <v>442</v>
      </c>
      <c r="G249" s="117" t="s">
        <v>461</v>
      </c>
      <c r="H249" s="117" t="s">
        <v>451</v>
      </c>
      <c r="I249" s="120" t="s">
        <v>351</v>
      </c>
      <c r="J249" s="84">
        <v>0</v>
      </c>
      <c r="K249" s="73">
        <v>0</v>
      </c>
      <c r="L249" s="72">
        <v>0</v>
      </c>
      <c r="M249" s="73">
        <v>0</v>
      </c>
      <c r="N249" s="72">
        <v>0</v>
      </c>
      <c r="O249" s="73">
        <v>0</v>
      </c>
      <c r="P249" s="72">
        <v>0</v>
      </c>
      <c r="Q249" s="73">
        <v>0</v>
      </c>
      <c r="R249" s="72">
        <v>0</v>
      </c>
      <c r="S249" s="73">
        <v>0</v>
      </c>
      <c r="T249" s="72">
        <v>0</v>
      </c>
      <c r="U249" s="73">
        <v>0</v>
      </c>
      <c r="V249" s="72">
        <v>7</v>
      </c>
      <c r="W249" s="73">
        <v>672.42</v>
      </c>
      <c r="X249" s="72">
        <v>0</v>
      </c>
      <c r="Y249" s="73">
        <v>0</v>
      </c>
      <c r="Z249" s="72">
        <v>0</v>
      </c>
      <c r="AA249" s="73">
        <v>0</v>
      </c>
      <c r="AB249" s="72">
        <v>0</v>
      </c>
      <c r="AC249" s="73">
        <v>0</v>
      </c>
      <c r="AD249" s="72">
        <v>0</v>
      </c>
      <c r="AE249" s="73">
        <v>0</v>
      </c>
      <c r="AF249" s="72">
        <v>0</v>
      </c>
      <c r="AG249" s="88">
        <v>0</v>
      </c>
      <c r="AH249"/>
    </row>
    <row r="250" spans="1:34">
      <c r="B250" s="114">
        <v>231</v>
      </c>
      <c r="C250" s="117">
        <v>51</v>
      </c>
      <c r="D250" s="117"/>
      <c r="E250" s="117" t="s">
        <v>441</v>
      </c>
      <c r="F250" s="117" t="s">
        <v>442</v>
      </c>
      <c r="G250" s="117" t="s">
        <v>482</v>
      </c>
      <c r="H250" s="117" t="s">
        <v>475</v>
      </c>
      <c r="I250" s="120" t="s">
        <v>293</v>
      </c>
      <c r="J250" s="84">
        <v>22624</v>
      </c>
      <c r="K250" s="73">
        <v>907448.64</v>
      </c>
      <c r="L250" s="72">
        <v>28056</v>
      </c>
      <c r="M250" s="73">
        <v>1125326.16</v>
      </c>
      <c r="N250" s="72">
        <v>24052</v>
      </c>
      <c r="O250" s="73">
        <v>965442.8</v>
      </c>
      <c r="P250" s="72">
        <v>22036</v>
      </c>
      <c r="Q250" s="73">
        <v>886728.64</v>
      </c>
      <c r="R250" s="72">
        <v>23776</v>
      </c>
      <c r="S250" s="73">
        <v>956746.24</v>
      </c>
      <c r="T250" s="72">
        <v>24360</v>
      </c>
      <c r="U250" s="73">
        <v>980246.4</v>
      </c>
      <c r="V250" s="72">
        <v>23520</v>
      </c>
      <c r="W250" s="73">
        <v>946444.8</v>
      </c>
      <c r="X250" s="72">
        <v>27440</v>
      </c>
      <c r="Y250" s="73">
        <v>1104185.6</v>
      </c>
      <c r="Z250" s="72">
        <v>17920</v>
      </c>
      <c r="AA250" s="73">
        <v>725536</v>
      </c>
      <c r="AB250" s="72">
        <v>12064</v>
      </c>
      <c r="AC250" s="73">
        <v>493417.6</v>
      </c>
      <c r="AD250" s="72">
        <v>0</v>
      </c>
      <c r="AE250" s="73">
        <v>0</v>
      </c>
      <c r="AF250" s="72">
        <v>0</v>
      </c>
      <c r="AG250" s="88">
        <v>0</v>
      </c>
      <c r="AH250"/>
    </row>
    <row r="251" spans="1:34">
      <c r="B251" s="114">
        <v>232</v>
      </c>
      <c r="C251" s="117">
        <v>51</v>
      </c>
      <c r="D251" s="117"/>
      <c r="E251" s="117" t="s">
        <v>441</v>
      </c>
      <c r="F251" s="117" t="s">
        <v>442</v>
      </c>
      <c r="G251" s="117" t="s">
        <v>473</v>
      </c>
      <c r="H251" s="117" t="s">
        <v>447</v>
      </c>
      <c r="I251" s="120" t="s">
        <v>211</v>
      </c>
      <c r="J251" s="84">
        <v>3000</v>
      </c>
      <c r="K251" s="73">
        <v>30546</v>
      </c>
      <c r="L251" s="72">
        <v>5400</v>
      </c>
      <c r="M251" s="73">
        <v>54594</v>
      </c>
      <c r="N251" s="72">
        <v>8400</v>
      </c>
      <c r="O251" s="73">
        <v>84924</v>
      </c>
      <c r="P251" s="72">
        <v>2400</v>
      </c>
      <c r="Q251" s="73">
        <v>24264</v>
      </c>
      <c r="R251" s="72">
        <v>6000</v>
      </c>
      <c r="S251" s="73">
        <v>60660</v>
      </c>
      <c r="T251" s="72">
        <v>7200</v>
      </c>
      <c r="U251" s="73">
        <v>72792</v>
      </c>
      <c r="V251" s="72">
        <v>6000</v>
      </c>
      <c r="W251" s="73">
        <v>60660</v>
      </c>
      <c r="X251" s="72">
        <v>6000</v>
      </c>
      <c r="Y251" s="73">
        <v>60660</v>
      </c>
      <c r="Z251" s="72">
        <v>3600</v>
      </c>
      <c r="AA251" s="73">
        <v>36396</v>
      </c>
      <c r="AB251" s="72">
        <v>2400</v>
      </c>
      <c r="AC251" s="73">
        <v>24264</v>
      </c>
      <c r="AD251" s="72">
        <v>0</v>
      </c>
      <c r="AE251" s="73">
        <v>0</v>
      </c>
      <c r="AF251" s="72">
        <v>0</v>
      </c>
      <c r="AG251" s="88">
        <v>0</v>
      </c>
      <c r="AH251"/>
    </row>
    <row r="252" spans="1:34">
      <c r="B252" s="114">
        <v>233</v>
      </c>
      <c r="C252" s="117">
        <v>51</v>
      </c>
      <c r="D252" s="117"/>
      <c r="E252" s="117" t="s">
        <v>441</v>
      </c>
      <c r="F252" s="117" t="s">
        <v>442</v>
      </c>
      <c r="G252" s="117" t="s">
        <v>492</v>
      </c>
      <c r="H252" s="117" t="s">
        <v>451</v>
      </c>
      <c r="I252" s="120" t="s">
        <v>225</v>
      </c>
      <c r="J252" s="84">
        <v>80</v>
      </c>
      <c r="K252" s="73">
        <v>1640</v>
      </c>
      <c r="L252" s="72">
        <v>160</v>
      </c>
      <c r="M252" s="73">
        <v>3280</v>
      </c>
      <c r="N252" s="72">
        <v>5440</v>
      </c>
      <c r="O252" s="73">
        <v>111520</v>
      </c>
      <c r="P252" s="72">
        <v>1960</v>
      </c>
      <c r="Q252" s="73">
        <v>40180</v>
      </c>
      <c r="R252" s="72">
        <v>3640</v>
      </c>
      <c r="S252" s="73">
        <v>74620</v>
      </c>
      <c r="T252" s="72">
        <v>4000</v>
      </c>
      <c r="U252" s="73">
        <v>82000</v>
      </c>
      <c r="V252" s="72">
        <v>5000</v>
      </c>
      <c r="W252" s="73">
        <v>102500</v>
      </c>
      <c r="X252" s="72">
        <v>0</v>
      </c>
      <c r="Y252" s="73">
        <v>0</v>
      </c>
      <c r="Z252" s="72">
        <v>0</v>
      </c>
      <c r="AA252" s="73">
        <v>0</v>
      </c>
      <c r="AB252" s="72">
        <v>200</v>
      </c>
      <c r="AC252" s="73">
        <v>4100</v>
      </c>
      <c r="AD252" s="72">
        <v>0</v>
      </c>
      <c r="AE252" s="73">
        <v>0</v>
      </c>
      <c r="AF252" s="72">
        <v>0</v>
      </c>
      <c r="AG252" s="88">
        <v>0</v>
      </c>
      <c r="AH252"/>
    </row>
    <row r="253" spans="1:34">
      <c r="B253" s="114">
        <v>234</v>
      </c>
      <c r="C253" s="117">
        <v>51</v>
      </c>
      <c r="D253" s="117"/>
      <c r="E253" s="117" t="s">
        <v>441</v>
      </c>
      <c r="F253" s="117" t="s">
        <v>442</v>
      </c>
      <c r="G253" s="117" t="s">
        <v>490</v>
      </c>
      <c r="H253" s="117" t="s">
        <v>451</v>
      </c>
      <c r="I253" s="120" t="s">
        <v>491</v>
      </c>
      <c r="J253" s="84">
        <v>0</v>
      </c>
      <c r="K253" s="73">
        <v>0</v>
      </c>
      <c r="L253" s="72">
        <v>5920</v>
      </c>
      <c r="M253" s="73">
        <v>113131.2</v>
      </c>
      <c r="N253" s="72">
        <v>7120</v>
      </c>
      <c r="O253" s="73">
        <v>136063.2</v>
      </c>
      <c r="P253" s="72">
        <v>5120</v>
      </c>
      <c r="Q253" s="73">
        <v>97843.2</v>
      </c>
      <c r="R253" s="72">
        <v>6160</v>
      </c>
      <c r="S253" s="73">
        <v>117717.6</v>
      </c>
      <c r="T253" s="72">
        <v>3200</v>
      </c>
      <c r="U253" s="73">
        <v>61152</v>
      </c>
      <c r="V253" s="72">
        <v>8000</v>
      </c>
      <c r="W253" s="73">
        <v>152880</v>
      </c>
      <c r="X253" s="72">
        <v>2400</v>
      </c>
      <c r="Y253" s="73">
        <v>45864</v>
      </c>
      <c r="Z253" s="72">
        <v>0</v>
      </c>
      <c r="AA253" s="73">
        <v>0</v>
      </c>
      <c r="AB253" s="72">
        <v>640</v>
      </c>
      <c r="AC253" s="73">
        <v>12230.4</v>
      </c>
      <c r="AD253" s="72">
        <v>0</v>
      </c>
      <c r="AE253" s="73">
        <v>0</v>
      </c>
      <c r="AF253" s="72">
        <v>0</v>
      </c>
      <c r="AG253" s="88">
        <v>0</v>
      </c>
      <c r="AH253"/>
    </row>
    <row r="254" spans="1:34">
      <c r="B254" s="114">
        <v>235</v>
      </c>
      <c r="C254" s="117">
        <v>51</v>
      </c>
      <c r="D254" s="117"/>
      <c r="E254" s="117" t="s">
        <v>441</v>
      </c>
      <c r="F254" s="117" t="s">
        <v>442</v>
      </c>
      <c r="G254" s="117" t="s">
        <v>456</v>
      </c>
      <c r="H254" s="117" t="s">
        <v>457</v>
      </c>
      <c r="I254" s="120" t="s">
        <v>458</v>
      </c>
      <c r="J254" s="84">
        <v>1560</v>
      </c>
      <c r="K254" s="73">
        <v>44366.4</v>
      </c>
      <c r="L254" s="72">
        <v>3180</v>
      </c>
      <c r="M254" s="73">
        <v>90439.2</v>
      </c>
      <c r="N254" s="72">
        <v>2040</v>
      </c>
      <c r="O254" s="73">
        <v>58017.6</v>
      </c>
      <c r="P254" s="72">
        <v>3600</v>
      </c>
      <c r="Q254" s="73">
        <v>102384</v>
      </c>
      <c r="R254" s="72">
        <v>3540</v>
      </c>
      <c r="S254" s="73">
        <v>100677.6</v>
      </c>
      <c r="T254" s="72">
        <v>1552</v>
      </c>
      <c r="U254" s="73">
        <v>44138.88</v>
      </c>
      <c r="V254" s="72">
        <v>2640</v>
      </c>
      <c r="W254" s="73">
        <v>75081.60000000001</v>
      </c>
      <c r="X254" s="72">
        <v>4260</v>
      </c>
      <c r="Y254" s="73">
        <v>121154.4</v>
      </c>
      <c r="Z254" s="72">
        <v>1200</v>
      </c>
      <c r="AA254" s="73">
        <v>34128</v>
      </c>
      <c r="AB254" s="72">
        <v>1380</v>
      </c>
      <c r="AC254" s="73">
        <v>39247.2</v>
      </c>
      <c r="AD254" s="72">
        <v>0</v>
      </c>
      <c r="AE254" s="73">
        <v>0</v>
      </c>
      <c r="AF254" s="72">
        <v>0</v>
      </c>
      <c r="AG254" s="88">
        <v>0</v>
      </c>
      <c r="AH254"/>
    </row>
    <row r="255" spans="1:34">
      <c r="B255" s="114">
        <v>236</v>
      </c>
      <c r="C255" s="117">
        <v>51</v>
      </c>
      <c r="D255" s="117"/>
      <c r="E255" s="117" t="s">
        <v>441</v>
      </c>
      <c r="F255" s="117" t="s">
        <v>442</v>
      </c>
      <c r="G255" s="117" t="s">
        <v>472</v>
      </c>
      <c r="H255" s="117" t="s">
        <v>451</v>
      </c>
      <c r="I255" s="120" t="s">
        <v>469</v>
      </c>
      <c r="J255" s="84">
        <v>0</v>
      </c>
      <c r="K255" s="73">
        <v>0</v>
      </c>
      <c r="L255" s="72">
        <v>0</v>
      </c>
      <c r="M255" s="73">
        <v>0</v>
      </c>
      <c r="N255" s="72">
        <v>0</v>
      </c>
      <c r="O255" s="73">
        <v>0</v>
      </c>
      <c r="P255" s="72">
        <v>0</v>
      </c>
      <c r="Q255" s="73">
        <v>0</v>
      </c>
      <c r="R255" s="72">
        <v>0</v>
      </c>
      <c r="S255" s="73">
        <v>0</v>
      </c>
      <c r="T255" s="72">
        <v>0</v>
      </c>
      <c r="U255" s="73">
        <v>0</v>
      </c>
      <c r="V255" s="72">
        <v>0</v>
      </c>
      <c r="W255" s="73">
        <v>0</v>
      </c>
      <c r="X255" s="72">
        <v>0</v>
      </c>
      <c r="Y255" s="73">
        <v>0</v>
      </c>
      <c r="Z255" s="72">
        <v>150</v>
      </c>
      <c r="AA255" s="73">
        <v>6385.5</v>
      </c>
      <c r="AB255" s="72">
        <v>0</v>
      </c>
      <c r="AC255" s="73">
        <v>0</v>
      </c>
      <c r="AD255" s="72">
        <v>0</v>
      </c>
      <c r="AE255" s="73">
        <v>0</v>
      </c>
      <c r="AF255" s="72">
        <v>0</v>
      </c>
      <c r="AG255" s="88">
        <v>0</v>
      </c>
      <c r="AH255"/>
    </row>
    <row r="256" spans="1:34">
      <c r="B256" s="114">
        <v>237</v>
      </c>
      <c r="C256" s="117">
        <v>51</v>
      </c>
      <c r="D256" s="117"/>
      <c r="E256" s="117" t="s">
        <v>441</v>
      </c>
      <c r="F256" s="117" t="s">
        <v>442</v>
      </c>
      <c r="G256" s="117" t="s">
        <v>488</v>
      </c>
      <c r="H256" s="117" t="s">
        <v>489</v>
      </c>
      <c r="I256" s="120" t="s">
        <v>318</v>
      </c>
      <c r="J256" s="84">
        <v>3500</v>
      </c>
      <c r="K256" s="73">
        <v>91105</v>
      </c>
      <c r="L256" s="72">
        <v>3700</v>
      </c>
      <c r="M256" s="73">
        <v>96311</v>
      </c>
      <c r="N256" s="72">
        <v>4900</v>
      </c>
      <c r="O256" s="73">
        <v>127672</v>
      </c>
      <c r="P256" s="72">
        <v>4300</v>
      </c>
      <c r="Q256" s="73">
        <v>112144</v>
      </c>
      <c r="R256" s="72">
        <v>3000</v>
      </c>
      <c r="S256" s="73">
        <v>78240</v>
      </c>
      <c r="T256" s="72">
        <v>4000</v>
      </c>
      <c r="U256" s="73">
        <v>104320</v>
      </c>
      <c r="V256" s="72">
        <v>6400</v>
      </c>
      <c r="W256" s="73">
        <v>166912</v>
      </c>
      <c r="X256" s="72">
        <v>7200</v>
      </c>
      <c r="Y256" s="73">
        <v>187776</v>
      </c>
      <c r="Z256" s="72">
        <v>5600</v>
      </c>
      <c r="AA256" s="73">
        <v>146696</v>
      </c>
      <c r="AB256" s="72">
        <v>3600</v>
      </c>
      <c r="AC256" s="73">
        <v>94860</v>
      </c>
      <c r="AD256" s="72">
        <v>0</v>
      </c>
      <c r="AE256" s="73">
        <v>0</v>
      </c>
      <c r="AF256" s="72">
        <v>0</v>
      </c>
      <c r="AG256" s="88">
        <v>0</v>
      </c>
      <c r="AH256"/>
    </row>
    <row r="257" spans="1:34">
      <c r="B257" s="114">
        <v>238</v>
      </c>
      <c r="C257" s="117">
        <v>51</v>
      </c>
      <c r="D257" s="117"/>
      <c r="E257" s="117" t="s">
        <v>441</v>
      </c>
      <c r="F257" s="117" t="s">
        <v>442</v>
      </c>
      <c r="G257" s="117" t="s">
        <v>448</v>
      </c>
      <c r="H257" s="117" t="s">
        <v>426</v>
      </c>
      <c r="I257" s="120" t="s">
        <v>449</v>
      </c>
      <c r="J257" s="84">
        <v>600</v>
      </c>
      <c r="K257" s="73">
        <v>14862</v>
      </c>
      <c r="L257" s="72">
        <v>4450</v>
      </c>
      <c r="M257" s="73">
        <v>110226.5</v>
      </c>
      <c r="N257" s="72">
        <v>8250</v>
      </c>
      <c r="O257" s="73">
        <v>204465</v>
      </c>
      <c r="P257" s="72">
        <v>4900</v>
      </c>
      <c r="Q257" s="73">
        <v>121618</v>
      </c>
      <c r="R257" s="72">
        <v>5000</v>
      </c>
      <c r="S257" s="73">
        <v>124100</v>
      </c>
      <c r="T257" s="72">
        <v>6000</v>
      </c>
      <c r="U257" s="73">
        <v>148920</v>
      </c>
      <c r="V257" s="72">
        <v>7000</v>
      </c>
      <c r="W257" s="73">
        <v>173740</v>
      </c>
      <c r="X257" s="72">
        <v>1000</v>
      </c>
      <c r="Y257" s="73">
        <v>24820</v>
      </c>
      <c r="Z257" s="72">
        <v>0</v>
      </c>
      <c r="AA257" s="73">
        <v>0</v>
      </c>
      <c r="AB257" s="72">
        <v>1000</v>
      </c>
      <c r="AC257" s="73">
        <v>25090</v>
      </c>
      <c r="AD257" s="72">
        <v>0</v>
      </c>
      <c r="AE257" s="73">
        <v>0</v>
      </c>
      <c r="AF257" s="72">
        <v>0</v>
      </c>
      <c r="AG257" s="88">
        <v>0</v>
      </c>
      <c r="AH257"/>
    </row>
    <row r="258" spans="1:34">
      <c r="B258" s="114">
        <v>239</v>
      </c>
      <c r="C258" s="117">
        <v>51</v>
      </c>
      <c r="D258" s="117"/>
      <c r="E258" s="117" t="s">
        <v>441</v>
      </c>
      <c r="F258" s="117" t="s">
        <v>442</v>
      </c>
      <c r="G258" s="117" t="s">
        <v>450</v>
      </c>
      <c r="H258" s="117" t="s">
        <v>451</v>
      </c>
      <c r="I258" s="120" t="s">
        <v>452</v>
      </c>
      <c r="J258" s="84">
        <v>11720</v>
      </c>
      <c r="K258" s="73">
        <v>192676.8</v>
      </c>
      <c r="L258" s="72">
        <v>13200</v>
      </c>
      <c r="M258" s="73">
        <v>217008</v>
      </c>
      <c r="N258" s="72">
        <v>12480</v>
      </c>
      <c r="O258" s="73">
        <v>205171.2</v>
      </c>
      <c r="P258" s="72">
        <v>10760</v>
      </c>
      <c r="Q258" s="73">
        <v>176894.4</v>
      </c>
      <c r="R258" s="72">
        <v>11080</v>
      </c>
      <c r="S258" s="73">
        <v>182155.2</v>
      </c>
      <c r="T258" s="72">
        <v>14600</v>
      </c>
      <c r="U258" s="73">
        <v>240024</v>
      </c>
      <c r="V258" s="72">
        <v>11000</v>
      </c>
      <c r="W258" s="73">
        <v>180840</v>
      </c>
      <c r="X258" s="72">
        <v>13600</v>
      </c>
      <c r="Y258" s="73">
        <v>223584</v>
      </c>
      <c r="Z258" s="72">
        <v>8400</v>
      </c>
      <c r="AA258" s="73">
        <v>138096</v>
      </c>
      <c r="AB258" s="72">
        <v>4800</v>
      </c>
      <c r="AC258" s="73">
        <v>78912</v>
      </c>
      <c r="AD258" s="72">
        <v>0</v>
      </c>
      <c r="AE258" s="73">
        <v>0</v>
      </c>
      <c r="AF258" s="72">
        <v>0</v>
      </c>
      <c r="AG258" s="88">
        <v>0</v>
      </c>
      <c r="AH258"/>
    </row>
    <row r="259" spans="1:34">
      <c r="B259" s="114">
        <v>240</v>
      </c>
      <c r="C259" s="117">
        <v>51</v>
      </c>
      <c r="D259" s="117"/>
      <c r="E259" s="117" t="s">
        <v>441</v>
      </c>
      <c r="F259" s="117" t="s">
        <v>442</v>
      </c>
      <c r="G259" s="117" t="s">
        <v>446</v>
      </c>
      <c r="H259" s="117" t="s">
        <v>447</v>
      </c>
      <c r="I259" s="120" t="s">
        <v>225</v>
      </c>
      <c r="J259" s="84">
        <v>26000</v>
      </c>
      <c r="K259" s="73">
        <v>221260</v>
      </c>
      <c r="L259" s="72">
        <v>41000</v>
      </c>
      <c r="M259" s="73">
        <v>348910</v>
      </c>
      <c r="N259" s="72">
        <v>36000</v>
      </c>
      <c r="O259" s="73">
        <v>306360</v>
      </c>
      <c r="P259" s="72">
        <v>30000</v>
      </c>
      <c r="Q259" s="73">
        <v>255300</v>
      </c>
      <c r="R259" s="72">
        <v>30000</v>
      </c>
      <c r="S259" s="73">
        <v>255300</v>
      </c>
      <c r="T259" s="72">
        <v>37000</v>
      </c>
      <c r="U259" s="73">
        <v>314870</v>
      </c>
      <c r="V259" s="72">
        <v>33000</v>
      </c>
      <c r="W259" s="73">
        <v>280830</v>
      </c>
      <c r="X259" s="72">
        <v>34000</v>
      </c>
      <c r="Y259" s="73">
        <v>289340</v>
      </c>
      <c r="Z259" s="72">
        <v>23000</v>
      </c>
      <c r="AA259" s="73">
        <v>195730</v>
      </c>
      <c r="AB259" s="72">
        <v>16000</v>
      </c>
      <c r="AC259" s="73">
        <v>136160</v>
      </c>
      <c r="AD259" s="72">
        <v>0</v>
      </c>
      <c r="AE259" s="73">
        <v>0</v>
      </c>
      <c r="AF259" s="72">
        <v>0</v>
      </c>
      <c r="AG259" s="88">
        <v>0</v>
      </c>
      <c r="AH259"/>
    </row>
    <row r="260" spans="1:34">
      <c r="B260" s="114">
        <v>241</v>
      </c>
      <c r="C260" s="117">
        <v>51</v>
      </c>
      <c r="D260" s="117"/>
      <c r="E260" s="117" t="s">
        <v>441</v>
      </c>
      <c r="F260" s="117" t="s">
        <v>442</v>
      </c>
      <c r="G260" s="117" t="s">
        <v>443</v>
      </c>
      <c r="H260" s="117" t="s">
        <v>444</v>
      </c>
      <c r="I260" s="120" t="s">
        <v>445</v>
      </c>
      <c r="J260" s="84">
        <v>0</v>
      </c>
      <c r="K260" s="73">
        <v>0</v>
      </c>
      <c r="L260" s="72">
        <v>0</v>
      </c>
      <c r="M260" s="73">
        <v>0</v>
      </c>
      <c r="N260" s="72">
        <v>100</v>
      </c>
      <c r="O260" s="73">
        <v>13995</v>
      </c>
      <c r="P260" s="72">
        <v>0</v>
      </c>
      <c r="Q260" s="73">
        <v>0</v>
      </c>
      <c r="R260" s="72">
        <v>0</v>
      </c>
      <c r="S260" s="73">
        <v>0</v>
      </c>
      <c r="T260" s="72">
        <v>0</v>
      </c>
      <c r="U260" s="73">
        <v>0</v>
      </c>
      <c r="V260" s="72">
        <v>0</v>
      </c>
      <c r="W260" s="73">
        <v>0</v>
      </c>
      <c r="X260" s="72">
        <v>0</v>
      </c>
      <c r="Y260" s="73">
        <v>0</v>
      </c>
      <c r="Z260" s="72">
        <v>0</v>
      </c>
      <c r="AA260" s="73">
        <v>0</v>
      </c>
      <c r="AB260" s="72">
        <v>0</v>
      </c>
      <c r="AC260" s="73">
        <v>0</v>
      </c>
      <c r="AD260" s="72">
        <v>0</v>
      </c>
      <c r="AE260" s="73">
        <v>0</v>
      </c>
      <c r="AF260" s="72">
        <v>0</v>
      </c>
      <c r="AG260" s="88">
        <v>0</v>
      </c>
      <c r="AH260"/>
    </row>
    <row r="261" spans="1:34">
      <c r="B261" s="114">
        <v>242</v>
      </c>
      <c r="C261" s="117">
        <v>51</v>
      </c>
      <c r="D261" s="117"/>
      <c r="E261" s="117" t="s">
        <v>441</v>
      </c>
      <c r="F261" s="117" t="s">
        <v>442</v>
      </c>
      <c r="G261" s="117" t="s">
        <v>470</v>
      </c>
      <c r="H261" s="117" t="s">
        <v>451</v>
      </c>
      <c r="I261" s="120" t="s">
        <v>471</v>
      </c>
      <c r="J261" s="84">
        <v>540</v>
      </c>
      <c r="K261" s="73">
        <v>18937.8</v>
      </c>
      <c r="L261" s="72">
        <v>390</v>
      </c>
      <c r="M261" s="73">
        <v>13677.3</v>
      </c>
      <c r="N261" s="72">
        <v>300</v>
      </c>
      <c r="O261" s="73">
        <v>10521</v>
      </c>
      <c r="P261" s="72">
        <v>300</v>
      </c>
      <c r="Q261" s="73">
        <v>10521</v>
      </c>
      <c r="R261" s="72">
        <v>900</v>
      </c>
      <c r="S261" s="73">
        <v>31563</v>
      </c>
      <c r="T261" s="72">
        <v>500</v>
      </c>
      <c r="U261" s="73">
        <v>17535</v>
      </c>
      <c r="V261" s="72">
        <v>0</v>
      </c>
      <c r="W261" s="73">
        <v>0</v>
      </c>
      <c r="X261" s="72">
        <v>600</v>
      </c>
      <c r="Y261" s="73">
        <v>21042</v>
      </c>
      <c r="Z261" s="72">
        <v>1200</v>
      </c>
      <c r="AA261" s="73">
        <v>42084</v>
      </c>
      <c r="AB261" s="72">
        <v>0</v>
      </c>
      <c r="AC261" s="73">
        <v>0</v>
      </c>
      <c r="AD261" s="72">
        <v>0</v>
      </c>
      <c r="AE261" s="73">
        <v>0</v>
      </c>
      <c r="AF261" s="72">
        <v>0</v>
      </c>
      <c r="AG261" s="88">
        <v>0</v>
      </c>
      <c r="AH261"/>
    </row>
    <row r="262" spans="1:34">
      <c r="B262" s="114">
        <v>243</v>
      </c>
      <c r="C262" s="117">
        <v>51</v>
      </c>
      <c r="D262" s="117"/>
      <c r="E262" s="117" t="s">
        <v>441</v>
      </c>
      <c r="F262" s="117" t="s">
        <v>442</v>
      </c>
      <c r="G262" s="117" t="s">
        <v>487</v>
      </c>
      <c r="H262" s="117" t="s">
        <v>475</v>
      </c>
      <c r="I262" s="120" t="s">
        <v>225</v>
      </c>
      <c r="J262" s="84">
        <v>100</v>
      </c>
      <c r="K262" s="73">
        <v>2983</v>
      </c>
      <c r="L262" s="72">
        <v>100</v>
      </c>
      <c r="M262" s="73">
        <v>2983</v>
      </c>
      <c r="N262" s="72">
        <v>600</v>
      </c>
      <c r="O262" s="73">
        <v>17898</v>
      </c>
      <c r="P262" s="72">
        <v>0</v>
      </c>
      <c r="Q262" s="73">
        <v>0</v>
      </c>
      <c r="R262" s="72">
        <v>100</v>
      </c>
      <c r="S262" s="73">
        <v>2983</v>
      </c>
      <c r="T262" s="72">
        <v>100</v>
      </c>
      <c r="U262" s="73">
        <v>2983</v>
      </c>
      <c r="V262" s="72">
        <v>0</v>
      </c>
      <c r="W262" s="73">
        <v>0</v>
      </c>
      <c r="X262" s="72">
        <v>400</v>
      </c>
      <c r="Y262" s="73">
        <v>11932</v>
      </c>
      <c r="Z262" s="72">
        <v>200</v>
      </c>
      <c r="AA262" s="73">
        <v>5966</v>
      </c>
      <c r="AB262" s="72">
        <v>0</v>
      </c>
      <c r="AC262" s="73">
        <v>0</v>
      </c>
      <c r="AD262" s="72">
        <v>0</v>
      </c>
      <c r="AE262" s="73">
        <v>0</v>
      </c>
      <c r="AF262" s="72">
        <v>0</v>
      </c>
      <c r="AG262" s="88">
        <v>0</v>
      </c>
      <c r="AH262"/>
    </row>
    <row r="263" spans="1:34">
      <c r="B263" s="114">
        <v>244</v>
      </c>
      <c r="C263" s="117">
        <v>51</v>
      </c>
      <c r="D263" s="117"/>
      <c r="E263" s="117" t="s">
        <v>441</v>
      </c>
      <c r="F263" s="117" t="s">
        <v>442</v>
      </c>
      <c r="G263" s="117" t="s">
        <v>463</v>
      </c>
      <c r="H263" s="117" t="s">
        <v>464</v>
      </c>
      <c r="I263" s="120" t="s">
        <v>290</v>
      </c>
      <c r="J263" s="84">
        <v>7360</v>
      </c>
      <c r="K263" s="73">
        <v>135176</v>
      </c>
      <c r="L263" s="72">
        <v>11760</v>
      </c>
      <c r="M263" s="73">
        <v>216384</v>
      </c>
      <c r="N263" s="72">
        <v>9360</v>
      </c>
      <c r="O263" s="73">
        <v>172224</v>
      </c>
      <c r="P263" s="72">
        <v>8080</v>
      </c>
      <c r="Q263" s="73">
        <v>148672</v>
      </c>
      <c r="R263" s="72">
        <v>9920</v>
      </c>
      <c r="S263" s="73">
        <v>182528</v>
      </c>
      <c r="T263" s="72">
        <v>11200</v>
      </c>
      <c r="U263" s="73">
        <v>206080</v>
      </c>
      <c r="V263" s="72">
        <v>11200</v>
      </c>
      <c r="W263" s="73">
        <v>206080</v>
      </c>
      <c r="X263" s="72">
        <v>11200</v>
      </c>
      <c r="Y263" s="73">
        <v>206080</v>
      </c>
      <c r="Z263" s="72">
        <v>4800</v>
      </c>
      <c r="AA263" s="73">
        <v>88320</v>
      </c>
      <c r="AB263" s="72">
        <v>3200</v>
      </c>
      <c r="AC263" s="73">
        <v>59744</v>
      </c>
      <c r="AD263" s="72">
        <v>0</v>
      </c>
      <c r="AE263" s="73">
        <v>0</v>
      </c>
      <c r="AF263" s="72">
        <v>0</v>
      </c>
      <c r="AG263" s="88">
        <v>0</v>
      </c>
      <c r="AH263"/>
    </row>
    <row r="264" spans="1:34">
      <c r="B264" s="114">
        <v>245</v>
      </c>
      <c r="C264" s="117">
        <v>51</v>
      </c>
      <c r="D264" s="117"/>
      <c r="E264" s="117" t="s">
        <v>441</v>
      </c>
      <c r="F264" s="117" t="s">
        <v>442</v>
      </c>
      <c r="G264" s="117" t="s">
        <v>465</v>
      </c>
      <c r="H264" s="117" t="s">
        <v>451</v>
      </c>
      <c r="I264" s="120" t="s">
        <v>351</v>
      </c>
      <c r="J264" s="84">
        <v>13560</v>
      </c>
      <c r="K264" s="73">
        <v>177500.4</v>
      </c>
      <c r="L264" s="72">
        <v>18000</v>
      </c>
      <c r="M264" s="73">
        <v>235620</v>
      </c>
      <c r="N264" s="72">
        <v>15360</v>
      </c>
      <c r="O264" s="73">
        <v>201062.4</v>
      </c>
      <c r="P264" s="72">
        <v>12360</v>
      </c>
      <c r="Q264" s="73">
        <v>161792.4</v>
      </c>
      <c r="R264" s="72">
        <v>12000</v>
      </c>
      <c r="S264" s="73">
        <v>157080</v>
      </c>
      <c r="T264" s="72">
        <v>14400</v>
      </c>
      <c r="U264" s="73">
        <v>188496</v>
      </c>
      <c r="V264" s="72">
        <v>14400</v>
      </c>
      <c r="W264" s="73">
        <v>188496</v>
      </c>
      <c r="X264" s="72">
        <v>18000</v>
      </c>
      <c r="Y264" s="73">
        <v>235620</v>
      </c>
      <c r="Z264" s="72">
        <v>11760</v>
      </c>
      <c r="AA264" s="73">
        <v>153938.4</v>
      </c>
      <c r="AB264" s="72">
        <v>5100</v>
      </c>
      <c r="AC264" s="73">
        <v>66759</v>
      </c>
      <c r="AD264" s="72">
        <v>0</v>
      </c>
      <c r="AE264" s="73">
        <v>0</v>
      </c>
      <c r="AF264" s="72">
        <v>0</v>
      </c>
      <c r="AG264" s="88">
        <v>0</v>
      </c>
      <c r="AH264"/>
    </row>
    <row r="265" spans="1:34">
      <c r="B265" s="114">
        <v>246</v>
      </c>
      <c r="C265" s="117">
        <v>51</v>
      </c>
      <c r="D265" s="117"/>
      <c r="E265" s="117" t="s">
        <v>441</v>
      </c>
      <c r="F265" s="117" t="s">
        <v>442</v>
      </c>
      <c r="G265" s="117" t="s">
        <v>466</v>
      </c>
      <c r="H265" s="117" t="s">
        <v>451</v>
      </c>
      <c r="I265" s="120" t="s">
        <v>467</v>
      </c>
      <c r="J265" s="84">
        <v>0</v>
      </c>
      <c r="K265" s="73">
        <v>0</v>
      </c>
      <c r="L265" s="72">
        <v>80</v>
      </c>
      <c r="M265" s="73">
        <v>2459.2</v>
      </c>
      <c r="N265" s="72">
        <v>80</v>
      </c>
      <c r="O265" s="73">
        <v>2459.2</v>
      </c>
      <c r="P265" s="72">
        <v>0</v>
      </c>
      <c r="Q265" s="73">
        <v>0</v>
      </c>
      <c r="R265" s="72">
        <v>80</v>
      </c>
      <c r="S265" s="73">
        <v>2459.2</v>
      </c>
      <c r="T265" s="72">
        <v>0</v>
      </c>
      <c r="U265" s="73">
        <v>0</v>
      </c>
      <c r="V265" s="72">
        <v>160</v>
      </c>
      <c r="W265" s="73">
        <v>4918.4</v>
      </c>
      <c r="X265" s="72">
        <v>80</v>
      </c>
      <c r="Y265" s="73">
        <v>2459.2</v>
      </c>
      <c r="Z265" s="72">
        <v>80</v>
      </c>
      <c r="AA265" s="73">
        <v>2459.2</v>
      </c>
      <c r="AB265" s="72">
        <v>0</v>
      </c>
      <c r="AC265" s="73">
        <v>0</v>
      </c>
      <c r="AD265" s="72">
        <v>0</v>
      </c>
      <c r="AE265" s="73">
        <v>0</v>
      </c>
      <c r="AF265" s="72">
        <v>0</v>
      </c>
      <c r="AG265" s="88">
        <v>0</v>
      </c>
      <c r="AH265"/>
    </row>
    <row r="266" spans="1:34">
      <c r="B266" s="114">
        <v>247</v>
      </c>
      <c r="C266" s="117">
        <v>51</v>
      </c>
      <c r="D266" s="117"/>
      <c r="E266" s="117" t="s">
        <v>441</v>
      </c>
      <c r="F266" s="117" t="s">
        <v>442</v>
      </c>
      <c r="G266" s="117" t="s">
        <v>462</v>
      </c>
      <c r="H266" s="117" t="s">
        <v>454</v>
      </c>
      <c r="I266" s="120" t="s">
        <v>455</v>
      </c>
      <c r="J266" s="84">
        <v>920</v>
      </c>
      <c r="K266" s="73">
        <v>33451.2</v>
      </c>
      <c r="L266" s="72">
        <v>1080</v>
      </c>
      <c r="M266" s="73">
        <v>39268.8</v>
      </c>
      <c r="N266" s="72">
        <v>560</v>
      </c>
      <c r="O266" s="73">
        <v>20361.6</v>
      </c>
      <c r="P266" s="72">
        <v>100</v>
      </c>
      <c r="Q266" s="73">
        <v>3636</v>
      </c>
      <c r="R266" s="72">
        <v>0</v>
      </c>
      <c r="S266" s="73">
        <v>0</v>
      </c>
      <c r="T266" s="72">
        <v>0</v>
      </c>
      <c r="U266" s="73">
        <v>0</v>
      </c>
      <c r="V266" s="72">
        <v>0</v>
      </c>
      <c r="W266" s="73">
        <v>0</v>
      </c>
      <c r="X266" s="72">
        <v>0</v>
      </c>
      <c r="Y266" s="73">
        <v>0</v>
      </c>
      <c r="Z266" s="72">
        <v>0</v>
      </c>
      <c r="AA266" s="73">
        <v>0</v>
      </c>
      <c r="AB266" s="72">
        <v>0</v>
      </c>
      <c r="AC266" s="73">
        <v>0</v>
      </c>
      <c r="AD266" s="72">
        <v>0</v>
      </c>
      <c r="AE266" s="73">
        <v>0</v>
      </c>
      <c r="AF266" s="72">
        <v>0</v>
      </c>
      <c r="AG266" s="88">
        <v>0</v>
      </c>
      <c r="AH266"/>
    </row>
    <row r="267" spans="1:34">
      <c r="B267" s="114">
        <v>248</v>
      </c>
      <c r="C267" s="117">
        <v>51</v>
      </c>
      <c r="D267" s="117"/>
      <c r="E267" s="117" t="s">
        <v>441</v>
      </c>
      <c r="F267" s="117" t="s">
        <v>442</v>
      </c>
      <c r="G267" s="117" t="s">
        <v>468</v>
      </c>
      <c r="H267" s="117" t="s">
        <v>426</v>
      </c>
      <c r="I267" s="120" t="s">
        <v>469</v>
      </c>
      <c r="J267" s="84">
        <v>540</v>
      </c>
      <c r="K267" s="73">
        <v>33706.8</v>
      </c>
      <c r="L267" s="72">
        <v>120</v>
      </c>
      <c r="M267" s="73">
        <v>7490.4</v>
      </c>
      <c r="N267" s="72">
        <v>600</v>
      </c>
      <c r="O267" s="73">
        <v>25008</v>
      </c>
      <c r="P267" s="72">
        <v>540</v>
      </c>
      <c r="Q267" s="73">
        <v>22507.2</v>
      </c>
      <c r="R267" s="72">
        <v>600</v>
      </c>
      <c r="S267" s="73">
        <v>25008</v>
      </c>
      <c r="T267" s="72">
        <v>900</v>
      </c>
      <c r="U267" s="73">
        <v>37512</v>
      </c>
      <c r="V267" s="72">
        <v>0</v>
      </c>
      <c r="W267" s="73">
        <v>0</v>
      </c>
      <c r="X267" s="72">
        <v>0</v>
      </c>
      <c r="Y267" s="73">
        <v>0</v>
      </c>
      <c r="Z267" s="72">
        <v>1500</v>
      </c>
      <c r="AA267" s="73">
        <v>62520</v>
      </c>
      <c r="AB267" s="72">
        <v>60</v>
      </c>
      <c r="AC267" s="73">
        <v>2500.8</v>
      </c>
      <c r="AD267" s="72">
        <v>0</v>
      </c>
      <c r="AE267" s="73">
        <v>0</v>
      </c>
      <c r="AF267" s="72">
        <v>0</v>
      </c>
      <c r="AG267" s="88">
        <v>0</v>
      </c>
      <c r="AH267"/>
    </row>
    <row r="268" spans="1:34">
      <c r="B268" s="114">
        <v>249</v>
      </c>
      <c r="C268" s="117">
        <v>51</v>
      </c>
      <c r="D268" s="117"/>
      <c r="E268" s="117" t="s">
        <v>441</v>
      </c>
      <c r="F268" s="117" t="s">
        <v>442</v>
      </c>
      <c r="G268" s="117" t="s">
        <v>483</v>
      </c>
      <c r="H268" s="117" t="s">
        <v>426</v>
      </c>
      <c r="I268" s="120" t="s">
        <v>484</v>
      </c>
      <c r="J268" s="84">
        <v>1575</v>
      </c>
      <c r="K268" s="73">
        <v>67662</v>
      </c>
      <c r="L268" s="72">
        <v>1200</v>
      </c>
      <c r="M268" s="73">
        <v>51552</v>
      </c>
      <c r="N268" s="72">
        <v>450</v>
      </c>
      <c r="O268" s="73">
        <v>19332</v>
      </c>
      <c r="P268" s="72">
        <v>600</v>
      </c>
      <c r="Q268" s="73">
        <v>25836</v>
      </c>
      <c r="R268" s="72">
        <v>2100</v>
      </c>
      <c r="S268" s="73">
        <v>90426</v>
      </c>
      <c r="T268" s="72">
        <v>1275</v>
      </c>
      <c r="U268" s="73">
        <v>54901.5</v>
      </c>
      <c r="V268" s="72">
        <v>750</v>
      </c>
      <c r="W268" s="73">
        <v>32295</v>
      </c>
      <c r="X268" s="72">
        <v>750</v>
      </c>
      <c r="Y268" s="73">
        <v>32295</v>
      </c>
      <c r="Z268" s="72">
        <v>1050</v>
      </c>
      <c r="AA268" s="73">
        <v>45213</v>
      </c>
      <c r="AB268" s="72">
        <v>300</v>
      </c>
      <c r="AC268" s="73">
        <v>13071</v>
      </c>
      <c r="AD268" s="72">
        <v>0</v>
      </c>
      <c r="AE268" s="73">
        <v>0</v>
      </c>
      <c r="AF268" s="72">
        <v>0</v>
      </c>
      <c r="AG268" s="88">
        <v>0</v>
      </c>
      <c r="AH268"/>
    </row>
    <row r="269" spans="1:34">
      <c r="B269" s="114">
        <v>250</v>
      </c>
      <c r="C269" s="117">
        <v>51</v>
      </c>
      <c r="D269" s="117"/>
      <c r="E269" s="117" t="s">
        <v>441</v>
      </c>
      <c r="F269" s="117" t="s">
        <v>442</v>
      </c>
      <c r="G269" s="117" t="s">
        <v>485</v>
      </c>
      <c r="H269" s="117" t="s">
        <v>426</v>
      </c>
      <c r="I269" s="120" t="s">
        <v>486</v>
      </c>
      <c r="J269" s="84">
        <v>0</v>
      </c>
      <c r="K269" s="73">
        <v>0</v>
      </c>
      <c r="L269" s="72">
        <v>0</v>
      </c>
      <c r="M269" s="73">
        <v>0</v>
      </c>
      <c r="N269" s="72">
        <v>0</v>
      </c>
      <c r="O269" s="73">
        <v>0</v>
      </c>
      <c r="P269" s="72">
        <v>0</v>
      </c>
      <c r="Q269" s="73">
        <v>0</v>
      </c>
      <c r="R269" s="72">
        <v>0</v>
      </c>
      <c r="S269" s="73">
        <v>0</v>
      </c>
      <c r="T269" s="72">
        <v>0</v>
      </c>
      <c r="U269" s="73">
        <v>0</v>
      </c>
      <c r="V269" s="72">
        <v>1008</v>
      </c>
      <c r="W269" s="73">
        <v>77807.52</v>
      </c>
      <c r="X269" s="72">
        <v>1008</v>
      </c>
      <c r="Y269" s="73">
        <v>77807.52</v>
      </c>
      <c r="Z269" s="72">
        <v>0</v>
      </c>
      <c r="AA269" s="73">
        <v>0</v>
      </c>
      <c r="AB269" s="72">
        <v>1200</v>
      </c>
      <c r="AC269" s="73">
        <v>92628</v>
      </c>
      <c r="AD269" s="72">
        <v>0</v>
      </c>
      <c r="AE269" s="73">
        <v>0</v>
      </c>
      <c r="AF269" s="72">
        <v>0</v>
      </c>
      <c r="AG269" s="88">
        <v>0</v>
      </c>
      <c r="AH269"/>
    </row>
    <row r="270" spans="1:34">
      <c r="B270" s="114">
        <v>251</v>
      </c>
      <c r="C270" s="117">
        <v>51</v>
      </c>
      <c r="D270" s="117"/>
      <c r="E270" s="117" t="s">
        <v>441</v>
      </c>
      <c r="F270" s="117" t="s">
        <v>442</v>
      </c>
      <c r="G270" s="117" t="s">
        <v>477</v>
      </c>
      <c r="H270" s="117" t="s">
        <v>478</v>
      </c>
      <c r="I270" s="120" t="s">
        <v>479</v>
      </c>
      <c r="J270" s="84">
        <v>1200</v>
      </c>
      <c r="K270" s="73">
        <v>15144</v>
      </c>
      <c r="L270" s="72">
        <v>6600</v>
      </c>
      <c r="M270" s="73">
        <v>83292</v>
      </c>
      <c r="N270" s="72">
        <v>5400</v>
      </c>
      <c r="O270" s="73">
        <v>68148</v>
      </c>
      <c r="P270" s="72">
        <v>2400</v>
      </c>
      <c r="Q270" s="73">
        <v>30288</v>
      </c>
      <c r="R270" s="72">
        <v>7200</v>
      </c>
      <c r="S270" s="73">
        <v>90864</v>
      </c>
      <c r="T270" s="72">
        <v>3000</v>
      </c>
      <c r="U270" s="73">
        <v>37860</v>
      </c>
      <c r="V270" s="72">
        <v>6600</v>
      </c>
      <c r="W270" s="73">
        <v>83292</v>
      </c>
      <c r="X270" s="72">
        <v>2400</v>
      </c>
      <c r="Y270" s="73">
        <v>30288</v>
      </c>
      <c r="Z270" s="72">
        <v>0</v>
      </c>
      <c r="AA270" s="73">
        <v>0</v>
      </c>
      <c r="AB270" s="72">
        <v>1200</v>
      </c>
      <c r="AC270" s="73">
        <v>15144</v>
      </c>
      <c r="AD270" s="72">
        <v>0</v>
      </c>
      <c r="AE270" s="73">
        <v>0</v>
      </c>
      <c r="AF270" s="72">
        <v>0</v>
      </c>
      <c r="AG270" s="88">
        <v>0</v>
      </c>
      <c r="AH270"/>
    </row>
    <row r="271" spans="1:34">
      <c r="B271" s="114">
        <v>252</v>
      </c>
      <c r="C271" s="117">
        <v>51</v>
      </c>
      <c r="D271" s="117"/>
      <c r="E271" s="117" t="s">
        <v>441</v>
      </c>
      <c r="F271" s="117" t="s">
        <v>442</v>
      </c>
      <c r="G271" s="117" t="s">
        <v>474</v>
      </c>
      <c r="H271" s="117" t="s">
        <v>475</v>
      </c>
      <c r="I271" s="120" t="s">
        <v>55</v>
      </c>
      <c r="J271" s="84">
        <v>17450</v>
      </c>
      <c r="K271" s="73">
        <v>662227.5</v>
      </c>
      <c r="L271" s="72">
        <v>20800</v>
      </c>
      <c r="M271" s="73">
        <v>789360</v>
      </c>
      <c r="N271" s="72">
        <v>21400</v>
      </c>
      <c r="O271" s="73">
        <v>812562</v>
      </c>
      <c r="P271" s="72">
        <v>13700</v>
      </c>
      <c r="Q271" s="73">
        <v>521011</v>
      </c>
      <c r="R271" s="72">
        <v>17000</v>
      </c>
      <c r="S271" s="73">
        <v>646510</v>
      </c>
      <c r="T271" s="72">
        <v>19000</v>
      </c>
      <c r="U271" s="73">
        <v>722570</v>
      </c>
      <c r="V271" s="72">
        <v>18000</v>
      </c>
      <c r="W271" s="73">
        <v>684540</v>
      </c>
      <c r="X271" s="72">
        <v>18500</v>
      </c>
      <c r="Y271" s="73">
        <v>703555</v>
      </c>
      <c r="Z271" s="72">
        <v>12600</v>
      </c>
      <c r="AA271" s="73">
        <v>493794</v>
      </c>
      <c r="AB271" s="72">
        <v>6800</v>
      </c>
      <c r="AC271" s="73">
        <v>286212</v>
      </c>
      <c r="AD271" s="72">
        <v>0</v>
      </c>
      <c r="AE271" s="73">
        <v>0</v>
      </c>
      <c r="AF271" s="72">
        <v>0</v>
      </c>
      <c r="AG271" s="88">
        <v>0</v>
      </c>
      <c r="AH271"/>
    </row>
    <row r="272" spans="1:34">
      <c r="B272" s="114">
        <v>253</v>
      </c>
      <c r="C272" s="117">
        <v>51</v>
      </c>
      <c r="D272" s="117"/>
      <c r="E272" s="117" t="s">
        <v>441</v>
      </c>
      <c r="F272" s="117" t="s">
        <v>442</v>
      </c>
      <c r="G272" s="117" t="s">
        <v>453</v>
      </c>
      <c r="H272" s="117" t="s">
        <v>454</v>
      </c>
      <c r="I272" s="120" t="s">
        <v>455</v>
      </c>
      <c r="J272" s="84">
        <v>1840</v>
      </c>
      <c r="K272" s="73">
        <v>72422.39999999999</v>
      </c>
      <c r="L272" s="72">
        <v>1800</v>
      </c>
      <c r="M272" s="73">
        <v>70848</v>
      </c>
      <c r="N272" s="72">
        <v>1120</v>
      </c>
      <c r="O272" s="73">
        <v>44083.2</v>
      </c>
      <c r="P272" s="72">
        <v>100</v>
      </c>
      <c r="Q272" s="73">
        <v>3936</v>
      </c>
      <c r="R272" s="72">
        <v>0</v>
      </c>
      <c r="S272" s="73">
        <v>0</v>
      </c>
      <c r="T272" s="72">
        <v>0</v>
      </c>
      <c r="U272" s="73">
        <v>0</v>
      </c>
      <c r="V272" s="72">
        <v>0</v>
      </c>
      <c r="W272" s="73">
        <v>0</v>
      </c>
      <c r="X272" s="72">
        <v>0</v>
      </c>
      <c r="Y272" s="73">
        <v>0</v>
      </c>
      <c r="Z272" s="72">
        <v>0</v>
      </c>
      <c r="AA272" s="73">
        <v>0</v>
      </c>
      <c r="AB272" s="72">
        <v>0</v>
      </c>
      <c r="AC272" s="73">
        <v>0</v>
      </c>
      <c r="AD272" s="72">
        <v>0</v>
      </c>
      <c r="AE272" s="73">
        <v>0</v>
      </c>
      <c r="AF272" s="72">
        <v>0</v>
      </c>
      <c r="AG272" s="88">
        <v>0</v>
      </c>
      <c r="AH272"/>
    </row>
    <row r="273" spans="1:34">
      <c r="B273" s="114">
        <v>254</v>
      </c>
      <c r="C273" s="117">
        <v>51</v>
      </c>
      <c r="D273" s="117"/>
      <c r="E273" s="117" t="s">
        <v>441</v>
      </c>
      <c r="F273" s="117" t="s">
        <v>442</v>
      </c>
      <c r="G273" s="117" t="s">
        <v>476</v>
      </c>
      <c r="H273" s="117" t="s">
        <v>362</v>
      </c>
      <c r="I273" s="120" t="s">
        <v>280</v>
      </c>
      <c r="J273" s="84">
        <v>27360</v>
      </c>
      <c r="K273" s="73">
        <v>594532.8</v>
      </c>
      <c r="L273" s="72">
        <v>49920</v>
      </c>
      <c r="M273" s="73">
        <v>1084761.6</v>
      </c>
      <c r="N273" s="72">
        <v>34800</v>
      </c>
      <c r="O273" s="73">
        <v>756880.8</v>
      </c>
      <c r="P273" s="72">
        <v>27000</v>
      </c>
      <c r="Q273" s="73">
        <v>589950</v>
      </c>
      <c r="R273" s="72">
        <v>36040</v>
      </c>
      <c r="S273" s="73">
        <v>787474</v>
      </c>
      <c r="T273" s="72">
        <v>30000</v>
      </c>
      <c r="U273" s="73">
        <v>655500</v>
      </c>
      <c r="V273" s="72">
        <v>29000</v>
      </c>
      <c r="W273" s="73">
        <v>633650</v>
      </c>
      <c r="X273" s="72">
        <v>34000</v>
      </c>
      <c r="Y273" s="73">
        <v>742900</v>
      </c>
      <c r="Z273" s="72">
        <v>20000</v>
      </c>
      <c r="AA273" s="73">
        <v>440480</v>
      </c>
      <c r="AB273" s="72">
        <v>14000</v>
      </c>
      <c r="AC273" s="73">
        <v>314020</v>
      </c>
      <c r="AD273" s="72">
        <v>0</v>
      </c>
      <c r="AE273" s="73">
        <v>0</v>
      </c>
      <c r="AF273" s="72">
        <v>0</v>
      </c>
      <c r="AG273" s="88">
        <v>0</v>
      </c>
      <c r="AH273"/>
    </row>
    <row r="274" spans="1:34">
      <c r="B274" s="114">
        <v>255</v>
      </c>
      <c r="C274" s="117">
        <v>51</v>
      </c>
      <c r="D274" s="117"/>
      <c r="E274" s="117" t="s">
        <v>441</v>
      </c>
      <c r="F274" s="117" t="s">
        <v>442</v>
      </c>
      <c r="G274" s="117" t="s">
        <v>480</v>
      </c>
      <c r="H274" s="117" t="s">
        <v>481</v>
      </c>
      <c r="I274" s="120" t="s">
        <v>445</v>
      </c>
      <c r="J274" s="84">
        <v>0</v>
      </c>
      <c r="K274" s="73">
        <v>0</v>
      </c>
      <c r="L274" s="72">
        <v>400</v>
      </c>
      <c r="M274" s="73">
        <v>5656</v>
      </c>
      <c r="N274" s="72">
        <v>0</v>
      </c>
      <c r="O274" s="73">
        <v>0</v>
      </c>
      <c r="P274" s="72">
        <v>0</v>
      </c>
      <c r="Q274" s="73">
        <v>0</v>
      </c>
      <c r="R274" s="72">
        <v>0</v>
      </c>
      <c r="S274" s="73">
        <v>0</v>
      </c>
      <c r="T274" s="72">
        <v>0</v>
      </c>
      <c r="U274" s="73">
        <v>0</v>
      </c>
      <c r="V274" s="72">
        <v>0</v>
      </c>
      <c r="W274" s="73">
        <v>0</v>
      </c>
      <c r="X274" s="72">
        <v>0</v>
      </c>
      <c r="Y274" s="73">
        <v>0</v>
      </c>
      <c r="Z274" s="72">
        <v>0</v>
      </c>
      <c r="AA274" s="73">
        <v>0</v>
      </c>
      <c r="AB274" s="72">
        <v>0</v>
      </c>
      <c r="AC274" s="73">
        <v>0</v>
      </c>
      <c r="AD274" s="72">
        <v>0</v>
      </c>
      <c r="AE274" s="73">
        <v>0</v>
      </c>
      <c r="AF274" s="72">
        <v>0</v>
      </c>
      <c r="AG274" s="88">
        <v>0</v>
      </c>
      <c r="AH274"/>
    </row>
    <row r="275" spans="1:34">
      <c r="B275" s="114">
        <v>256</v>
      </c>
      <c r="C275" s="117">
        <v>51</v>
      </c>
      <c r="D275" s="117"/>
      <c r="E275" s="117" t="s">
        <v>497</v>
      </c>
      <c r="F275" s="117" t="s">
        <v>498</v>
      </c>
      <c r="G275" s="117" t="s">
        <v>515</v>
      </c>
      <c r="H275" s="117" t="s">
        <v>516</v>
      </c>
      <c r="I275" s="120" t="s">
        <v>517</v>
      </c>
      <c r="J275" s="84">
        <v>42000</v>
      </c>
      <c r="K275" s="73">
        <v>525420</v>
      </c>
      <c r="L275" s="72">
        <v>53620</v>
      </c>
      <c r="M275" s="73">
        <v>670786.2</v>
      </c>
      <c r="N275" s="72">
        <v>55440</v>
      </c>
      <c r="O275" s="73">
        <v>693554.4</v>
      </c>
      <c r="P275" s="72">
        <v>46200</v>
      </c>
      <c r="Q275" s="73">
        <v>577962</v>
      </c>
      <c r="R275" s="72">
        <v>58800</v>
      </c>
      <c r="S275" s="73">
        <v>735588</v>
      </c>
      <c r="T275" s="72">
        <v>62020</v>
      </c>
      <c r="U275" s="73">
        <v>775870.2</v>
      </c>
      <c r="V275" s="72">
        <v>63560</v>
      </c>
      <c r="W275" s="73">
        <v>795135.6</v>
      </c>
      <c r="X275" s="72">
        <v>60900</v>
      </c>
      <c r="Y275" s="73">
        <v>761859</v>
      </c>
      <c r="Z275" s="72">
        <v>21700</v>
      </c>
      <c r="AA275" s="73">
        <v>276129</v>
      </c>
      <c r="AB275" s="72">
        <v>27860</v>
      </c>
      <c r="AC275" s="73">
        <v>379453.2</v>
      </c>
      <c r="AD275" s="72">
        <v>0</v>
      </c>
      <c r="AE275" s="73">
        <v>0</v>
      </c>
      <c r="AF275" s="72">
        <v>0</v>
      </c>
      <c r="AG275" s="88">
        <v>0</v>
      </c>
      <c r="AH275"/>
    </row>
    <row r="276" spans="1:34">
      <c r="B276" s="114">
        <v>257</v>
      </c>
      <c r="C276" s="117">
        <v>51</v>
      </c>
      <c r="D276" s="117"/>
      <c r="E276" s="117" t="s">
        <v>497</v>
      </c>
      <c r="F276" s="117" t="s">
        <v>498</v>
      </c>
      <c r="G276" s="117" t="s">
        <v>513</v>
      </c>
      <c r="H276" s="117" t="s">
        <v>514</v>
      </c>
      <c r="I276" s="120" t="s">
        <v>240</v>
      </c>
      <c r="J276" s="84">
        <v>11200</v>
      </c>
      <c r="K276" s="73">
        <v>170352</v>
      </c>
      <c r="L276" s="72">
        <v>17080</v>
      </c>
      <c r="M276" s="73">
        <v>259786.8</v>
      </c>
      <c r="N276" s="72">
        <v>16100</v>
      </c>
      <c r="O276" s="73">
        <v>244881</v>
      </c>
      <c r="P276" s="72">
        <v>9800</v>
      </c>
      <c r="Q276" s="73">
        <v>149058</v>
      </c>
      <c r="R276" s="72">
        <v>12600</v>
      </c>
      <c r="S276" s="73">
        <v>191646</v>
      </c>
      <c r="T276" s="72">
        <v>14000</v>
      </c>
      <c r="U276" s="73">
        <v>212940</v>
      </c>
      <c r="V276" s="72">
        <v>14000</v>
      </c>
      <c r="W276" s="73">
        <v>212940</v>
      </c>
      <c r="X276" s="72">
        <v>11200</v>
      </c>
      <c r="Y276" s="73">
        <v>170352</v>
      </c>
      <c r="Z276" s="72">
        <v>13300</v>
      </c>
      <c r="AA276" s="73">
        <v>202293</v>
      </c>
      <c r="AB276" s="72">
        <v>7560</v>
      </c>
      <c r="AC276" s="73">
        <v>125118</v>
      </c>
      <c r="AD276" s="72">
        <v>0</v>
      </c>
      <c r="AE276" s="73">
        <v>0</v>
      </c>
      <c r="AF276" s="72">
        <v>0</v>
      </c>
      <c r="AG276" s="88">
        <v>0</v>
      </c>
      <c r="AH276"/>
    </row>
    <row r="277" spans="1:34">
      <c r="B277" s="114">
        <v>258</v>
      </c>
      <c r="C277" s="117">
        <v>51</v>
      </c>
      <c r="D277" s="117"/>
      <c r="E277" s="117" t="s">
        <v>497</v>
      </c>
      <c r="F277" s="117" t="s">
        <v>498</v>
      </c>
      <c r="G277" s="117" t="s">
        <v>511</v>
      </c>
      <c r="H277" s="117" t="s">
        <v>512</v>
      </c>
      <c r="I277" s="120" t="s">
        <v>164</v>
      </c>
      <c r="J277" s="84">
        <v>26000</v>
      </c>
      <c r="K277" s="73">
        <v>58500</v>
      </c>
      <c r="L277" s="72">
        <v>47000</v>
      </c>
      <c r="M277" s="73">
        <v>105750</v>
      </c>
      <c r="N277" s="72">
        <v>36000</v>
      </c>
      <c r="O277" s="73">
        <v>81000</v>
      </c>
      <c r="P277" s="72">
        <v>26000</v>
      </c>
      <c r="Q277" s="73">
        <v>58500</v>
      </c>
      <c r="R277" s="72">
        <v>42000</v>
      </c>
      <c r="S277" s="73">
        <v>94500</v>
      </c>
      <c r="T277" s="72">
        <v>43000</v>
      </c>
      <c r="U277" s="73">
        <v>96750</v>
      </c>
      <c r="V277" s="72">
        <v>31000</v>
      </c>
      <c r="W277" s="73">
        <v>69750</v>
      </c>
      <c r="X277" s="72">
        <v>38000</v>
      </c>
      <c r="Y277" s="73">
        <v>85500</v>
      </c>
      <c r="Z277" s="72">
        <v>29000</v>
      </c>
      <c r="AA277" s="73">
        <v>65250</v>
      </c>
      <c r="AB277" s="72">
        <v>21500</v>
      </c>
      <c r="AC277" s="73">
        <v>48375</v>
      </c>
      <c r="AD277" s="72">
        <v>0</v>
      </c>
      <c r="AE277" s="73">
        <v>0</v>
      </c>
      <c r="AF277" s="72">
        <v>0</v>
      </c>
      <c r="AG277" s="88">
        <v>0</v>
      </c>
      <c r="AH277"/>
    </row>
    <row r="278" spans="1:34">
      <c r="B278" s="114">
        <v>259</v>
      </c>
      <c r="C278" s="117">
        <v>51</v>
      </c>
      <c r="D278" s="117"/>
      <c r="E278" s="117" t="s">
        <v>497</v>
      </c>
      <c r="F278" s="117" t="s">
        <v>498</v>
      </c>
      <c r="G278" s="117" t="s">
        <v>503</v>
      </c>
      <c r="H278" s="117" t="s">
        <v>504</v>
      </c>
      <c r="I278" s="120" t="s">
        <v>285</v>
      </c>
      <c r="J278" s="84">
        <v>27000</v>
      </c>
      <c r="K278" s="73">
        <v>172800</v>
      </c>
      <c r="L278" s="72">
        <v>36000</v>
      </c>
      <c r="M278" s="73">
        <v>588240</v>
      </c>
      <c r="N278" s="72">
        <v>33000</v>
      </c>
      <c r="O278" s="73">
        <v>539220</v>
      </c>
      <c r="P278" s="72">
        <v>21000</v>
      </c>
      <c r="Q278" s="73">
        <v>343140</v>
      </c>
      <c r="R278" s="72">
        <v>30000</v>
      </c>
      <c r="S278" s="73">
        <v>490200</v>
      </c>
      <c r="T278" s="72">
        <v>30000</v>
      </c>
      <c r="U278" s="73">
        <v>490200</v>
      </c>
      <c r="V278" s="72">
        <v>30000</v>
      </c>
      <c r="W278" s="73">
        <v>490200</v>
      </c>
      <c r="X278" s="72">
        <v>36000</v>
      </c>
      <c r="Y278" s="73">
        <v>588240</v>
      </c>
      <c r="Z278" s="72">
        <v>21000</v>
      </c>
      <c r="AA278" s="73">
        <v>343140</v>
      </c>
      <c r="AB278" s="72">
        <v>15000</v>
      </c>
      <c r="AC278" s="73">
        <v>245100</v>
      </c>
      <c r="AD278" s="72">
        <v>0</v>
      </c>
      <c r="AE278" s="73">
        <v>0</v>
      </c>
      <c r="AF278" s="72">
        <v>0</v>
      </c>
      <c r="AG278" s="88">
        <v>0</v>
      </c>
      <c r="AH278"/>
    </row>
    <row r="279" spans="1:34">
      <c r="B279" s="114">
        <v>260</v>
      </c>
      <c r="C279" s="117">
        <v>51</v>
      </c>
      <c r="D279" s="117"/>
      <c r="E279" s="117" t="s">
        <v>497</v>
      </c>
      <c r="F279" s="117" t="s">
        <v>498</v>
      </c>
      <c r="G279" s="117" t="s">
        <v>505</v>
      </c>
      <c r="H279" s="117" t="s">
        <v>506</v>
      </c>
      <c r="I279" s="120" t="s">
        <v>285</v>
      </c>
      <c r="J279" s="84">
        <v>14700</v>
      </c>
      <c r="K279" s="73">
        <v>232260</v>
      </c>
      <c r="L279" s="72">
        <v>19740</v>
      </c>
      <c r="M279" s="73">
        <v>311892</v>
      </c>
      <c r="N279" s="72">
        <v>14000</v>
      </c>
      <c r="O279" s="73">
        <v>221200</v>
      </c>
      <c r="P279" s="72">
        <v>13860</v>
      </c>
      <c r="Q279" s="73">
        <v>218988</v>
      </c>
      <c r="R279" s="72">
        <v>13300</v>
      </c>
      <c r="S279" s="73">
        <v>210140</v>
      </c>
      <c r="T279" s="72">
        <v>16100</v>
      </c>
      <c r="U279" s="73">
        <v>254380</v>
      </c>
      <c r="V279" s="72">
        <v>16100</v>
      </c>
      <c r="W279" s="73">
        <v>254380</v>
      </c>
      <c r="X279" s="72">
        <v>15400</v>
      </c>
      <c r="Y279" s="73">
        <v>243320</v>
      </c>
      <c r="Z279" s="72">
        <v>10820</v>
      </c>
      <c r="AA279" s="73">
        <v>170956</v>
      </c>
      <c r="AB279" s="72">
        <v>7700</v>
      </c>
      <c r="AC279" s="73">
        <v>121660</v>
      </c>
      <c r="AD279" s="72">
        <v>0</v>
      </c>
      <c r="AE279" s="73">
        <v>0</v>
      </c>
      <c r="AF279" s="72">
        <v>0</v>
      </c>
      <c r="AG279" s="88">
        <v>0</v>
      </c>
      <c r="AH279"/>
    </row>
    <row r="280" spans="1:34">
      <c r="B280" s="114">
        <v>261</v>
      </c>
      <c r="C280" s="117">
        <v>51</v>
      </c>
      <c r="D280" s="117"/>
      <c r="E280" s="117" t="s">
        <v>497</v>
      </c>
      <c r="F280" s="117" t="s">
        <v>498</v>
      </c>
      <c r="G280" s="117" t="s">
        <v>507</v>
      </c>
      <c r="H280" s="117" t="s">
        <v>508</v>
      </c>
      <c r="I280" s="120" t="s">
        <v>323</v>
      </c>
      <c r="J280" s="84">
        <v>0</v>
      </c>
      <c r="K280" s="73">
        <v>0</v>
      </c>
      <c r="L280" s="72">
        <v>1000</v>
      </c>
      <c r="M280" s="73">
        <v>6800</v>
      </c>
      <c r="N280" s="72">
        <v>6500</v>
      </c>
      <c r="O280" s="73">
        <v>44200</v>
      </c>
      <c r="P280" s="72">
        <v>3000</v>
      </c>
      <c r="Q280" s="73">
        <v>20400</v>
      </c>
      <c r="R280" s="72">
        <v>7000</v>
      </c>
      <c r="S280" s="73">
        <v>47600</v>
      </c>
      <c r="T280" s="72">
        <v>8500</v>
      </c>
      <c r="U280" s="73">
        <v>57800</v>
      </c>
      <c r="V280" s="72">
        <v>7500</v>
      </c>
      <c r="W280" s="73">
        <v>51000</v>
      </c>
      <c r="X280" s="72">
        <v>7000</v>
      </c>
      <c r="Y280" s="73">
        <v>47600</v>
      </c>
      <c r="Z280" s="72">
        <v>4000</v>
      </c>
      <c r="AA280" s="73">
        <v>27200</v>
      </c>
      <c r="AB280" s="72">
        <v>3500</v>
      </c>
      <c r="AC280" s="73">
        <v>23800</v>
      </c>
      <c r="AD280" s="72">
        <v>0</v>
      </c>
      <c r="AE280" s="73">
        <v>0</v>
      </c>
      <c r="AF280" s="72">
        <v>0</v>
      </c>
      <c r="AG280" s="88">
        <v>0</v>
      </c>
      <c r="AH280"/>
    </row>
    <row r="281" spans="1:34">
      <c r="B281" s="114">
        <v>262</v>
      </c>
      <c r="C281" s="117">
        <v>51</v>
      </c>
      <c r="D281" s="117"/>
      <c r="E281" s="117" t="s">
        <v>497</v>
      </c>
      <c r="F281" s="117" t="s">
        <v>498</v>
      </c>
      <c r="G281" s="117" t="s">
        <v>499</v>
      </c>
      <c r="H281" s="117" t="s">
        <v>500</v>
      </c>
      <c r="I281" s="120" t="s">
        <v>455</v>
      </c>
      <c r="J281" s="84">
        <v>560</v>
      </c>
      <c r="K281" s="73">
        <v>34529.6</v>
      </c>
      <c r="L281" s="72">
        <v>1680</v>
      </c>
      <c r="M281" s="73">
        <v>103588.8</v>
      </c>
      <c r="N281" s="72">
        <v>1960</v>
      </c>
      <c r="O281" s="73">
        <v>120853.6</v>
      </c>
      <c r="P281" s="72">
        <v>112</v>
      </c>
      <c r="Q281" s="73">
        <v>6905.92</v>
      </c>
      <c r="R281" s="72">
        <v>0</v>
      </c>
      <c r="S281" s="73">
        <v>0</v>
      </c>
      <c r="T281" s="72">
        <v>0</v>
      </c>
      <c r="U281" s="73">
        <v>0</v>
      </c>
      <c r="V281" s="72">
        <v>0</v>
      </c>
      <c r="W281" s="73">
        <v>0</v>
      </c>
      <c r="X281" s="72">
        <v>0</v>
      </c>
      <c r="Y281" s="73">
        <v>0</v>
      </c>
      <c r="Z281" s="72">
        <v>0</v>
      </c>
      <c r="AA281" s="73">
        <v>0</v>
      </c>
      <c r="AB281" s="72">
        <v>0</v>
      </c>
      <c r="AC281" s="73">
        <v>0</v>
      </c>
      <c r="AD281" s="72">
        <v>0</v>
      </c>
      <c r="AE281" s="73">
        <v>0</v>
      </c>
      <c r="AF281" s="72">
        <v>0</v>
      </c>
      <c r="AG281" s="88">
        <v>0</v>
      </c>
      <c r="AH281"/>
    </row>
    <row r="282" spans="1:34">
      <c r="B282" s="114">
        <v>263</v>
      </c>
      <c r="C282" s="117">
        <v>51</v>
      </c>
      <c r="D282" s="117"/>
      <c r="E282" s="117" t="s">
        <v>497</v>
      </c>
      <c r="F282" s="117" t="s">
        <v>498</v>
      </c>
      <c r="G282" s="117" t="s">
        <v>509</v>
      </c>
      <c r="H282" s="117" t="s">
        <v>510</v>
      </c>
      <c r="I282" s="120" t="s">
        <v>455</v>
      </c>
      <c r="J282" s="84">
        <v>560</v>
      </c>
      <c r="K282" s="73">
        <v>31550.4</v>
      </c>
      <c r="L282" s="72">
        <v>1400</v>
      </c>
      <c r="M282" s="73">
        <v>78876</v>
      </c>
      <c r="N282" s="72">
        <v>840</v>
      </c>
      <c r="O282" s="73">
        <v>47325.6</v>
      </c>
      <c r="P282" s="72">
        <v>56</v>
      </c>
      <c r="Q282" s="73">
        <v>3155.04</v>
      </c>
      <c r="R282" s="72">
        <v>0</v>
      </c>
      <c r="S282" s="73">
        <v>0</v>
      </c>
      <c r="T282" s="72">
        <v>0</v>
      </c>
      <c r="U282" s="73">
        <v>0</v>
      </c>
      <c r="V282" s="72">
        <v>0</v>
      </c>
      <c r="W282" s="73">
        <v>0</v>
      </c>
      <c r="X282" s="72">
        <v>0</v>
      </c>
      <c r="Y282" s="73">
        <v>0</v>
      </c>
      <c r="Z282" s="72">
        <v>0</v>
      </c>
      <c r="AA282" s="73">
        <v>0</v>
      </c>
      <c r="AB282" s="72">
        <v>0</v>
      </c>
      <c r="AC282" s="73">
        <v>0</v>
      </c>
      <c r="AD282" s="72">
        <v>0</v>
      </c>
      <c r="AE282" s="73">
        <v>0</v>
      </c>
      <c r="AF282" s="72">
        <v>0</v>
      </c>
      <c r="AG282" s="88">
        <v>0</v>
      </c>
      <c r="AH282"/>
    </row>
    <row r="283" spans="1:34">
      <c r="B283" s="114">
        <v>264</v>
      </c>
      <c r="C283" s="117">
        <v>51</v>
      </c>
      <c r="D283" s="117"/>
      <c r="E283" s="117" t="s">
        <v>497</v>
      </c>
      <c r="F283" s="117" t="s">
        <v>498</v>
      </c>
      <c r="G283" s="117" t="s">
        <v>518</v>
      </c>
      <c r="H283" s="117" t="s">
        <v>519</v>
      </c>
      <c r="I283" s="120" t="s">
        <v>237</v>
      </c>
      <c r="J283" s="84">
        <v>0</v>
      </c>
      <c r="K283" s="73">
        <v>0</v>
      </c>
      <c r="L283" s="72">
        <v>0</v>
      </c>
      <c r="M283" s="73">
        <v>0</v>
      </c>
      <c r="N283" s="72">
        <v>0</v>
      </c>
      <c r="O283" s="73">
        <v>0</v>
      </c>
      <c r="P283" s="72">
        <v>0</v>
      </c>
      <c r="Q283" s="73">
        <v>0</v>
      </c>
      <c r="R283" s="72">
        <v>1944</v>
      </c>
      <c r="S283" s="73">
        <v>85924.8</v>
      </c>
      <c r="T283" s="72">
        <v>2000</v>
      </c>
      <c r="U283" s="73">
        <v>88400</v>
      </c>
      <c r="V283" s="72">
        <v>0</v>
      </c>
      <c r="W283" s="73">
        <v>0</v>
      </c>
      <c r="X283" s="72">
        <v>0</v>
      </c>
      <c r="Y283" s="73">
        <v>0</v>
      </c>
      <c r="Z283" s="72">
        <v>0</v>
      </c>
      <c r="AA283" s="73">
        <v>0</v>
      </c>
      <c r="AB283" s="72">
        <v>0</v>
      </c>
      <c r="AC283" s="73">
        <v>0</v>
      </c>
      <c r="AD283" s="72">
        <v>0</v>
      </c>
      <c r="AE283" s="73">
        <v>0</v>
      </c>
      <c r="AF283" s="72">
        <v>0</v>
      </c>
      <c r="AG283" s="88">
        <v>0</v>
      </c>
      <c r="AH283"/>
    </row>
    <row r="284" spans="1:34">
      <c r="B284" s="114">
        <v>265</v>
      </c>
      <c r="C284" s="117">
        <v>51</v>
      </c>
      <c r="D284" s="117"/>
      <c r="E284" s="117" t="s">
        <v>497</v>
      </c>
      <c r="F284" s="117" t="s">
        <v>498</v>
      </c>
      <c r="G284" s="117" t="s">
        <v>501</v>
      </c>
      <c r="H284" s="117" t="s">
        <v>502</v>
      </c>
      <c r="I284" s="120" t="s">
        <v>277</v>
      </c>
      <c r="J284" s="84">
        <v>27000</v>
      </c>
      <c r="K284" s="73">
        <v>34020</v>
      </c>
      <c r="L284" s="72">
        <v>33000</v>
      </c>
      <c r="M284" s="73">
        <v>41580</v>
      </c>
      <c r="N284" s="72">
        <v>30000</v>
      </c>
      <c r="O284" s="73">
        <v>37800</v>
      </c>
      <c r="P284" s="72">
        <v>18000</v>
      </c>
      <c r="Q284" s="73">
        <v>22680</v>
      </c>
      <c r="R284" s="72">
        <v>21000</v>
      </c>
      <c r="S284" s="73">
        <v>26460</v>
      </c>
      <c r="T284" s="72">
        <v>27000</v>
      </c>
      <c r="U284" s="73">
        <v>34020</v>
      </c>
      <c r="V284" s="72">
        <v>39000</v>
      </c>
      <c r="W284" s="73">
        <v>49140</v>
      </c>
      <c r="X284" s="72">
        <v>30000</v>
      </c>
      <c r="Y284" s="73">
        <v>37800</v>
      </c>
      <c r="Z284" s="72">
        <v>18000</v>
      </c>
      <c r="AA284" s="73">
        <v>22680</v>
      </c>
      <c r="AB284" s="72">
        <v>18000</v>
      </c>
      <c r="AC284" s="73">
        <v>22680</v>
      </c>
      <c r="AD284" s="72">
        <v>0</v>
      </c>
      <c r="AE284" s="73">
        <v>0</v>
      </c>
      <c r="AF284" s="72">
        <v>0</v>
      </c>
      <c r="AG284" s="88">
        <v>0</v>
      </c>
      <c r="AH284"/>
    </row>
    <row r="285" spans="1:34">
      <c r="B285" s="114">
        <v>266</v>
      </c>
      <c r="C285" s="117">
        <v>51</v>
      </c>
      <c r="D285" s="117"/>
      <c r="E285" s="117" t="s">
        <v>520</v>
      </c>
      <c r="F285" s="117" t="s">
        <v>521</v>
      </c>
      <c r="G285" s="117" t="s">
        <v>522</v>
      </c>
      <c r="H285" s="117" t="s">
        <v>523</v>
      </c>
      <c r="I285" s="120" t="s">
        <v>258</v>
      </c>
      <c r="J285" s="84">
        <v>500</v>
      </c>
      <c r="K285" s="73">
        <v>8555</v>
      </c>
      <c r="L285" s="72">
        <v>5500</v>
      </c>
      <c r="M285" s="73">
        <v>94105</v>
      </c>
      <c r="N285" s="72">
        <v>7000</v>
      </c>
      <c r="O285" s="73">
        <v>119770</v>
      </c>
      <c r="P285" s="72">
        <v>5000</v>
      </c>
      <c r="Q285" s="73">
        <v>85550</v>
      </c>
      <c r="R285" s="72">
        <v>5000</v>
      </c>
      <c r="S285" s="73">
        <v>85550</v>
      </c>
      <c r="T285" s="72">
        <v>1000</v>
      </c>
      <c r="U285" s="73">
        <v>17110</v>
      </c>
      <c r="V285" s="72">
        <v>6000</v>
      </c>
      <c r="W285" s="73">
        <v>102660</v>
      </c>
      <c r="X285" s="72">
        <v>4000</v>
      </c>
      <c r="Y285" s="73">
        <v>68440</v>
      </c>
      <c r="Z285" s="72">
        <v>0</v>
      </c>
      <c r="AA285" s="73">
        <v>0</v>
      </c>
      <c r="AB285" s="72">
        <v>0</v>
      </c>
      <c r="AC285" s="73">
        <v>0</v>
      </c>
      <c r="AD285" s="72">
        <v>0</v>
      </c>
      <c r="AE285" s="73">
        <v>0</v>
      </c>
      <c r="AF285" s="72">
        <v>0</v>
      </c>
      <c r="AG285" s="88">
        <v>0</v>
      </c>
      <c r="AH285"/>
    </row>
    <row r="286" spans="1:34">
      <c r="B286" s="114">
        <v>267</v>
      </c>
      <c r="C286" s="117">
        <v>51</v>
      </c>
      <c r="D286" s="117"/>
      <c r="E286" s="117" t="s">
        <v>520</v>
      </c>
      <c r="F286" s="117" t="s">
        <v>521</v>
      </c>
      <c r="G286" s="117" t="s">
        <v>529</v>
      </c>
      <c r="H286" s="117" t="s">
        <v>289</v>
      </c>
      <c r="I286" s="120" t="s">
        <v>88</v>
      </c>
      <c r="J286" s="84">
        <v>20000</v>
      </c>
      <c r="K286" s="73">
        <v>208200</v>
      </c>
      <c r="L286" s="72">
        <v>27000</v>
      </c>
      <c r="M286" s="73">
        <v>281070</v>
      </c>
      <c r="N286" s="72">
        <v>28000</v>
      </c>
      <c r="O286" s="73">
        <v>291480</v>
      </c>
      <c r="P286" s="72">
        <v>22500</v>
      </c>
      <c r="Q286" s="73">
        <v>234225</v>
      </c>
      <c r="R286" s="72">
        <v>22700</v>
      </c>
      <c r="S286" s="73">
        <v>236307</v>
      </c>
      <c r="T286" s="72">
        <v>23700</v>
      </c>
      <c r="U286" s="73">
        <v>246717</v>
      </c>
      <c r="V286" s="72">
        <v>24000</v>
      </c>
      <c r="W286" s="73">
        <v>249840</v>
      </c>
      <c r="X286" s="72">
        <v>26000</v>
      </c>
      <c r="Y286" s="73">
        <v>270660</v>
      </c>
      <c r="Z286" s="72">
        <v>17000</v>
      </c>
      <c r="AA286" s="73">
        <v>176970</v>
      </c>
      <c r="AB286" s="72">
        <v>10800</v>
      </c>
      <c r="AC286" s="73">
        <v>112428</v>
      </c>
      <c r="AD286" s="72">
        <v>0</v>
      </c>
      <c r="AE286" s="73">
        <v>0</v>
      </c>
      <c r="AF286" s="72">
        <v>0</v>
      </c>
      <c r="AG286" s="88">
        <v>0</v>
      </c>
      <c r="AH286"/>
    </row>
    <row r="287" spans="1:34">
      <c r="B287" s="114">
        <v>268</v>
      </c>
      <c r="C287" s="117">
        <v>51</v>
      </c>
      <c r="D287" s="117"/>
      <c r="E287" s="117" t="s">
        <v>520</v>
      </c>
      <c r="F287" s="117" t="s">
        <v>521</v>
      </c>
      <c r="G287" s="117" t="s">
        <v>526</v>
      </c>
      <c r="H287" s="117" t="s">
        <v>527</v>
      </c>
      <c r="I287" s="120" t="s">
        <v>528</v>
      </c>
      <c r="J287" s="84">
        <v>0</v>
      </c>
      <c r="K287" s="73">
        <v>0</v>
      </c>
      <c r="L287" s="72">
        <v>0</v>
      </c>
      <c r="M287" s="73">
        <v>0</v>
      </c>
      <c r="N287" s="72">
        <v>0</v>
      </c>
      <c r="O287" s="73">
        <v>0</v>
      </c>
      <c r="P287" s="72">
        <v>0</v>
      </c>
      <c r="Q287" s="73">
        <v>0</v>
      </c>
      <c r="R287" s="72">
        <v>0</v>
      </c>
      <c r="S287" s="73">
        <v>0</v>
      </c>
      <c r="T287" s="72">
        <v>0</v>
      </c>
      <c r="U287" s="73">
        <v>0</v>
      </c>
      <c r="V287" s="72">
        <v>0</v>
      </c>
      <c r="W287" s="73">
        <v>0</v>
      </c>
      <c r="X287" s="72">
        <v>0</v>
      </c>
      <c r="Y287" s="73">
        <v>0</v>
      </c>
      <c r="Z287" s="72">
        <v>0</v>
      </c>
      <c r="AA287" s="73">
        <v>0</v>
      </c>
      <c r="AB287" s="72">
        <v>15</v>
      </c>
      <c r="AC287" s="73">
        <v>45.6</v>
      </c>
      <c r="AD287" s="72">
        <v>0</v>
      </c>
      <c r="AE287" s="73">
        <v>0</v>
      </c>
      <c r="AF287" s="72">
        <v>0</v>
      </c>
      <c r="AG287" s="88">
        <v>0</v>
      </c>
      <c r="AH287"/>
    </row>
    <row r="288" spans="1:34">
      <c r="B288" s="114">
        <v>269</v>
      </c>
      <c r="C288" s="117">
        <v>51</v>
      </c>
      <c r="D288" s="117"/>
      <c r="E288" s="117" t="s">
        <v>520</v>
      </c>
      <c r="F288" s="117" t="s">
        <v>521</v>
      </c>
      <c r="G288" s="117" t="s">
        <v>524</v>
      </c>
      <c r="H288" s="117" t="s">
        <v>525</v>
      </c>
      <c r="I288" s="120" t="s">
        <v>258</v>
      </c>
      <c r="J288" s="84">
        <v>500</v>
      </c>
      <c r="K288" s="73">
        <v>6070</v>
      </c>
      <c r="L288" s="72">
        <v>6000</v>
      </c>
      <c r="M288" s="73">
        <v>72840</v>
      </c>
      <c r="N288" s="72">
        <v>7200</v>
      </c>
      <c r="O288" s="73">
        <v>87408</v>
      </c>
      <c r="P288" s="72">
        <v>3000</v>
      </c>
      <c r="Q288" s="73">
        <v>36420</v>
      </c>
      <c r="R288" s="72">
        <v>7000</v>
      </c>
      <c r="S288" s="73">
        <v>84980</v>
      </c>
      <c r="T288" s="72">
        <v>1700</v>
      </c>
      <c r="U288" s="73">
        <v>20638</v>
      </c>
      <c r="V288" s="72">
        <v>6000</v>
      </c>
      <c r="W288" s="73">
        <v>72840</v>
      </c>
      <c r="X288" s="72">
        <v>3000</v>
      </c>
      <c r="Y288" s="73">
        <v>36420</v>
      </c>
      <c r="Z288" s="72">
        <v>0</v>
      </c>
      <c r="AA288" s="73">
        <v>0</v>
      </c>
      <c r="AB288" s="72">
        <v>500</v>
      </c>
      <c r="AC288" s="73">
        <v>6070</v>
      </c>
      <c r="AD288" s="72">
        <v>0</v>
      </c>
      <c r="AE288" s="73">
        <v>0</v>
      </c>
      <c r="AF288" s="72">
        <v>0</v>
      </c>
      <c r="AG288" s="88">
        <v>0</v>
      </c>
      <c r="AH288"/>
    </row>
    <row r="289" spans="1:34">
      <c r="B289" s="114">
        <v>270</v>
      </c>
      <c r="C289" s="117">
        <v>51</v>
      </c>
      <c r="D289" s="117"/>
      <c r="E289" s="117" t="s">
        <v>531</v>
      </c>
      <c r="F289" s="117" t="s">
        <v>532</v>
      </c>
      <c r="G289" s="117" t="s">
        <v>533</v>
      </c>
      <c r="H289" s="117" t="s">
        <v>87</v>
      </c>
      <c r="I289" s="120" t="s">
        <v>534</v>
      </c>
      <c r="J289" s="84">
        <v>0</v>
      </c>
      <c r="K289" s="73">
        <v>0</v>
      </c>
      <c r="L289" s="72">
        <v>0</v>
      </c>
      <c r="M289" s="73">
        <v>0</v>
      </c>
      <c r="N289" s="72">
        <v>0</v>
      </c>
      <c r="O289" s="73">
        <v>0</v>
      </c>
      <c r="P289" s="72">
        <v>0</v>
      </c>
      <c r="Q289" s="73">
        <v>0</v>
      </c>
      <c r="R289" s="72">
        <v>0</v>
      </c>
      <c r="S289" s="73">
        <v>0</v>
      </c>
      <c r="T289" s="72">
        <v>0</v>
      </c>
      <c r="U289" s="73">
        <v>0</v>
      </c>
      <c r="V289" s="72">
        <v>0</v>
      </c>
      <c r="W289" s="73">
        <v>0</v>
      </c>
      <c r="X289" s="72">
        <v>0</v>
      </c>
      <c r="Y289" s="73">
        <v>0</v>
      </c>
      <c r="Z289" s="72">
        <v>0</v>
      </c>
      <c r="AA289" s="73">
        <v>0</v>
      </c>
      <c r="AB289" s="72">
        <v>60</v>
      </c>
      <c r="AC289" s="73">
        <v>19824</v>
      </c>
      <c r="AD289" s="72">
        <v>0</v>
      </c>
      <c r="AE289" s="73">
        <v>0</v>
      </c>
      <c r="AF289" s="72">
        <v>0</v>
      </c>
      <c r="AG289" s="88">
        <v>0</v>
      </c>
      <c r="AH289"/>
    </row>
    <row r="290" spans="1:34">
      <c r="B290" s="114">
        <v>271</v>
      </c>
      <c r="C290" s="117">
        <v>51</v>
      </c>
      <c r="D290" s="117"/>
      <c r="E290" s="117" t="s">
        <v>531</v>
      </c>
      <c r="F290" s="117" t="s">
        <v>532</v>
      </c>
      <c r="G290" s="117" t="s">
        <v>535</v>
      </c>
      <c r="H290" s="117" t="s">
        <v>536</v>
      </c>
      <c r="I290" s="120" t="s">
        <v>301</v>
      </c>
      <c r="J290" s="84">
        <v>0</v>
      </c>
      <c r="K290" s="73">
        <v>0</v>
      </c>
      <c r="L290" s="72">
        <v>0</v>
      </c>
      <c r="M290" s="73">
        <v>0</v>
      </c>
      <c r="N290" s="72">
        <v>0</v>
      </c>
      <c r="O290" s="73">
        <v>0</v>
      </c>
      <c r="P290" s="72">
        <v>0</v>
      </c>
      <c r="Q290" s="73">
        <v>0</v>
      </c>
      <c r="R290" s="72">
        <v>0</v>
      </c>
      <c r="S290" s="73">
        <v>0</v>
      </c>
      <c r="T290" s="72">
        <v>0</v>
      </c>
      <c r="U290" s="73">
        <v>0</v>
      </c>
      <c r="V290" s="72">
        <v>2400</v>
      </c>
      <c r="W290" s="73">
        <v>47016</v>
      </c>
      <c r="X290" s="72">
        <v>0</v>
      </c>
      <c r="Y290" s="73">
        <v>0</v>
      </c>
      <c r="Z290" s="72">
        <v>0</v>
      </c>
      <c r="AA290" s="73">
        <v>0</v>
      </c>
      <c r="AB290" s="72">
        <v>0</v>
      </c>
      <c r="AC290" s="73">
        <v>0</v>
      </c>
      <c r="AD290" s="72">
        <v>0</v>
      </c>
      <c r="AE290" s="73">
        <v>0</v>
      </c>
      <c r="AF290" s="72">
        <v>0</v>
      </c>
      <c r="AG290" s="88">
        <v>0</v>
      </c>
      <c r="AH290"/>
    </row>
    <row r="291" spans="1:34">
      <c r="B291" s="114">
        <v>272</v>
      </c>
      <c r="C291" s="117">
        <v>51</v>
      </c>
      <c r="D291" s="117"/>
      <c r="E291" s="117" t="s">
        <v>537</v>
      </c>
      <c r="F291" s="117" t="s">
        <v>538</v>
      </c>
      <c r="G291" s="117" t="s">
        <v>539</v>
      </c>
      <c r="H291" s="117" t="s">
        <v>540</v>
      </c>
      <c r="I291" s="120" t="s">
        <v>225</v>
      </c>
      <c r="J291" s="84">
        <v>0</v>
      </c>
      <c r="K291" s="73">
        <v>0</v>
      </c>
      <c r="L291" s="72">
        <v>0</v>
      </c>
      <c r="M291" s="73">
        <v>0</v>
      </c>
      <c r="N291" s="72">
        <v>500</v>
      </c>
      <c r="O291" s="73">
        <v>650</v>
      </c>
      <c r="P291" s="72">
        <v>500</v>
      </c>
      <c r="Q291" s="73">
        <v>650</v>
      </c>
      <c r="R291" s="72">
        <v>100</v>
      </c>
      <c r="S291" s="73">
        <v>130</v>
      </c>
      <c r="T291" s="72">
        <v>0</v>
      </c>
      <c r="U291" s="73">
        <v>0</v>
      </c>
      <c r="V291" s="72">
        <v>0</v>
      </c>
      <c r="W291" s="73">
        <v>0</v>
      </c>
      <c r="X291" s="72">
        <v>0</v>
      </c>
      <c r="Y291" s="73">
        <v>0</v>
      </c>
      <c r="Z291" s="72">
        <v>0</v>
      </c>
      <c r="AA291" s="73">
        <v>0</v>
      </c>
      <c r="AB291" s="72">
        <v>0</v>
      </c>
      <c r="AC291" s="73">
        <v>0</v>
      </c>
      <c r="AD291" s="72">
        <v>0</v>
      </c>
      <c r="AE291" s="73">
        <v>0</v>
      </c>
      <c r="AF291" s="72">
        <v>0</v>
      </c>
      <c r="AG291" s="88">
        <v>0</v>
      </c>
      <c r="AH291"/>
    </row>
    <row r="292" spans="1:34">
      <c r="B292" s="114">
        <v>273</v>
      </c>
      <c r="C292" s="117">
        <v>51</v>
      </c>
      <c r="D292" s="117"/>
      <c r="E292" s="117" t="s">
        <v>541</v>
      </c>
      <c r="F292" s="117" t="s">
        <v>542</v>
      </c>
      <c r="G292" s="117" t="s">
        <v>549</v>
      </c>
      <c r="H292" s="117" t="s">
        <v>544</v>
      </c>
      <c r="I292" s="120" t="s">
        <v>548</v>
      </c>
      <c r="J292" s="84">
        <v>456</v>
      </c>
      <c r="K292" s="73">
        <v>1172444.4</v>
      </c>
      <c r="L292" s="72">
        <v>840</v>
      </c>
      <c r="M292" s="73">
        <v>2159766</v>
      </c>
      <c r="N292" s="72">
        <v>1040</v>
      </c>
      <c r="O292" s="73">
        <v>2673996</v>
      </c>
      <c r="P292" s="72">
        <v>600</v>
      </c>
      <c r="Q292" s="73">
        <v>1542690</v>
      </c>
      <c r="R292" s="72">
        <v>1000</v>
      </c>
      <c r="S292" s="73">
        <v>2571150</v>
      </c>
      <c r="T292" s="72">
        <v>720</v>
      </c>
      <c r="U292" s="73">
        <v>1851228</v>
      </c>
      <c r="V292" s="72">
        <v>768</v>
      </c>
      <c r="W292" s="73">
        <v>1978703.28</v>
      </c>
      <c r="X292" s="72">
        <v>832</v>
      </c>
      <c r="Y292" s="73">
        <v>2279946.24</v>
      </c>
      <c r="Z292" s="72">
        <v>376</v>
      </c>
      <c r="AA292" s="73">
        <v>1030360.32</v>
      </c>
      <c r="AB292" s="72">
        <v>422</v>
      </c>
      <c r="AC292" s="73">
        <v>1156415.04</v>
      </c>
      <c r="AD292" s="72">
        <v>0</v>
      </c>
      <c r="AE292" s="73">
        <v>0</v>
      </c>
      <c r="AF292" s="72">
        <v>0</v>
      </c>
      <c r="AG292" s="88">
        <v>0</v>
      </c>
      <c r="AH292"/>
    </row>
    <row r="293" spans="1:34">
      <c r="B293" s="114">
        <v>274</v>
      </c>
      <c r="C293" s="117">
        <v>51</v>
      </c>
      <c r="D293" s="117"/>
      <c r="E293" s="117" t="s">
        <v>541</v>
      </c>
      <c r="F293" s="117" t="s">
        <v>542</v>
      </c>
      <c r="G293" s="117" t="s">
        <v>550</v>
      </c>
      <c r="H293" s="117" t="s">
        <v>544</v>
      </c>
      <c r="I293" s="120" t="s">
        <v>545</v>
      </c>
      <c r="J293" s="84">
        <v>440</v>
      </c>
      <c r="K293" s="73">
        <v>536140</v>
      </c>
      <c r="L293" s="72">
        <v>880</v>
      </c>
      <c r="M293" s="73">
        <v>1072280</v>
      </c>
      <c r="N293" s="72">
        <v>1080</v>
      </c>
      <c r="O293" s="73">
        <v>1315980</v>
      </c>
      <c r="P293" s="72">
        <v>561</v>
      </c>
      <c r="Q293" s="73">
        <v>683578.5</v>
      </c>
      <c r="R293" s="72">
        <v>960</v>
      </c>
      <c r="S293" s="73">
        <v>1169760</v>
      </c>
      <c r="T293" s="72">
        <v>736</v>
      </c>
      <c r="U293" s="73">
        <v>896816</v>
      </c>
      <c r="V293" s="72">
        <v>736</v>
      </c>
      <c r="W293" s="73">
        <v>897279.6800000001</v>
      </c>
      <c r="X293" s="72">
        <v>884</v>
      </c>
      <c r="Y293" s="73">
        <v>1085693.44</v>
      </c>
      <c r="Z293" s="72">
        <v>432</v>
      </c>
      <c r="AA293" s="73">
        <v>530565.12</v>
      </c>
      <c r="AB293" s="72">
        <v>272</v>
      </c>
      <c r="AC293" s="73">
        <v>334059.52</v>
      </c>
      <c r="AD293" s="72">
        <v>0</v>
      </c>
      <c r="AE293" s="73">
        <v>0</v>
      </c>
      <c r="AF293" s="72">
        <v>0</v>
      </c>
      <c r="AG293" s="88">
        <v>0</v>
      </c>
      <c r="AH293"/>
    </row>
    <row r="294" spans="1:34">
      <c r="B294" s="114">
        <v>275</v>
      </c>
      <c r="C294" s="117">
        <v>51</v>
      </c>
      <c r="D294" s="117"/>
      <c r="E294" s="117" t="s">
        <v>541</v>
      </c>
      <c r="F294" s="117" t="s">
        <v>542</v>
      </c>
      <c r="G294" s="117" t="s">
        <v>547</v>
      </c>
      <c r="H294" s="117" t="s">
        <v>544</v>
      </c>
      <c r="I294" s="120" t="s">
        <v>548</v>
      </c>
      <c r="J294" s="84">
        <v>24</v>
      </c>
      <c r="K294" s="73">
        <v>30438.24</v>
      </c>
      <c r="L294" s="72">
        <v>48</v>
      </c>
      <c r="M294" s="73">
        <v>60876.48</v>
      </c>
      <c r="N294" s="72">
        <v>48</v>
      </c>
      <c r="O294" s="73">
        <v>60876.48</v>
      </c>
      <c r="P294" s="72">
        <v>72</v>
      </c>
      <c r="Q294" s="73">
        <v>91314.72</v>
      </c>
      <c r="R294" s="72">
        <v>24</v>
      </c>
      <c r="S294" s="73">
        <v>30438.24</v>
      </c>
      <c r="T294" s="72">
        <v>72</v>
      </c>
      <c r="U294" s="73">
        <v>91314.72</v>
      </c>
      <c r="V294" s="72">
        <v>72</v>
      </c>
      <c r="W294" s="73">
        <v>91546.56</v>
      </c>
      <c r="X294" s="72">
        <v>60</v>
      </c>
      <c r="Y294" s="73">
        <v>76675.2</v>
      </c>
      <c r="Z294" s="72">
        <v>24</v>
      </c>
      <c r="AA294" s="73">
        <v>30670.08</v>
      </c>
      <c r="AB294" s="72">
        <v>0</v>
      </c>
      <c r="AC294" s="73">
        <v>0</v>
      </c>
      <c r="AD294" s="72">
        <v>0</v>
      </c>
      <c r="AE294" s="73">
        <v>0</v>
      </c>
      <c r="AF294" s="72">
        <v>0</v>
      </c>
      <c r="AG294" s="88">
        <v>0</v>
      </c>
      <c r="AH294"/>
    </row>
    <row r="295" spans="1:34">
      <c r="B295" s="114">
        <v>276</v>
      </c>
      <c r="C295" s="117">
        <v>51</v>
      </c>
      <c r="D295" s="117"/>
      <c r="E295" s="117" t="s">
        <v>541</v>
      </c>
      <c r="F295" s="117" t="s">
        <v>542</v>
      </c>
      <c r="G295" s="117" t="s">
        <v>546</v>
      </c>
      <c r="H295" s="117" t="s">
        <v>544</v>
      </c>
      <c r="I295" s="120" t="s">
        <v>545</v>
      </c>
      <c r="J295" s="84">
        <v>18</v>
      </c>
      <c r="K295" s="73">
        <v>65821.67999999999</v>
      </c>
      <c r="L295" s="72">
        <v>60</v>
      </c>
      <c r="M295" s="73">
        <v>219405.6</v>
      </c>
      <c r="N295" s="72">
        <v>59</v>
      </c>
      <c r="O295" s="73">
        <v>215748.84</v>
      </c>
      <c r="P295" s="72">
        <v>24</v>
      </c>
      <c r="Q295" s="73">
        <v>87762.24000000001</v>
      </c>
      <c r="R295" s="72">
        <v>24</v>
      </c>
      <c r="S295" s="73">
        <v>87762.24000000001</v>
      </c>
      <c r="T295" s="72">
        <v>48</v>
      </c>
      <c r="U295" s="73">
        <v>175524.48</v>
      </c>
      <c r="V295" s="72">
        <v>54</v>
      </c>
      <c r="W295" s="73">
        <v>197465.04</v>
      </c>
      <c r="X295" s="72">
        <v>30</v>
      </c>
      <c r="Y295" s="73">
        <v>116789.1</v>
      </c>
      <c r="Z295" s="72">
        <v>0</v>
      </c>
      <c r="AA295" s="73">
        <v>0</v>
      </c>
      <c r="AB295" s="72">
        <v>0</v>
      </c>
      <c r="AC295" s="73">
        <v>0</v>
      </c>
      <c r="AD295" s="72">
        <v>0</v>
      </c>
      <c r="AE295" s="73">
        <v>0</v>
      </c>
      <c r="AF295" s="72">
        <v>0</v>
      </c>
      <c r="AG295" s="88">
        <v>0</v>
      </c>
      <c r="AH295"/>
    </row>
    <row r="296" spans="1:34">
      <c r="B296" s="114">
        <v>277</v>
      </c>
      <c r="C296" s="117">
        <v>51</v>
      </c>
      <c r="D296" s="117"/>
      <c r="E296" s="117" t="s">
        <v>541</v>
      </c>
      <c r="F296" s="117" t="s">
        <v>542</v>
      </c>
      <c r="G296" s="117" t="s">
        <v>543</v>
      </c>
      <c r="H296" s="117" t="s">
        <v>544</v>
      </c>
      <c r="I296" s="120" t="s">
        <v>545</v>
      </c>
      <c r="J296" s="84">
        <v>456</v>
      </c>
      <c r="K296" s="73">
        <v>1172444.4</v>
      </c>
      <c r="L296" s="72">
        <v>840</v>
      </c>
      <c r="M296" s="73">
        <v>2159766</v>
      </c>
      <c r="N296" s="72">
        <v>1040</v>
      </c>
      <c r="O296" s="73">
        <v>2673996</v>
      </c>
      <c r="P296" s="72">
        <v>600</v>
      </c>
      <c r="Q296" s="73">
        <v>1542690</v>
      </c>
      <c r="R296" s="72">
        <v>1006</v>
      </c>
      <c r="S296" s="73">
        <v>2586576.9</v>
      </c>
      <c r="T296" s="72">
        <v>720</v>
      </c>
      <c r="U296" s="73">
        <v>1851228</v>
      </c>
      <c r="V296" s="72">
        <v>768</v>
      </c>
      <c r="W296" s="73">
        <v>1978703.28</v>
      </c>
      <c r="X296" s="72">
        <v>832</v>
      </c>
      <c r="Y296" s="73">
        <v>2279946.24</v>
      </c>
      <c r="Z296" s="72">
        <v>376</v>
      </c>
      <c r="AA296" s="73">
        <v>1030360.32</v>
      </c>
      <c r="AB296" s="72">
        <v>410</v>
      </c>
      <c r="AC296" s="73">
        <v>1123531.2</v>
      </c>
      <c r="AD296" s="72">
        <v>0</v>
      </c>
      <c r="AE296" s="73">
        <v>0</v>
      </c>
      <c r="AF296" s="72">
        <v>0</v>
      </c>
      <c r="AG296" s="88">
        <v>0</v>
      </c>
      <c r="AH296"/>
    </row>
    <row r="297" spans="1:34">
      <c r="B297" s="114">
        <v>278</v>
      </c>
      <c r="C297" s="117">
        <v>51</v>
      </c>
      <c r="D297" s="117"/>
      <c r="E297" s="117" t="s">
        <v>541</v>
      </c>
      <c r="F297" s="117" t="s">
        <v>542</v>
      </c>
      <c r="G297" s="117" t="s">
        <v>551</v>
      </c>
      <c r="H297" s="117" t="s">
        <v>544</v>
      </c>
      <c r="I297" s="120" t="s">
        <v>548</v>
      </c>
      <c r="J297" s="84">
        <v>18</v>
      </c>
      <c r="K297" s="73">
        <v>65821.67999999999</v>
      </c>
      <c r="L297" s="72">
        <v>60</v>
      </c>
      <c r="M297" s="73">
        <v>219405.6</v>
      </c>
      <c r="N297" s="72">
        <v>59</v>
      </c>
      <c r="O297" s="73">
        <v>215748.84</v>
      </c>
      <c r="P297" s="72">
        <v>24</v>
      </c>
      <c r="Q297" s="73">
        <v>87762.24000000001</v>
      </c>
      <c r="R297" s="72">
        <v>24</v>
      </c>
      <c r="S297" s="73">
        <v>87762.24000000001</v>
      </c>
      <c r="T297" s="72">
        <v>48</v>
      </c>
      <c r="U297" s="73">
        <v>175524.48</v>
      </c>
      <c r="V297" s="72">
        <v>54</v>
      </c>
      <c r="W297" s="73">
        <v>197465.04</v>
      </c>
      <c r="X297" s="72">
        <v>30</v>
      </c>
      <c r="Y297" s="73">
        <v>116789.1</v>
      </c>
      <c r="Z297" s="72">
        <v>0</v>
      </c>
      <c r="AA297" s="73">
        <v>0</v>
      </c>
      <c r="AB297" s="72">
        <v>258</v>
      </c>
      <c r="AC297" s="73">
        <v>1004386.26</v>
      </c>
      <c r="AD297" s="72">
        <v>0</v>
      </c>
      <c r="AE297" s="73">
        <v>0</v>
      </c>
      <c r="AF297" s="72">
        <v>0</v>
      </c>
      <c r="AG297" s="88">
        <v>0</v>
      </c>
      <c r="AH297"/>
    </row>
    <row r="298" spans="1:34">
      <c r="B298" s="114">
        <v>279</v>
      </c>
      <c r="C298" s="117">
        <v>51</v>
      </c>
      <c r="D298" s="117"/>
      <c r="E298" s="117" t="s">
        <v>552</v>
      </c>
      <c r="F298" s="117" t="s">
        <v>553</v>
      </c>
      <c r="G298" s="117" t="s">
        <v>554</v>
      </c>
      <c r="H298" s="117" t="s">
        <v>555</v>
      </c>
      <c r="I298" s="120" t="s">
        <v>455</v>
      </c>
      <c r="J298" s="84">
        <v>720</v>
      </c>
      <c r="K298" s="73">
        <v>26620.8</v>
      </c>
      <c r="L298" s="72">
        <v>1600</v>
      </c>
      <c r="M298" s="73">
        <v>52736</v>
      </c>
      <c r="N298" s="72">
        <v>640</v>
      </c>
      <c r="O298" s="73">
        <v>21094.4</v>
      </c>
      <c r="P298" s="72">
        <v>0</v>
      </c>
      <c r="Q298" s="73">
        <v>0</v>
      </c>
      <c r="R298" s="72">
        <v>0</v>
      </c>
      <c r="S298" s="73">
        <v>0</v>
      </c>
      <c r="T298" s="72">
        <v>0</v>
      </c>
      <c r="U298" s="73">
        <v>0</v>
      </c>
      <c r="V298" s="72">
        <v>0</v>
      </c>
      <c r="W298" s="73">
        <v>0</v>
      </c>
      <c r="X298" s="72">
        <v>0</v>
      </c>
      <c r="Y298" s="73">
        <v>0</v>
      </c>
      <c r="Z298" s="72">
        <v>0</v>
      </c>
      <c r="AA298" s="73">
        <v>0</v>
      </c>
      <c r="AB298" s="72">
        <v>0</v>
      </c>
      <c r="AC298" s="73">
        <v>0</v>
      </c>
      <c r="AD298" s="72">
        <v>0</v>
      </c>
      <c r="AE298" s="73">
        <v>0</v>
      </c>
      <c r="AF298" s="72">
        <v>0</v>
      </c>
      <c r="AG298" s="88">
        <v>0</v>
      </c>
      <c r="AH298"/>
    </row>
    <row r="299" spans="1:34">
      <c r="B299" s="114">
        <v>280</v>
      </c>
      <c r="C299" s="117">
        <v>51</v>
      </c>
      <c r="D299" s="117"/>
      <c r="E299" s="117" t="s">
        <v>552</v>
      </c>
      <c r="F299" s="117" t="s">
        <v>553</v>
      </c>
      <c r="G299" s="117" t="s">
        <v>559</v>
      </c>
      <c r="H299" s="117" t="s">
        <v>265</v>
      </c>
      <c r="I299" s="120" t="s">
        <v>266</v>
      </c>
      <c r="J299" s="84">
        <v>0</v>
      </c>
      <c r="K299" s="73">
        <v>0</v>
      </c>
      <c r="L299" s="72">
        <v>0</v>
      </c>
      <c r="M299" s="73">
        <v>0</v>
      </c>
      <c r="N299" s="72">
        <v>0</v>
      </c>
      <c r="O299" s="73">
        <v>0</v>
      </c>
      <c r="P299" s="72">
        <v>0</v>
      </c>
      <c r="Q299" s="73">
        <v>0</v>
      </c>
      <c r="R299" s="72">
        <v>0</v>
      </c>
      <c r="S299" s="73">
        <v>0</v>
      </c>
      <c r="T299" s="72">
        <v>2070</v>
      </c>
      <c r="U299" s="73">
        <v>20948.4</v>
      </c>
      <c r="V299" s="72">
        <v>3105</v>
      </c>
      <c r="W299" s="73">
        <v>31422.6</v>
      </c>
      <c r="X299" s="72">
        <v>0</v>
      </c>
      <c r="Y299" s="73">
        <v>0</v>
      </c>
      <c r="Z299" s="72">
        <v>1935</v>
      </c>
      <c r="AA299" s="73">
        <v>19582.2</v>
      </c>
      <c r="AB299" s="72">
        <v>0</v>
      </c>
      <c r="AC299" s="73">
        <v>0</v>
      </c>
      <c r="AD299" s="72">
        <v>0</v>
      </c>
      <c r="AE299" s="73">
        <v>0</v>
      </c>
      <c r="AF299" s="72">
        <v>0</v>
      </c>
      <c r="AG299" s="88">
        <v>0</v>
      </c>
      <c r="AH299"/>
    </row>
    <row r="300" spans="1:34">
      <c r="B300" s="114">
        <v>281</v>
      </c>
      <c r="C300" s="117">
        <v>51</v>
      </c>
      <c r="D300" s="117"/>
      <c r="E300" s="117" t="s">
        <v>552</v>
      </c>
      <c r="F300" s="117" t="s">
        <v>553</v>
      </c>
      <c r="G300" s="117" t="s">
        <v>561</v>
      </c>
      <c r="H300" s="117" t="s">
        <v>562</v>
      </c>
      <c r="I300" s="120" t="s">
        <v>88</v>
      </c>
      <c r="J300" s="84">
        <v>2100</v>
      </c>
      <c r="K300" s="73">
        <v>21483</v>
      </c>
      <c r="L300" s="72">
        <v>7000</v>
      </c>
      <c r="M300" s="73">
        <v>71610</v>
      </c>
      <c r="N300" s="72">
        <v>7770</v>
      </c>
      <c r="O300" s="73">
        <v>79839.89999999999</v>
      </c>
      <c r="P300" s="72">
        <v>3500</v>
      </c>
      <c r="Q300" s="73">
        <v>36085</v>
      </c>
      <c r="R300" s="72">
        <v>4200</v>
      </c>
      <c r="S300" s="73">
        <v>43302</v>
      </c>
      <c r="T300" s="72">
        <v>4200</v>
      </c>
      <c r="U300" s="73">
        <v>43302</v>
      </c>
      <c r="V300" s="72">
        <v>10500</v>
      </c>
      <c r="W300" s="73">
        <v>108255</v>
      </c>
      <c r="X300" s="72">
        <v>4200</v>
      </c>
      <c r="Y300" s="73">
        <v>43302</v>
      </c>
      <c r="Z300" s="72">
        <v>4760</v>
      </c>
      <c r="AA300" s="73">
        <v>49075.6</v>
      </c>
      <c r="AB300" s="72">
        <v>8660</v>
      </c>
      <c r="AC300" s="73">
        <v>92488.8</v>
      </c>
      <c r="AD300" s="72">
        <v>0</v>
      </c>
      <c r="AE300" s="73">
        <v>0</v>
      </c>
      <c r="AF300" s="72">
        <v>0</v>
      </c>
      <c r="AG300" s="88">
        <v>0</v>
      </c>
      <c r="AH300"/>
    </row>
    <row r="301" spans="1:34">
      <c r="B301" s="114">
        <v>282</v>
      </c>
      <c r="C301" s="117">
        <v>51</v>
      </c>
      <c r="D301" s="117"/>
      <c r="E301" s="117" t="s">
        <v>552</v>
      </c>
      <c r="F301" s="117" t="s">
        <v>553</v>
      </c>
      <c r="G301" s="117" t="s">
        <v>560</v>
      </c>
      <c r="H301" s="117" t="s">
        <v>519</v>
      </c>
      <c r="I301" s="120" t="s">
        <v>237</v>
      </c>
      <c r="J301" s="84">
        <v>0</v>
      </c>
      <c r="K301" s="73">
        <v>0</v>
      </c>
      <c r="L301" s="72">
        <v>0</v>
      </c>
      <c r="M301" s="73">
        <v>0</v>
      </c>
      <c r="N301" s="72">
        <v>0</v>
      </c>
      <c r="O301" s="73">
        <v>0</v>
      </c>
      <c r="P301" s="72">
        <v>0</v>
      </c>
      <c r="Q301" s="73">
        <v>0</v>
      </c>
      <c r="R301" s="72">
        <v>0</v>
      </c>
      <c r="S301" s="73">
        <v>0</v>
      </c>
      <c r="T301" s="72">
        <v>0</v>
      </c>
      <c r="U301" s="73">
        <v>0</v>
      </c>
      <c r="V301" s="72">
        <v>0</v>
      </c>
      <c r="W301" s="73">
        <v>0</v>
      </c>
      <c r="X301" s="72">
        <v>0</v>
      </c>
      <c r="Y301" s="73">
        <v>0</v>
      </c>
      <c r="Z301" s="72">
        <v>0</v>
      </c>
      <c r="AA301" s="73">
        <v>0</v>
      </c>
      <c r="AB301" s="72">
        <v>2560</v>
      </c>
      <c r="AC301" s="73">
        <v>24678.4</v>
      </c>
      <c r="AD301" s="72">
        <v>0</v>
      </c>
      <c r="AE301" s="73">
        <v>0</v>
      </c>
      <c r="AF301" s="72">
        <v>0</v>
      </c>
      <c r="AG301" s="88">
        <v>0</v>
      </c>
      <c r="AH301"/>
    </row>
    <row r="302" spans="1:34">
      <c r="B302" s="114">
        <v>283</v>
      </c>
      <c r="C302" s="117">
        <v>51</v>
      </c>
      <c r="D302" s="117"/>
      <c r="E302" s="117" t="s">
        <v>552</v>
      </c>
      <c r="F302" s="117" t="s">
        <v>553</v>
      </c>
      <c r="G302" s="117" t="s">
        <v>557</v>
      </c>
      <c r="H302" s="117" t="s">
        <v>558</v>
      </c>
      <c r="I302" s="120" t="s">
        <v>277</v>
      </c>
      <c r="J302" s="84">
        <v>13950</v>
      </c>
      <c r="K302" s="73">
        <v>509412</v>
      </c>
      <c r="L302" s="72">
        <v>16200</v>
      </c>
      <c r="M302" s="73">
        <v>593892</v>
      </c>
      <c r="N302" s="72">
        <v>14450</v>
      </c>
      <c r="O302" s="73">
        <v>560688</v>
      </c>
      <c r="P302" s="72">
        <v>13400</v>
      </c>
      <c r="Q302" s="73">
        <v>537072</v>
      </c>
      <c r="R302" s="72">
        <v>10800</v>
      </c>
      <c r="S302" s="73">
        <v>432864</v>
      </c>
      <c r="T302" s="72">
        <v>14400</v>
      </c>
      <c r="U302" s="73">
        <v>577152</v>
      </c>
      <c r="V302" s="72">
        <v>15800</v>
      </c>
      <c r="W302" s="73">
        <v>633264</v>
      </c>
      <c r="X302" s="72">
        <v>14700</v>
      </c>
      <c r="Y302" s="73">
        <v>589176</v>
      </c>
      <c r="Z302" s="72">
        <v>12000</v>
      </c>
      <c r="AA302" s="73">
        <v>480960</v>
      </c>
      <c r="AB302" s="72">
        <v>6300</v>
      </c>
      <c r="AC302" s="73">
        <v>252504</v>
      </c>
      <c r="AD302" s="72">
        <v>0</v>
      </c>
      <c r="AE302" s="73">
        <v>0</v>
      </c>
      <c r="AF302" s="72">
        <v>0</v>
      </c>
      <c r="AG302" s="88">
        <v>0</v>
      </c>
      <c r="AH302"/>
    </row>
    <row r="303" spans="1:34">
      <c r="B303" s="114">
        <v>284</v>
      </c>
      <c r="C303" s="117">
        <v>51</v>
      </c>
      <c r="D303" s="117"/>
      <c r="E303" s="117" t="s">
        <v>552</v>
      </c>
      <c r="F303" s="117" t="s">
        <v>553</v>
      </c>
      <c r="G303" s="117" t="s">
        <v>556</v>
      </c>
      <c r="H303" s="117" t="s">
        <v>555</v>
      </c>
      <c r="I303" s="120" t="s">
        <v>455</v>
      </c>
      <c r="J303" s="84">
        <v>1080</v>
      </c>
      <c r="K303" s="73">
        <v>49255.2</v>
      </c>
      <c r="L303" s="72">
        <v>1680</v>
      </c>
      <c r="M303" s="73">
        <v>67804.8</v>
      </c>
      <c r="N303" s="72">
        <v>1620</v>
      </c>
      <c r="O303" s="73">
        <v>65383.2</v>
      </c>
      <c r="P303" s="72">
        <v>0</v>
      </c>
      <c r="Q303" s="73">
        <v>0</v>
      </c>
      <c r="R303" s="72">
        <v>0</v>
      </c>
      <c r="S303" s="73">
        <v>0</v>
      </c>
      <c r="T303" s="72">
        <v>0</v>
      </c>
      <c r="U303" s="73">
        <v>0</v>
      </c>
      <c r="V303" s="72">
        <v>0</v>
      </c>
      <c r="W303" s="73">
        <v>0</v>
      </c>
      <c r="X303" s="72">
        <v>0</v>
      </c>
      <c r="Y303" s="73">
        <v>0</v>
      </c>
      <c r="Z303" s="72">
        <v>0</v>
      </c>
      <c r="AA303" s="73">
        <v>0</v>
      </c>
      <c r="AB303" s="72">
        <v>0</v>
      </c>
      <c r="AC303" s="73">
        <v>0</v>
      </c>
      <c r="AD303" s="72">
        <v>0</v>
      </c>
      <c r="AE303" s="73">
        <v>0</v>
      </c>
      <c r="AF303" s="72">
        <v>0</v>
      </c>
      <c r="AG303" s="88">
        <v>0</v>
      </c>
      <c r="AH303"/>
    </row>
    <row r="304" spans="1:34">
      <c r="B304" s="114">
        <v>285</v>
      </c>
      <c r="C304" s="117">
        <v>51</v>
      </c>
      <c r="D304" s="117"/>
      <c r="E304" s="117" t="s">
        <v>552</v>
      </c>
      <c r="F304" s="117" t="s">
        <v>553</v>
      </c>
      <c r="G304" s="117" t="s">
        <v>261</v>
      </c>
      <c r="H304" s="117" t="s">
        <v>261</v>
      </c>
      <c r="I304" s="120" t="s">
        <v>88</v>
      </c>
      <c r="J304" s="84">
        <v>0</v>
      </c>
      <c r="K304" s="73">
        <v>0</v>
      </c>
      <c r="L304" s="72">
        <v>0</v>
      </c>
      <c r="M304" s="73">
        <v>0</v>
      </c>
      <c r="N304" s="72">
        <v>0</v>
      </c>
      <c r="O304" s="73">
        <v>0</v>
      </c>
      <c r="P304" s="72">
        <v>0</v>
      </c>
      <c r="Q304" s="73">
        <v>0</v>
      </c>
      <c r="R304" s="72">
        <v>6061</v>
      </c>
      <c r="S304" s="73">
        <v>418209</v>
      </c>
      <c r="T304" s="72">
        <v>0</v>
      </c>
      <c r="U304" s="73">
        <v>0</v>
      </c>
      <c r="V304" s="72">
        <v>0</v>
      </c>
      <c r="W304" s="73">
        <v>0</v>
      </c>
      <c r="X304" s="72">
        <v>0</v>
      </c>
      <c r="Y304" s="73">
        <v>0</v>
      </c>
      <c r="Z304" s="72">
        <v>0</v>
      </c>
      <c r="AA304" s="73">
        <v>0</v>
      </c>
      <c r="AB304" s="72">
        <v>0</v>
      </c>
      <c r="AC304" s="73">
        <v>0</v>
      </c>
      <c r="AD304" s="72">
        <v>0</v>
      </c>
      <c r="AE304" s="73">
        <v>0</v>
      </c>
      <c r="AF304" s="72">
        <v>0</v>
      </c>
      <c r="AG304" s="88">
        <v>0</v>
      </c>
      <c r="AH304"/>
    </row>
    <row r="305" spans="1:34">
      <c r="B305" s="114">
        <v>286</v>
      </c>
      <c r="C305" s="117">
        <v>51</v>
      </c>
      <c r="D305" s="117"/>
      <c r="E305" s="117" t="s">
        <v>552</v>
      </c>
      <c r="F305" s="117" t="s">
        <v>553</v>
      </c>
      <c r="G305" s="117" t="s">
        <v>563</v>
      </c>
      <c r="H305" s="117" t="s">
        <v>564</v>
      </c>
      <c r="I305" s="120" t="s">
        <v>351</v>
      </c>
      <c r="J305" s="84">
        <v>27930</v>
      </c>
      <c r="K305" s="73">
        <v>833798.1</v>
      </c>
      <c r="L305" s="72">
        <v>36090</v>
      </c>
      <c r="M305" s="73">
        <v>1081617.3</v>
      </c>
      <c r="N305" s="72">
        <v>30480</v>
      </c>
      <c r="O305" s="73">
        <v>937467.6</v>
      </c>
      <c r="P305" s="72">
        <v>30270</v>
      </c>
      <c r="Q305" s="73">
        <v>949569.9</v>
      </c>
      <c r="R305" s="72">
        <v>26400</v>
      </c>
      <c r="S305" s="73">
        <v>828168</v>
      </c>
      <c r="T305" s="72">
        <v>24000</v>
      </c>
      <c r="U305" s="73">
        <v>752880</v>
      </c>
      <c r="V305" s="72">
        <v>32400</v>
      </c>
      <c r="W305" s="73">
        <v>1016388</v>
      </c>
      <c r="X305" s="72">
        <v>36000</v>
      </c>
      <c r="Y305" s="73">
        <v>1129320</v>
      </c>
      <c r="Z305" s="72">
        <v>19800</v>
      </c>
      <c r="AA305" s="73">
        <v>621126</v>
      </c>
      <c r="AB305" s="72">
        <v>15600</v>
      </c>
      <c r="AC305" s="73">
        <v>489372</v>
      </c>
      <c r="AD305" s="72">
        <v>0</v>
      </c>
      <c r="AE305" s="73">
        <v>0</v>
      </c>
      <c r="AF305" s="72">
        <v>0</v>
      </c>
      <c r="AG305" s="88">
        <v>0</v>
      </c>
      <c r="AH305"/>
    </row>
    <row r="306" spans="1:34">
      <c r="B306" s="114">
        <v>287</v>
      </c>
      <c r="C306" s="117">
        <v>51</v>
      </c>
      <c r="D306" s="117"/>
      <c r="E306" s="117" t="s">
        <v>565</v>
      </c>
      <c r="F306" s="117" t="s">
        <v>566</v>
      </c>
      <c r="G306" s="117" t="s">
        <v>579</v>
      </c>
      <c r="H306" s="117" t="s">
        <v>580</v>
      </c>
      <c r="I306" s="120" t="s">
        <v>571</v>
      </c>
      <c r="J306" s="84">
        <v>0</v>
      </c>
      <c r="K306" s="73">
        <v>0</v>
      </c>
      <c r="L306" s="72">
        <v>36</v>
      </c>
      <c r="M306" s="73">
        <v>16200</v>
      </c>
      <c r="N306" s="72">
        <v>0</v>
      </c>
      <c r="O306" s="73">
        <v>0</v>
      </c>
      <c r="P306" s="72">
        <v>0</v>
      </c>
      <c r="Q306" s="73">
        <v>0</v>
      </c>
      <c r="R306" s="72">
        <v>0</v>
      </c>
      <c r="S306" s="73">
        <v>0</v>
      </c>
      <c r="T306" s="72">
        <v>0</v>
      </c>
      <c r="U306" s="73">
        <v>0</v>
      </c>
      <c r="V306" s="72">
        <v>0</v>
      </c>
      <c r="W306" s="73">
        <v>0</v>
      </c>
      <c r="X306" s="72">
        <v>0</v>
      </c>
      <c r="Y306" s="73">
        <v>0</v>
      </c>
      <c r="Z306" s="72">
        <v>0</v>
      </c>
      <c r="AA306" s="73">
        <v>0</v>
      </c>
      <c r="AB306" s="72">
        <v>0</v>
      </c>
      <c r="AC306" s="73">
        <v>0</v>
      </c>
      <c r="AD306" s="72">
        <v>0</v>
      </c>
      <c r="AE306" s="73">
        <v>0</v>
      </c>
      <c r="AF306" s="72">
        <v>0</v>
      </c>
      <c r="AG306" s="88">
        <v>0</v>
      </c>
      <c r="AH306"/>
    </row>
    <row r="307" spans="1:34">
      <c r="B307" s="114">
        <v>288</v>
      </c>
      <c r="C307" s="117">
        <v>51</v>
      </c>
      <c r="D307" s="117"/>
      <c r="E307" s="117" t="s">
        <v>565</v>
      </c>
      <c r="F307" s="117" t="s">
        <v>566</v>
      </c>
      <c r="G307" s="117" t="s">
        <v>576</v>
      </c>
      <c r="H307" s="117" t="s">
        <v>577</v>
      </c>
      <c r="I307" s="120" t="s">
        <v>225</v>
      </c>
      <c r="J307" s="84">
        <v>0</v>
      </c>
      <c r="K307" s="73">
        <v>0</v>
      </c>
      <c r="L307" s="72">
        <v>200</v>
      </c>
      <c r="M307" s="73">
        <v>234</v>
      </c>
      <c r="N307" s="72">
        <v>200</v>
      </c>
      <c r="O307" s="73">
        <v>234</v>
      </c>
      <c r="P307" s="72">
        <v>200</v>
      </c>
      <c r="Q307" s="73">
        <v>234</v>
      </c>
      <c r="R307" s="72">
        <v>200</v>
      </c>
      <c r="S307" s="73">
        <v>234</v>
      </c>
      <c r="T307" s="72">
        <v>200</v>
      </c>
      <c r="U307" s="73">
        <v>234</v>
      </c>
      <c r="V307" s="72">
        <v>0</v>
      </c>
      <c r="W307" s="73">
        <v>0</v>
      </c>
      <c r="X307" s="72">
        <v>0</v>
      </c>
      <c r="Y307" s="73">
        <v>0</v>
      </c>
      <c r="Z307" s="72">
        <v>0</v>
      </c>
      <c r="AA307" s="73">
        <v>0</v>
      </c>
      <c r="AB307" s="72">
        <v>200</v>
      </c>
      <c r="AC307" s="73">
        <v>234</v>
      </c>
      <c r="AD307" s="72">
        <v>0</v>
      </c>
      <c r="AE307" s="73">
        <v>0</v>
      </c>
      <c r="AF307" s="72">
        <v>0</v>
      </c>
      <c r="AG307" s="88">
        <v>0</v>
      </c>
      <c r="AH307"/>
    </row>
    <row r="308" spans="1:34">
      <c r="B308" s="114">
        <v>289</v>
      </c>
      <c r="C308" s="117">
        <v>51</v>
      </c>
      <c r="D308" s="117"/>
      <c r="E308" s="117" t="s">
        <v>565</v>
      </c>
      <c r="F308" s="117" t="s">
        <v>566</v>
      </c>
      <c r="G308" s="117" t="s">
        <v>572</v>
      </c>
      <c r="H308" s="117" t="s">
        <v>573</v>
      </c>
      <c r="I308" s="120" t="s">
        <v>571</v>
      </c>
      <c r="J308" s="84">
        <v>0</v>
      </c>
      <c r="K308" s="73">
        <v>0</v>
      </c>
      <c r="L308" s="72">
        <v>0</v>
      </c>
      <c r="M308" s="73">
        <v>0</v>
      </c>
      <c r="N308" s="72">
        <v>0</v>
      </c>
      <c r="O308" s="73">
        <v>0</v>
      </c>
      <c r="P308" s="72">
        <v>0</v>
      </c>
      <c r="Q308" s="73">
        <v>0</v>
      </c>
      <c r="R308" s="72">
        <v>0</v>
      </c>
      <c r="S308" s="73">
        <v>0</v>
      </c>
      <c r="T308" s="72">
        <v>0</v>
      </c>
      <c r="U308" s="73">
        <v>0</v>
      </c>
      <c r="V308" s="72">
        <v>0</v>
      </c>
      <c r="W308" s="73">
        <v>0</v>
      </c>
      <c r="X308" s="72">
        <v>0</v>
      </c>
      <c r="Y308" s="73">
        <v>0</v>
      </c>
      <c r="Z308" s="72">
        <v>0</v>
      </c>
      <c r="AA308" s="73">
        <v>0</v>
      </c>
      <c r="AB308" s="72">
        <v>200</v>
      </c>
      <c r="AC308" s="73">
        <v>444</v>
      </c>
      <c r="AD308" s="72">
        <v>0</v>
      </c>
      <c r="AE308" s="73">
        <v>0</v>
      </c>
      <c r="AF308" s="72">
        <v>0</v>
      </c>
      <c r="AG308" s="88">
        <v>0</v>
      </c>
      <c r="AH308"/>
    </row>
    <row r="309" spans="1:34">
      <c r="B309" s="114">
        <v>290</v>
      </c>
      <c r="C309" s="117">
        <v>51</v>
      </c>
      <c r="D309" s="117"/>
      <c r="E309" s="117" t="s">
        <v>565</v>
      </c>
      <c r="F309" s="117" t="s">
        <v>566</v>
      </c>
      <c r="G309" s="117" t="s">
        <v>569</v>
      </c>
      <c r="H309" s="117" t="s">
        <v>570</v>
      </c>
      <c r="I309" s="120" t="s">
        <v>571</v>
      </c>
      <c r="J309" s="84">
        <v>0</v>
      </c>
      <c r="K309" s="73">
        <v>0</v>
      </c>
      <c r="L309" s="72">
        <v>0</v>
      </c>
      <c r="M309" s="73">
        <v>0</v>
      </c>
      <c r="N309" s="72">
        <v>0</v>
      </c>
      <c r="O309" s="73">
        <v>0</v>
      </c>
      <c r="P309" s="72">
        <v>400</v>
      </c>
      <c r="Q309" s="73">
        <v>344</v>
      </c>
      <c r="R309" s="72">
        <v>200</v>
      </c>
      <c r="S309" s="73">
        <v>172</v>
      </c>
      <c r="T309" s="72">
        <v>0</v>
      </c>
      <c r="U309" s="73">
        <v>0</v>
      </c>
      <c r="V309" s="72">
        <v>0</v>
      </c>
      <c r="W309" s="73">
        <v>0</v>
      </c>
      <c r="X309" s="72">
        <v>0</v>
      </c>
      <c r="Y309" s="73">
        <v>0</v>
      </c>
      <c r="Z309" s="72">
        <v>0</v>
      </c>
      <c r="AA309" s="73">
        <v>0</v>
      </c>
      <c r="AB309" s="72">
        <v>200</v>
      </c>
      <c r="AC309" s="73">
        <v>172</v>
      </c>
      <c r="AD309" s="72">
        <v>0</v>
      </c>
      <c r="AE309" s="73">
        <v>0</v>
      </c>
      <c r="AF309" s="72">
        <v>0</v>
      </c>
      <c r="AG309" s="88">
        <v>0</v>
      </c>
      <c r="AH309"/>
    </row>
    <row r="310" spans="1:34">
      <c r="B310" s="114">
        <v>291</v>
      </c>
      <c r="C310" s="117">
        <v>51</v>
      </c>
      <c r="D310" s="117"/>
      <c r="E310" s="117" t="s">
        <v>565</v>
      </c>
      <c r="F310" s="117" t="s">
        <v>566</v>
      </c>
      <c r="G310" s="117" t="s">
        <v>578</v>
      </c>
      <c r="H310" s="117" t="s">
        <v>577</v>
      </c>
      <c r="I310" s="120" t="s">
        <v>225</v>
      </c>
      <c r="J310" s="84">
        <v>0</v>
      </c>
      <c r="K310" s="73">
        <v>0</v>
      </c>
      <c r="L310" s="72">
        <v>200</v>
      </c>
      <c r="M310" s="73">
        <v>540</v>
      </c>
      <c r="N310" s="72">
        <v>0</v>
      </c>
      <c r="O310" s="73">
        <v>0</v>
      </c>
      <c r="P310" s="72">
        <v>200</v>
      </c>
      <c r="Q310" s="73">
        <v>540</v>
      </c>
      <c r="R310" s="72">
        <v>0</v>
      </c>
      <c r="S310" s="73">
        <v>0</v>
      </c>
      <c r="T310" s="72">
        <v>0</v>
      </c>
      <c r="U310" s="73">
        <v>0</v>
      </c>
      <c r="V310" s="72">
        <v>200</v>
      </c>
      <c r="W310" s="73">
        <v>540</v>
      </c>
      <c r="X310" s="72">
        <v>0</v>
      </c>
      <c r="Y310" s="73">
        <v>0</v>
      </c>
      <c r="Z310" s="72">
        <v>0</v>
      </c>
      <c r="AA310" s="73">
        <v>0</v>
      </c>
      <c r="AB310" s="72">
        <v>200</v>
      </c>
      <c r="AC310" s="73">
        <v>540</v>
      </c>
      <c r="AD310" s="72">
        <v>0</v>
      </c>
      <c r="AE310" s="73">
        <v>0</v>
      </c>
      <c r="AF310" s="72">
        <v>0</v>
      </c>
      <c r="AG310" s="88">
        <v>0</v>
      </c>
      <c r="AH310"/>
    </row>
    <row r="311" spans="1:34">
      <c r="B311" s="114">
        <v>292</v>
      </c>
      <c r="C311" s="117">
        <v>51</v>
      </c>
      <c r="D311" s="117"/>
      <c r="E311" s="117" t="s">
        <v>565</v>
      </c>
      <c r="F311" s="117" t="s">
        <v>566</v>
      </c>
      <c r="G311" s="117" t="s">
        <v>574</v>
      </c>
      <c r="H311" s="117" t="s">
        <v>575</v>
      </c>
      <c r="I311" s="120" t="s">
        <v>455</v>
      </c>
      <c r="J311" s="84">
        <v>1200</v>
      </c>
      <c r="K311" s="73">
        <v>8472</v>
      </c>
      <c r="L311" s="72">
        <v>4400</v>
      </c>
      <c r="M311" s="73">
        <v>31064</v>
      </c>
      <c r="N311" s="72">
        <v>0</v>
      </c>
      <c r="O311" s="73">
        <v>0</v>
      </c>
      <c r="P311" s="72">
        <v>0</v>
      </c>
      <c r="Q311" s="73">
        <v>0</v>
      </c>
      <c r="R311" s="72">
        <v>3000</v>
      </c>
      <c r="S311" s="73">
        <v>21180</v>
      </c>
      <c r="T311" s="72">
        <v>0</v>
      </c>
      <c r="U311" s="73">
        <v>0</v>
      </c>
      <c r="V311" s="72">
        <v>400</v>
      </c>
      <c r="W311" s="73">
        <v>2824</v>
      </c>
      <c r="X311" s="72">
        <v>0</v>
      </c>
      <c r="Y311" s="73">
        <v>0</v>
      </c>
      <c r="Z311" s="72">
        <v>0</v>
      </c>
      <c r="AA311" s="73">
        <v>0</v>
      </c>
      <c r="AB311" s="72">
        <v>0</v>
      </c>
      <c r="AC311" s="73">
        <v>0</v>
      </c>
      <c r="AD311" s="72">
        <v>0</v>
      </c>
      <c r="AE311" s="73">
        <v>0</v>
      </c>
      <c r="AF311" s="72">
        <v>0</v>
      </c>
      <c r="AG311" s="88">
        <v>0</v>
      </c>
      <c r="AH311"/>
    </row>
    <row r="312" spans="1:34">
      <c r="B312" s="114">
        <v>293</v>
      </c>
      <c r="C312" s="117">
        <v>51</v>
      </c>
      <c r="D312" s="117"/>
      <c r="E312" s="117" t="s">
        <v>581</v>
      </c>
      <c r="F312" s="117" t="s">
        <v>582</v>
      </c>
      <c r="G312" s="117" t="s">
        <v>583</v>
      </c>
      <c r="H312" s="117" t="s">
        <v>336</v>
      </c>
      <c r="I312" s="120" t="s">
        <v>584</v>
      </c>
      <c r="J312" s="84">
        <v>0</v>
      </c>
      <c r="K312" s="73">
        <v>0</v>
      </c>
      <c r="L312" s="72">
        <v>6300</v>
      </c>
      <c r="M312" s="73">
        <v>16506</v>
      </c>
      <c r="N312" s="72">
        <v>6300</v>
      </c>
      <c r="O312" s="73">
        <v>16506</v>
      </c>
      <c r="P312" s="72">
        <v>6300</v>
      </c>
      <c r="Q312" s="73">
        <v>16506</v>
      </c>
      <c r="R312" s="72">
        <v>6300</v>
      </c>
      <c r="S312" s="73">
        <v>16506</v>
      </c>
      <c r="T312" s="72">
        <v>0</v>
      </c>
      <c r="U312" s="73">
        <v>0</v>
      </c>
      <c r="V312" s="72">
        <v>6300</v>
      </c>
      <c r="W312" s="73">
        <v>16569</v>
      </c>
      <c r="X312" s="72">
        <v>1979</v>
      </c>
      <c r="Y312" s="73">
        <v>5204.77</v>
      </c>
      <c r="Z312" s="72">
        <v>0</v>
      </c>
      <c r="AA312" s="73">
        <v>0</v>
      </c>
      <c r="AB312" s="72">
        <v>2000</v>
      </c>
      <c r="AC312" s="73">
        <v>5260</v>
      </c>
      <c r="AD312" s="72">
        <v>0</v>
      </c>
      <c r="AE312" s="73">
        <v>0</v>
      </c>
      <c r="AF312" s="72">
        <v>0</v>
      </c>
      <c r="AG312" s="88">
        <v>0</v>
      </c>
      <c r="AH312"/>
    </row>
    <row r="313" spans="1:34">
      <c r="B313" s="114">
        <v>294</v>
      </c>
      <c r="C313" s="117">
        <v>51</v>
      </c>
      <c r="D313" s="117"/>
      <c r="E313" s="117" t="s">
        <v>581</v>
      </c>
      <c r="F313" s="117" t="s">
        <v>582</v>
      </c>
      <c r="G313" s="117" t="s">
        <v>585</v>
      </c>
      <c r="H313" s="117" t="s">
        <v>336</v>
      </c>
      <c r="I313" s="120" t="s">
        <v>586</v>
      </c>
      <c r="J313" s="84">
        <v>0</v>
      </c>
      <c r="K313" s="73">
        <v>0</v>
      </c>
      <c r="L313" s="72">
        <v>0</v>
      </c>
      <c r="M313" s="73">
        <v>0</v>
      </c>
      <c r="N313" s="72">
        <v>0</v>
      </c>
      <c r="O313" s="73">
        <v>0</v>
      </c>
      <c r="P313" s="72">
        <v>0</v>
      </c>
      <c r="Q313" s="73">
        <v>0</v>
      </c>
      <c r="R313" s="72">
        <v>0</v>
      </c>
      <c r="S313" s="73">
        <v>0</v>
      </c>
      <c r="T313" s="72">
        <v>0</v>
      </c>
      <c r="U313" s="73">
        <v>0</v>
      </c>
      <c r="V313" s="72">
        <v>0</v>
      </c>
      <c r="W313" s="73">
        <v>0</v>
      </c>
      <c r="X313" s="72">
        <v>590</v>
      </c>
      <c r="Y313" s="73">
        <v>1067.9</v>
      </c>
      <c r="Z313" s="72">
        <v>0</v>
      </c>
      <c r="AA313" s="73">
        <v>0</v>
      </c>
      <c r="AB313" s="72">
        <v>0</v>
      </c>
      <c r="AC313" s="73">
        <v>0</v>
      </c>
      <c r="AD313" s="72">
        <v>0</v>
      </c>
      <c r="AE313" s="73">
        <v>0</v>
      </c>
      <c r="AF313" s="72">
        <v>0</v>
      </c>
      <c r="AG313" s="88">
        <v>0</v>
      </c>
      <c r="AH313"/>
    </row>
    <row r="314" spans="1:34">
      <c r="B314" s="114">
        <v>295</v>
      </c>
      <c r="C314" s="117">
        <v>51</v>
      </c>
      <c r="D314" s="117"/>
      <c r="E314" s="117" t="s">
        <v>587</v>
      </c>
      <c r="F314" s="117" t="s">
        <v>588</v>
      </c>
      <c r="G314" s="117" t="s">
        <v>592</v>
      </c>
      <c r="H314" s="117" t="s">
        <v>590</v>
      </c>
      <c r="I314" s="120" t="s">
        <v>88</v>
      </c>
      <c r="J314" s="84">
        <v>3200</v>
      </c>
      <c r="K314" s="73">
        <v>111740</v>
      </c>
      <c r="L314" s="72">
        <v>3600</v>
      </c>
      <c r="M314" s="73">
        <v>125748</v>
      </c>
      <c r="N314" s="72">
        <v>5600</v>
      </c>
      <c r="O314" s="73">
        <v>195608</v>
      </c>
      <c r="P314" s="72">
        <v>8000</v>
      </c>
      <c r="Q314" s="73">
        <v>279440</v>
      </c>
      <c r="R314" s="72">
        <v>4000</v>
      </c>
      <c r="S314" s="73">
        <v>139720</v>
      </c>
      <c r="T314" s="72">
        <v>6400</v>
      </c>
      <c r="U314" s="73">
        <v>223552</v>
      </c>
      <c r="V314" s="72">
        <v>5600</v>
      </c>
      <c r="W314" s="73">
        <v>195608</v>
      </c>
      <c r="X314" s="72">
        <v>6400</v>
      </c>
      <c r="Y314" s="73">
        <v>223552</v>
      </c>
      <c r="Z314" s="72">
        <v>4400</v>
      </c>
      <c r="AA314" s="73">
        <v>153692</v>
      </c>
      <c r="AB314" s="72">
        <v>2400</v>
      </c>
      <c r="AC314" s="73">
        <v>83832</v>
      </c>
      <c r="AD314" s="72">
        <v>0</v>
      </c>
      <c r="AE314" s="73">
        <v>0</v>
      </c>
      <c r="AF314" s="72">
        <v>0</v>
      </c>
      <c r="AG314" s="88">
        <v>0</v>
      </c>
      <c r="AH314"/>
    </row>
    <row r="315" spans="1:34">
      <c r="B315" s="114">
        <v>296</v>
      </c>
      <c r="C315" s="117">
        <v>51</v>
      </c>
      <c r="D315" s="117"/>
      <c r="E315" s="117" t="s">
        <v>587</v>
      </c>
      <c r="F315" s="117" t="s">
        <v>588</v>
      </c>
      <c r="G315" s="117" t="s">
        <v>593</v>
      </c>
      <c r="H315" s="117" t="s">
        <v>590</v>
      </c>
      <c r="I315" s="120" t="s">
        <v>594</v>
      </c>
      <c r="J315" s="84">
        <v>0</v>
      </c>
      <c r="K315" s="73">
        <v>0</v>
      </c>
      <c r="L315" s="72">
        <v>2400</v>
      </c>
      <c r="M315" s="73">
        <v>58320</v>
      </c>
      <c r="N315" s="72">
        <v>2400</v>
      </c>
      <c r="O315" s="73">
        <v>58320</v>
      </c>
      <c r="P315" s="72">
        <v>6000</v>
      </c>
      <c r="Q315" s="73">
        <v>145800</v>
      </c>
      <c r="R315" s="72">
        <v>5400</v>
      </c>
      <c r="S315" s="73">
        <v>131220</v>
      </c>
      <c r="T315" s="72">
        <v>10200</v>
      </c>
      <c r="U315" s="73">
        <v>247860</v>
      </c>
      <c r="V315" s="72">
        <v>7200</v>
      </c>
      <c r="W315" s="73">
        <v>174960</v>
      </c>
      <c r="X315" s="72">
        <v>6600</v>
      </c>
      <c r="Y315" s="73">
        <v>160380</v>
      </c>
      <c r="Z315" s="72">
        <v>3600</v>
      </c>
      <c r="AA315" s="73">
        <v>87480</v>
      </c>
      <c r="AB315" s="72">
        <v>4200</v>
      </c>
      <c r="AC315" s="73">
        <v>102060</v>
      </c>
      <c r="AD315" s="72">
        <v>0</v>
      </c>
      <c r="AE315" s="73">
        <v>0</v>
      </c>
      <c r="AF315" s="72">
        <v>0</v>
      </c>
      <c r="AG315" s="88">
        <v>0</v>
      </c>
      <c r="AH315"/>
    </row>
    <row r="316" spans="1:34">
      <c r="B316" s="114">
        <v>297</v>
      </c>
      <c r="C316" s="117">
        <v>51</v>
      </c>
      <c r="D316" s="117"/>
      <c r="E316" s="117" t="s">
        <v>587</v>
      </c>
      <c r="F316" s="117" t="s">
        <v>588</v>
      </c>
      <c r="G316" s="117" t="s">
        <v>598</v>
      </c>
      <c r="H316" s="117" t="s">
        <v>590</v>
      </c>
      <c r="I316" s="120" t="s">
        <v>88</v>
      </c>
      <c r="J316" s="84">
        <v>3200</v>
      </c>
      <c r="K316" s="73">
        <v>67216</v>
      </c>
      <c r="L316" s="72">
        <v>1600</v>
      </c>
      <c r="M316" s="73">
        <v>33648</v>
      </c>
      <c r="N316" s="72">
        <v>6400</v>
      </c>
      <c r="O316" s="73">
        <v>134592</v>
      </c>
      <c r="P316" s="72">
        <v>6400</v>
      </c>
      <c r="Q316" s="73">
        <v>134592</v>
      </c>
      <c r="R316" s="72">
        <v>12800</v>
      </c>
      <c r="S316" s="73">
        <v>269184</v>
      </c>
      <c r="T316" s="72">
        <v>11200</v>
      </c>
      <c r="U316" s="73">
        <v>235536</v>
      </c>
      <c r="V316" s="72">
        <v>14400</v>
      </c>
      <c r="W316" s="73">
        <v>302832</v>
      </c>
      <c r="X316" s="72">
        <v>12800</v>
      </c>
      <c r="Y316" s="73">
        <v>269184</v>
      </c>
      <c r="Z316" s="72">
        <v>4800</v>
      </c>
      <c r="AA316" s="73">
        <v>100944</v>
      </c>
      <c r="AB316" s="72">
        <v>3200</v>
      </c>
      <c r="AC316" s="73">
        <v>67296</v>
      </c>
      <c r="AD316" s="72">
        <v>0</v>
      </c>
      <c r="AE316" s="73">
        <v>0</v>
      </c>
      <c r="AF316" s="72">
        <v>0</v>
      </c>
      <c r="AG316" s="88">
        <v>0</v>
      </c>
      <c r="AH316"/>
    </row>
    <row r="317" spans="1:34">
      <c r="B317" s="114">
        <v>298</v>
      </c>
      <c r="C317" s="117">
        <v>51</v>
      </c>
      <c r="D317" s="117"/>
      <c r="E317" s="117" t="s">
        <v>587</v>
      </c>
      <c r="F317" s="117" t="s">
        <v>588</v>
      </c>
      <c r="G317" s="117" t="s">
        <v>601</v>
      </c>
      <c r="H317" s="117" t="s">
        <v>590</v>
      </c>
      <c r="I317" s="120"/>
      <c r="J317" s="84">
        <v>0</v>
      </c>
      <c r="K317" s="73">
        <v>0</v>
      </c>
      <c r="L317" s="72">
        <v>0</v>
      </c>
      <c r="M317" s="73">
        <v>0</v>
      </c>
      <c r="N317" s="72">
        <v>0</v>
      </c>
      <c r="O317" s="73">
        <v>0</v>
      </c>
      <c r="P317" s="72">
        <v>0</v>
      </c>
      <c r="Q317" s="73">
        <v>0</v>
      </c>
      <c r="R317" s="72">
        <v>0</v>
      </c>
      <c r="S317" s="73">
        <v>0</v>
      </c>
      <c r="T317" s="72">
        <v>0</v>
      </c>
      <c r="U317" s="73">
        <v>0</v>
      </c>
      <c r="V317" s="72">
        <v>2000</v>
      </c>
      <c r="W317" s="73">
        <v>35700</v>
      </c>
      <c r="X317" s="72">
        <v>0</v>
      </c>
      <c r="Y317" s="73">
        <v>0</v>
      </c>
      <c r="Z317" s="72">
        <v>0</v>
      </c>
      <c r="AA317" s="73">
        <v>0</v>
      </c>
      <c r="AB317" s="72">
        <v>0</v>
      </c>
      <c r="AC317" s="73">
        <v>0</v>
      </c>
      <c r="AD317" s="72">
        <v>0</v>
      </c>
      <c r="AE317" s="73">
        <v>0</v>
      </c>
      <c r="AF317" s="72">
        <v>0</v>
      </c>
      <c r="AG317" s="88">
        <v>0</v>
      </c>
      <c r="AH317"/>
    </row>
    <row r="318" spans="1:34">
      <c r="B318" s="114">
        <v>299</v>
      </c>
      <c r="C318" s="117">
        <v>51</v>
      </c>
      <c r="D318" s="117"/>
      <c r="E318" s="117" t="s">
        <v>587</v>
      </c>
      <c r="F318" s="117" t="s">
        <v>588</v>
      </c>
      <c r="G318" s="117" t="s">
        <v>600</v>
      </c>
      <c r="H318" s="117" t="s">
        <v>590</v>
      </c>
      <c r="I318" s="120" t="s">
        <v>491</v>
      </c>
      <c r="J318" s="84">
        <v>1500</v>
      </c>
      <c r="K318" s="73">
        <v>43200</v>
      </c>
      <c r="L318" s="72">
        <v>4500</v>
      </c>
      <c r="M318" s="73">
        <v>129600</v>
      </c>
      <c r="N318" s="72">
        <v>5250</v>
      </c>
      <c r="O318" s="73">
        <v>151200</v>
      </c>
      <c r="P318" s="72">
        <v>5250</v>
      </c>
      <c r="Q318" s="73">
        <v>151200</v>
      </c>
      <c r="R318" s="72">
        <v>11250</v>
      </c>
      <c r="S318" s="73">
        <v>324000</v>
      </c>
      <c r="T318" s="72">
        <v>4500</v>
      </c>
      <c r="U318" s="73">
        <v>129600</v>
      </c>
      <c r="V318" s="72">
        <v>11250</v>
      </c>
      <c r="W318" s="73">
        <v>324000</v>
      </c>
      <c r="X318" s="72">
        <v>9000</v>
      </c>
      <c r="Y318" s="73">
        <v>259200</v>
      </c>
      <c r="Z318" s="72">
        <v>1500</v>
      </c>
      <c r="AA318" s="73">
        <v>43200</v>
      </c>
      <c r="AB318" s="72">
        <v>3750</v>
      </c>
      <c r="AC318" s="73">
        <v>108000</v>
      </c>
      <c r="AD318" s="72">
        <v>0</v>
      </c>
      <c r="AE318" s="73">
        <v>0</v>
      </c>
      <c r="AF318" s="72">
        <v>0</v>
      </c>
      <c r="AG318" s="88">
        <v>0</v>
      </c>
      <c r="AH318"/>
    </row>
    <row r="319" spans="1:34">
      <c r="B319" s="114">
        <v>300</v>
      </c>
      <c r="C319" s="117">
        <v>51</v>
      </c>
      <c r="D319" s="117"/>
      <c r="E319" s="117" t="s">
        <v>587</v>
      </c>
      <c r="F319" s="117" t="s">
        <v>588</v>
      </c>
      <c r="G319" s="117" t="s">
        <v>589</v>
      </c>
      <c r="H319" s="117" t="s">
        <v>590</v>
      </c>
      <c r="I319" s="120" t="s">
        <v>591</v>
      </c>
      <c r="J319" s="84">
        <v>0</v>
      </c>
      <c r="K319" s="73">
        <v>0</v>
      </c>
      <c r="L319" s="72">
        <v>0</v>
      </c>
      <c r="M319" s="73">
        <v>0</v>
      </c>
      <c r="N319" s="72">
        <v>0</v>
      </c>
      <c r="O319" s="73">
        <v>0</v>
      </c>
      <c r="P319" s="72">
        <v>0</v>
      </c>
      <c r="Q319" s="73">
        <v>0</v>
      </c>
      <c r="R319" s="72">
        <v>400</v>
      </c>
      <c r="S319" s="73">
        <v>19800</v>
      </c>
      <c r="T319" s="72">
        <v>0</v>
      </c>
      <c r="U319" s="73">
        <v>0</v>
      </c>
      <c r="V319" s="72">
        <v>0</v>
      </c>
      <c r="W319" s="73">
        <v>0</v>
      </c>
      <c r="X319" s="72">
        <v>400</v>
      </c>
      <c r="Y319" s="73">
        <v>19800</v>
      </c>
      <c r="Z319" s="72">
        <v>0</v>
      </c>
      <c r="AA319" s="73">
        <v>0</v>
      </c>
      <c r="AB319" s="72">
        <v>200</v>
      </c>
      <c r="AC319" s="73">
        <v>9900</v>
      </c>
      <c r="AD319" s="72">
        <v>0</v>
      </c>
      <c r="AE319" s="73">
        <v>0</v>
      </c>
      <c r="AF319" s="72">
        <v>0</v>
      </c>
      <c r="AG319" s="88">
        <v>0</v>
      </c>
      <c r="AH319"/>
    </row>
    <row r="320" spans="1:34">
      <c r="B320" s="114">
        <v>301</v>
      </c>
      <c r="C320" s="117">
        <v>51</v>
      </c>
      <c r="D320" s="117"/>
      <c r="E320" s="117" t="s">
        <v>587</v>
      </c>
      <c r="F320" s="117" t="s">
        <v>588</v>
      </c>
      <c r="G320" s="117" t="s">
        <v>595</v>
      </c>
      <c r="H320" s="117" t="s">
        <v>596</v>
      </c>
      <c r="I320" s="120" t="s">
        <v>55</v>
      </c>
      <c r="J320" s="84">
        <v>13860</v>
      </c>
      <c r="K320" s="73">
        <v>884084.4</v>
      </c>
      <c r="L320" s="72">
        <v>21600</v>
      </c>
      <c r="M320" s="73">
        <v>1378080</v>
      </c>
      <c r="N320" s="72">
        <v>19260</v>
      </c>
      <c r="O320" s="73">
        <v>1228788</v>
      </c>
      <c r="P320" s="72">
        <v>14400</v>
      </c>
      <c r="Q320" s="73">
        <v>918720</v>
      </c>
      <c r="R320" s="72">
        <v>18900</v>
      </c>
      <c r="S320" s="73">
        <v>1205820</v>
      </c>
      <c r="T320" s="72">
        <v>20700</v>
      </c>
      <c r="U320" s="73">
        <v>1320660</v>
      </c>
      <c r="V320" s="72">
        <v>18900</v>
      </c>
      <c r="W320" s="73">
        <v>1205820</v>
      </c>
      <c r="X320" s="72">
        <v>18900</v>
      </c>
      <c r="Y320" s="73">
        <v>1205820</v>
      </c>
      <c r="Z320" s="72">
        <v>12600</v>
      </c>
      <c r="AA320" s="73">
        <v>803880</v>
      </c>
      <c r="AB320" s="72">
        <v>7560</v>
      </c>
      <c r="AC320" s="73">
        <v>494424</v>
      </c>
      <c r="AD320" s="72">
        <v>0</v>
      </c>
      <c r="AE320" s="73">
        <v>0</v>
      </c>
      <c r="AF320" s="72">
        <v>0</v>
      </c>
      <c r="AG320" s="88">
        <v>0</v>
      </c>
      <c r="AH320"/>
    </row>
    <row r="321" spans="1:34">
      <c r="B321" s="114">
        <v>302</v>
      </c>
      <c r="C321" s="117">
        <v>51</v>
      </c>
      <c r="D321" s="117"/>
      <c r="E321" s="117" t="s">
        <v>587</v>
      </c>
      <c r="F321" s="117" t="s">
        <v>588</v>
      </c>
      <c r="G321" s="117" t="s">
        <v>597</v>
      </c>
      <c r="H321" s="117" t="s">
        <v>246</v>
      </c>
      <c r="I321" s="120" t="s">
        <v>351</v>
      </c>
      <c r="J321" s="84">
        <v>13200</v>
      </c>
      <c r="K321" s="73">
        <v>144714</v>
      </c>
      <c r="L321" s="72">
        <v>16800</v>
      </c>
      <c r="M321" s="73">
        <v>184296</v>
      </c>
      <c r="N321" s="72">
        <v>16200</v>
      </c>
      <c r="O321" s="73">
        <v>177714</v>
      </c>
      <c r="P321" s="72">
        <v>10800</v>
      </c>
      <c r="Q321" s="73">
        <v>118476</v>
      </c>
      <c r="R321" s="72">
        <v>13800</v>
      </c>
      <c r="S321" s="73">
        <v>151386</v>
      </c>
      <c r="T321" s="72">
        <v>15000</v>
      </c>
      <c r="U321" s="73">
        <v>164550</v>
      </c>
      <c r="V321" s="72">
        <v>15600</v>
      </c>
      <c r="W321" s="73">
        <v>171132</v>
      </c>
      <c r="X321" s="72">
        <v>17400</v>
      </c>
      <c r="Y321" s="73">
        <v>190878</v>
      </c>
      <c r="Z321" s="72">
        <v>10800</v>
      </c>
      <c r="AA321" s="73">
        <v>118476</v>
      </c>
      <c r="AB321" s="72">
        <v>6000</v>
      </c>
      <c r="AC321" s="73">
        <v>65820</v>
      </c>
      <c r="AD321" s="72">
        <v>0</v>
      </c>
      <c r="AE321" s="73">
        <v>0</v>
      </c>
      <c r="AF321" s="72">
        <v>0</v>
      </c>
      <c r="AG321" s="88">
        <v>0</v>
      </c>
      <c r="AH321"/>
    </row>
    <row r="322" spans="1:34">
      <c r="B322" s="114">
        <v>303</v>
      </c>
      <c r="C322" s="117">
        <v>51</v>
      </c>
      <c r="D322" s="117"/>
      <c r="E322" s="117" t="s">
        <v>602</v>
      </c>
      <c r="F322" s="117" t="s">
        <v>603</v>
      </c>
      <c r="G322" s="117" t="s">
        <v>610</v>
      </c>
      <c r="H322" s="117" t="s">
        <v>381</v>
      </c>
      <c r="I322" s="120" t="s">
        <v>611</v>
      </c>
      <c r="J322" s="84">
        <v>1344</v>
      </c>
      <c r="K322" s="73">
        <v>377273.28</v>
      </c>
      <c r="L322" s="72">
        <v>1344</v>
      </c>
      <c r="M322" s="73">
        <v>377664</v>
      </c>
      <c r="N322" s="72">
        <v>576</v>
      </c>
      <c r="O322" s="73">
        <v>161856</v>
      </c>
      <c r="P322" s="72">
        <v>720</v>
      </c>
      <c r="Q322" s="73">
        <v>202320</v>
      </c>
      <c r="R322" s="72">
        <v>1920</v>
      </c>
      <c r="S322" s="73">
        <v>539520</v>
      </c>
      <c r="T322" s="72">
        <v>912</v>
      </c>
      <c r="U322" s="73">
        <v>256272</v>
      </c>
      <c r="V322" s="72">
        <v>1440</v>
      </c>
      <c r="W322" s="73">
        <v>404640</v>
      </c>
      <c r="X322" s="72">
        <v>960</v>
      </c>
      <c r="Y322" s="73">
        <v>269760</v>
      </c>
      <c r="Z322" s="72">
        <v>1440</v>
      </c>
      <c r="AA322" s="73">
        <v>404640</v>
      </c>
      <c r="AB322" s="72">
        <v>288</v>
      </c>
      <c r="AC322" s="73">
        <v>80928</v>
      </c>
      <c r="AD322" s="72">
        <v>0</v>
      </c>
      <c r="AE322" s="73">
        <v>0</v>
      </c>
      <c r="AF322" s="72">
        <v>0</v>
      </c>
      <c r="AG322" s="88">
        <v>0</v>
      </c>
      <c r="AH322"/>
    </row>
    <row r="323" spans="1:34">
      <c r="B323" s="114">
        <v>304</v>
      </c>
      <c r="C323" s="117">
        <v>51</v>
      </c>
      <c r="D323" s="117"/>
      <c r="E323" s="117" t="s">
        <v>602</v>
      </c>
      <c r="F323" s="117" t="s">
        <v>603</v>
      </c>
      <c r="G323" s="117" t="s">
        <v>612</v>
      </c>
      <c r="H323" s="117" t="s">
        <v>381</v>
      </c>
      <c r="I323" s="120" t="s">
        <v>225</v>
      </c>
      <c r="J323" s="84">
        <v>84</v>
      </c>
      <c r="K323" s="73">
        <v>18414.48</v>
      </c>
      <c r="L323" s="72">
        <v>84</v>
      </c>
      <c r="M323" s="73">
        <v>18445.56</v>
      </c>
      <c r="N323" s="72">
        <v>420</v>
      </c>
      <c r="O323" s="73">
        <v>92227.8</v>
      </c>
      <c r="P323" s="72">
        <v>0</v>
      </c>
      <c r="Q323" s="73">
        <v>0</v>
      </c>
      <c r="R323" s="72">
        <v>420</v>
      </c>
      <c r="S323" s="73">
        <v>92227.8</v>
      </c>
      <c r="T323" s="72">
        <v>0</v>
      </c>
      <c r="U323" s="73">
        <v>0</v>
      </c>
      <c r="V323" s="72">
        <v>0</v>
      </c>
      <c r="W323" s="73">
        <v>0</v>
      </c>
      <c r="X323" s="72">
        <v>252</v>
      </c>
      <c r="Y323" s="73">
        <v>55336.68</v>
      </c>
      <c r="Z323" s="72">
        <v>210</v>
      </c>
      <c r="AA323" s="73">
        <v>46113.9</v>
      </c>
      <c r="AB323" s="72">
        <v>0</v>
      </c>
      <c r="AC323" s="73">
        <v>0</v>
      </c>
      <c r="AD323" s="72">
        <v>0</v>
      </c>
      <c r="AE323" s="73">
        <v>0</v>
      </c>
      <c r="AF323" s="72">
        <v>0</v>
      </c>
      <c r="AG323" s="88">
        <v>0</v>
      </c>
      <c r="AH323"/>
    </row>
    <row r="324" spans="1:34">
      <c r="B324" s="114">
        <v>305</v>
      </c>
      <c r="C324" s="117">
        <v>51</v>
      </c>
      <c r="D324" s="117"/>
      <c r="E324" s="117" t="s">
        <v>602</v>
      </c>
      <c r="F324" s="117" t="s">
        <v>603</v>
      </c>
      <c r="G324" s="117" t="s">
        <v>604</v>
      </c>
      <c r="H324" s="117" t="s">
        <v>605</v>
      </c>
      <c r="I324" s="120" t="s">
        <v>318</v>
      </c>
      <c r="J324" s="84">
        <v>4000</v>
      </c>
      <c r="K324" s="73">
        <v>2200</v>
      </c>
      <c r="L324" s="72">
        <v>4000</v>
      </c>
      <c r="M324" s="73">
        <v>3680</v>
      </c>
      <c r="N324" s="72">
        <v>0</v>
      </c>
      <c r="O324" s="73">
        <v>0</v>
      </c>
      <c r="P324" s="72">
        <v>4000</v>
      </c>
      <c r="Q324" s="73">
        <v>3680</v>
      </c>
      <c r="R324" s="72">
        <v>8000</v>
      </c>
      <c r="S324" s="73">
        <v>7360</v>
      </c>
      <c r="T324" s="72">
        <v>0</v>
      </c>
      <c r="U324" s="73">
        <v>0</v>
      </c>
      <c r="V324" s="72">
        <v>12000</v>
      </c>
      <c r="W324" s="73">
        <v>11040</v>
      </c>
      <c r="X324" s="72">
        <v>8000</v>
      </c>
      <c r="Y324" s="73">
        <v>7360</v>
      </c>
      <c r="Z324" s="72">
        <v>4000</v>
      </c>
      <c r="AA324" s="73">
        <v>3680</v>
      </c>
      <c r="AB324" s="72">
        <v>4000</v>
      </c>
      <c r="AC324" s="73">
        <v>3680</v>
      </c>
      <c r="AD324" s="72">
        <v>0</v>
      </c>
      <c r="AE324" s="73">
        <v>0</v>
      </c>
      <c r="AF324" s="72">
        <v>0</v>
      </c>
      <c r="AG324" s="88">
        <v>0</v>
      </c>
      <c r="AH324"/>
    </row>
    <row r="325" spans="1:34">
      <c r="B325" s="114">
        <v>306</v>
      </c>
      <c r="C325" s="117">
        <v>51</v>
      </c>
      <c r="D325" s="117"/>
      <c r="E325" s="117" t="s">
        <v>602</v>
      </c>
      <c r="F325" s="117" t="s">
        <v>603</v>
      </c>
      <c r="G325" s="117" t="s">
        <v>615</v>
      </c>
      <c r="H325" s="117" t="s">
        <v>381</v>
      </c>
      <c r="I325" s="120" t="s">
        <v>149</v>
      </c>
      <c r="J325" s="84">
        <v>2090</v>
      </c>
      <c r="K325" s="73">
        <v>449683.3</v>
      </c>
      <c r="L325" s="72">
        <v>6402</v>
      </c>
      <c r="M325" s="73">
        <v>1391026.56</v>
      </c>
      <c r="N325" s="72">
        <v>5016</v>
      </c>
      <c r="O325" s="73">
        <v>1089876.48</v>
      </c>
      <c r="P325" s="72">
        <v>7920</v>
      </c>
      <c r="Q325" s="73">
        <v>1720857.6</v>
      </c>
      <c r="R325" s="72">
        <v>5434</v>
      </c>
      <c r="S325" s="73">
        <v>1180699.52</v>
      </c>
      <c r="T325" s="72">
        <v>7040</v>
      </c>
      <c r="U325" s="73">
        <v>1529651.2</v>
      </c>
      <c r="V325" s="72">
        <v>6160</v>
      </c>
      <c r="W325" s="73">
        <v>1338444.8</v>
      </c>
      <c r="X325" s="72">
        <v>7040</v>
      </c>
      <c r="Y325" s="73">
        <v>1529651.2</v>
      </c>
      <c r="Z325" s="72">
        <v>4510</v>
      </c>
      <c r="AA325" s="73">
        <v>979932.8</v>
      </c>
      <c r="AB325" s="72">
        <v>1804</v>
      </c>
      <c r="AC325" s="73">
        <v>391973.12</v>
      </c>
      <c r="AD325" s="72">
        <v>0</v>
      </c>
      <c r="AE325" s="73">
        <v>0</v>
      </c>
      <c r="AF325" s="72">
        <v>0</v>
      </c>
      <c r="AG325" s="88">
        <v>0</v>
      </c>
      <c r="AH325"/>
    </row>
    <row r="326" spans="1:34">
      <c r="B326" s="114">
        <v>307</v>
      </c>
      <c r="C326" s="117">
        <v>51</v>
      </c>
      <c r="D326" s="117"/>
      <c r="E326" s="117" t="s">
        <v>602</v>
      </c>
      <c r="F326" s="117" t="s">
        <v>603</v>
      </c>
      <c r="G326" s="117" t="s">
        <v>614</v>
      </c>
      <c r="H326" s="117" t="s">
        <v>381</v>
      </c>
      <c r="I326" s="120" t="s">
        <v>351</v>
      </c>
      <c r="J326" s="84">
        <v>360</v>
      </c>
      <c r="K326" s="73">
        <v>54000</v>
      </c>
      <c r="L326" s="72">
        <v>360</v>
      </c>
      <c r="M326" s="73">
        <v>54000</v>
      </c>
      <c r="N326" s="72">
        <v>1440</v>
      </c>
      <c r="O326" s="73">
        <v>216000</v>
      </c>
      <c r="P326" s="72">
        <v>1920</v>
      </c>
      <c r="Q326" s="73">
        <v>288000</v>
      </c>
      <c r="R326" s="72">
        <v>300</v>
      </c>
      <c r="S326" s="73">
        <v>45000</v>
      </c>
      <c r="T326" s="72">
        <v>1020</v>
      </c>
      <c r="U326" s="73">
        <v>153000</v>
      </c>
      <c r="V326" s="72">
        <v>300</v>
      </c>
      <c r="W326" s="73">
        <v>45000</v>
      </c>
      <c r="X326" s="72">
        <v>600</v>
      </c>
      <c r="Y326" s="73">
        <v>90000</v>
      </c>
      <c r="Z326" s="72">
        <v>300</v>
      </c>
      <c r="AA326" s="73">
        <v>45000</v>
      </c>
      <c r="AB326" s="72">
        <v>0</v>
      </c>
      <c r="AC326" s="73">
        <v>0</v>
      </c>
      <c r="AD326" s="72">
        <v>0</v>
      </c>
      <c r="AE326" s="73">
        <v>0</v>
      </c>
      <c r="AF326" s="72">
        <v>0</v>
      </c>
      <c r="AG326" s="88">
        <v>0</v>
      </c>
      <c r="AH326"/>
    </row>
    <row r="327" spans="1:34">
      <c r="B327" s="114">
        <v>308</v>
      </c>
      <c r="C327" s="117">
        <v>51</v>
      </c>
      <c r="D327" s="117"/>
      <c r="E327" s="117" t="s">
        <v>602</v>
      </c>
      <c r="F327" s="117" t="s">
        <v>603</v>
      </c>
      <c r="G327" s="117" t="s">
        <v>613</v>
      </c>
      <c r="H327" s="117" t="s">
        <v>381</v>
      </c>
      <c r="I327" s="120" t="s">
        <v>164</v>
      </c>
      <c r="J327" s="84">
        <v>14600</v>
      </c>
      <c r="K327" s="73">
        <v>2858077.75</v>
      </c>
      <c r="L327" s="72">
        <v>22150</v>
      </c>
      <c r="M327" s="73">
        <v>4368866</v>
      </c>
      <c r="N327" s="72">
        <v>17800</v>
      </c>
      <c r="O327" s="73">
        <v>3510872</v>
      </c>
      <c r="P327" s="72">
        <v>17750</v>
      </c>
      <c r="Q327" s="73">
        <v>3501010</v>
      </c>
      <c r="R327" s="72">
        <v>15750</v>
      </c>
      <c r="S327" s="73">
        <v>3106530</v>
      </c>
      <c r="T327" s="72">
        <v>17250</v>
      </c>
      <c r="U327" s="73">
        <v>3402390</v>
      </c>
      <c r="V327" s="72">
        <v>19800</v>
      </c>
      <c r="W327" s="73">
        <v>3905352</v>
      </c>
      <c r="X327" s="72">
        <v>16900</v>
      </c>
      <c r="Y327" s="73">
        <v>3333356</v>
      </c>
      <c r="Z327" s="72">
        <v>13800</v>
      </c>
      <c r="AA327" s="73">
        <v>2721912</v>
      </c>
      <c r="AB327" s="72">
        <v>7200</v>
      </c>
      <c r="AC327" s="73">
        <v>1420128</v>
      </c>
      <c r="AD327" s="72">
        <v>0</v>
      </c>
      <c r="AE327" s="73">
        <v>0</v>
      </c>
      <c r="AF327" s="72">
        <v>0</v>
      </c>
      <c r="AG327" s="88">
        <v>0</v>
      </c>
      <c r="AH327"/>
    </row>
    <row r="328" spans="1:34">
      <c r="B328" s="114">
        <v>309</v>
      </c>
      <c r="C328" s="117">
        <v>51</v>
      </c>
      <c r="D328" s="117"/>
      <c r="E328" s="117" t="s">
        <v>602</v>
      </c>
      <c r="F328" s="117" t="s">
        <v>603</v>
      </c>
      <c r="G328" s="117" t="s">
        <v>606</v>
      </c>
      <c r="H328" s="117" t="s">
        <v>381</v>
      </c>
      <c r="I328" s="120" t="s">
        <v>607</v>
      </c>
      <c r="J328" s="84">
        <v>0</v>
      </c>
      <c r="K328" s="73">
        <v>0</v>
      </c>
      <c r="L328" s="72">
        <v>0</v>
      </c>
      <c r="M328" s="73">
        <v>0</v>
      </c>
      <c r="N328" s="72">
        <v>0</v>
      </c>
      <c r="O328" s="73">
        <v>0</v>
      </c>
      <c r="P328" s="72">
        <v>0</v>
      </c>
      <c r="Q328" s="73">
        <v>0</v>
      </c>
      <c r="R328" s="72">
        <v>0</v>
      </c>
      <c r="S328" s="73">
        <v>0</v>
      </c>
      <c r="T328" s="72">
        <v>0</v>
      </c>
      <c r="U328" s="73">
        <v>0</v>
      </c>
      <c r="V328" s="72">
        <v>0</v>
      </c>
      <c r="W328" s="73">
        <v>0</v>
      </c>
      <c r="X328" s="72">
        <v>0</v>
      </c>
      <c r="Y328" s="73">
        <v>0</v>
      </c>
      <c r="Z328" s="72">
        <v>0</v>
      </c>
      <c r="AA328" s="73">
        <v>0</v>
      </c>
      <c r="AB328" s="72">
        <v>4000</v>
      </c>
      <c r="AC328" s="73">
        <v>702440</v>
      </c>
      <c r="AD328" s="72">
        <v>0</v>
      </c>
      <c r="AE328" s="73">
        <v>0</v>
      </c>
      <c r="AF328" s="72">
        <v>0</v>
      </c>
      <c r="AG328" s="88">
        <v>0</v>
      </c>
      <c r="AH328"/>
    </row>
    <row r="329" spans="1:34">
      <c r="B329" s="114">
        <v>310</v>
      </c>
      <c r="C329" s="117">
        <v>51</v>
      </c>
      <c r="D329" s="117"/>
      <c r="E329" s="117" t="s">
        <v>602</v>
      </c>
      <c r="F329" s="117" t="s">
        <v>603</v>
      </c>
      <c r="G329" s="117" t="s">
        <v>616</v>
      </c>
      <c r="H329" s="117" t="s">
        <v>381</v>
      </c>
      <c r="I329" s="120" t="s">
        <v>149</v>
      </c>
      <c r="J329" s="84">
        <v>1584</v>
      </c>
      <c r="K329" s="73">
        <v>333780.48</v>
      </c>
      <c r="L329" s="72">
        <v>3278</v>
      </c>
      <c r="M329" s="73">
        <v>698509.02</v>
      </c>
      <c r="N329" s="72">
        <v>2816</v>
      </c>
      <c r="O329" s="73">
        <v>600061.4399999999</v>
      </c>
      <c r="P329" s="72">
        <v>880</v>
      </c>
      <c r="Q329" s="73">
        <v>187519.2</v>
      </c>
      <c r="R329" s="72">
        <v>3520</v>
      </c>
      <c r="S329" s="73">
        <v>750076.8</v>
      </c>
      <c r="T329" s="72">
        <v>2200</v>
      </c>
      <c r="U329" s="73">
        <v>468798</v>
      </c>
      <c r="V329" s="72">
        <v>880</v>
      </c>
      <c r="W329" s="73">
        <v>187519.2</v>
      </c>
      <c r="X329" s="72">
        <v>0</v>
      </c>
      <c r="Y329" s="73">
        <v>0</v>
      </c>
      <c r="Z329" s="72">
        <v>4840</v>
      </c>
      <c r="AA329" s="73">
        <v>1031355.6</v>
      </c>
      <c r="AB329" s="72">
        <v>1320</v>
      </c>
      <c r="AC329" s="73">
        <v>281278.8</v>
      </c>
      <c r="AD329" s="72">
        <v>0</v>
      </c>
      <c r="AE329" s="73">
        <v>0</v>
      </c>
      <c r="AF329" s="72">
        <v>0</v>
      </c>
      <c r="AG329" s="88">
        <v>0</v>
      </c>
      <c r="AH329"/>
    </row>
    <row r="330" spans="1:34">
      <c r="B330" s="114">
        <v>311</v>
      </c>
      <c r="C330" s="117">
        <v>51</v>
      </c>
      <c r="D330" s="117"/>
      <c r="E330" s="117" t="s">
        <v>602</v>
      </c>
      <c r="F330" s="117" t="s">
        <v>603</v>
      </c>
      <c r="G330" s="117" t="s">
        <v>608</v>
      </c>
      <c r="H330" s="117" t="s">
        <v>381</v>
      </c>
      <c r="I330" s="120" t="s">
        <v>609</v>
      </c>
      <c r="J330" s="84">
        <v>6768</v>
      </c>
      <c r="K330" s="73">
        <v>1222561.44</v>
      </c>
      <c r="L330" s="72">
        <v>9120</v>
      </c>
      <c r="M330" s="73">
        <v>1659840</v>
      </c>
      <c r="N330" s="72">
        <v>12720</v>
      </c>
      <c r="O330" s="73">
        <v>2315040</v>
      </c>
      <c r="P330" s="72">
        <v>6000</v>
      </c>
      <c r="Q330" s="73">
        <v>1092000</v>
      </c>
      <c r="R330" s="72">
        <v>9600</v>
      </c>
      <c r="S330" s="73">
        <v>1747200</v>
      </c>
      <c r="T330" s="72">
        <v>12960</v>
      </c>
      <c r="U330" s="73">
        <v>2358720</v>
      </c>
      <c r="V330" s="72">
        <v>9000</v>
      </c>
      <c r="W330" s="73">
        <v>1638000</v>
      </c>
      <c r="X330" s="72">
        <v>17400</v>
      </c>
      <c r="Y330" s="73">
        <v>3166800</v>
      </c>
      <c r="Z330" s="72">
        <v>10800</v>
      </c>
      <c r="AA330" s="73">
        <v>1965600</v>
      </c>
      <c r="AB330" s="72">
        <v>6048</v>
      </c>
      <c r="AC330" s="73">
        <v>1100736</v>
      </c>
      <c r="AD330" s="72">
        <v>0</v>
      </c>
      <c r="AE330" s="73">
        <v>0</v>
      </c>
      <c r="AF330" s="72">
        <v>0</v>
      </c>
      <c r="AG330" s="88">
        <v>0</v>
      </c>
      <c r="AH330"/>
    </row>
    <row r="331" spans="1:34">
      <c r="B331" s="114">
        <v>312</v>
      </c>
      <c r="C331" s="117">
        <v>51</v>
      </c>
      <c r="D331" s="117"/>
      <c r="E331" s="117" t="s">
        <v>617</v>
      </c>
      <c r="F331" s="117" t="s">
        <v>618</v>
      </c>
      <c r="G331" s="117" t="s">
        <v>619</v>
      </c>
      <c r="H331" s="117" t="s">
        <v>620</v>
      </c>
      <c r="I331" s="120" t="s">
        <v>455</v>
      </c>
      <c r="J331" s="84">
        <v>24</v>
      </c>
      <c r="K331" s="73">
        <v>9294</v>
      </c>
      <c r="L331" s="72">
        <v>96</v>
      </c>
      <c r="M331" s="73">
        <v>37176</v>
      </c>
      <c r="N331" s="72">
        <v>60</v>
      </c>
      <c r="O331" s="73">
        <v>23235</v>
      </c>
      <c r="P331" s="72">
        <v>0</v>
      </c>
      <c r="Q331" s="73">
        <v>0</v>
      </c>
      <c r="R331" s="72">
        <v>0</v>
      </c>
      <c r="S331" s="73">
        <v>0</v>
      </c>
      <c r="T331" s="72">
        <v>0</v>
      </c>
      <c r="U331" s="73">
        <v>0</v>
      </c>
      <c r="V331" s="72">
        <v>0</v>
      </c>
      <c r="W331" s="73">
        <v>0</v>
      </c>
      <c r="X331" s="72">
        <v>0</v>
      </c>
      <c r="Y331" s="73">
        <v>0</v>
      </c>
      <c r="Z331" s="72">
        <v>0</v>
      </c>
      <c r="AA331" s="73">
        <v>0</v>
      </c>
      <c r="AB331" s="72">
        <v>0</v>
      </c>
      <c r="AC331" s="73">
        <v>0</v>
      </c>
      <c r="AD331" s="72">
        <v>0</v>
      </c>
      <c r="AE331" s="73">
        <v>0</v>
      </c>
      <c r="AF331" s="72">
        <v>0</v>
      </c>
      <c r="AG331" s="88">
        <v>0</v>
      </c>
      <c r="AH331"/>
    </row>
    <row r="332" spans="1:34">
      <c r="B332" s="114">
        <v>313</v>
      </c>
      <c r="C332" s="117">
        <v>51</v>
      </c>
      <c r="D332" s="117"/>
      <c r="E332" s="117" t="s">
        <v>617</v>
      </c>
      <c r="F332" s="117" t="s">
        <v>618</v>
      </c>
      <c r="G332" s="117" t="s">
        <v>624</v>
      </c>
      <c r="H332" s="117" t="s">
        <v>620</v>
      </c>
      <c r="I332" s="120" t="s">
        <v>455</v>
      </c>
      <c r="J332" s="84">
        <v>60</v>
      </c>
      <c r="K332" s="73">
        <v>23749.8</v>
      </c>
      <c r="L332" s="72">
        <v>108</v>
      </c>
      <c r="M332" s="73">
        <v>42749.64</v>
      </c>
      <c r="N332" s="72">
        <v>60</v>
      </c>
      <c r="O332" s="73">
        <v>23749.8</v>
      </c>
      <c r="P332" s="72">
        <v>0</v>
      </c>
      <c r="Q332" s="73">
        <v>0</v>
      </c>
      <c r="R332" s="72">
        <v>0</v>
      </c>
      <c r="S332" s="73">
        <v>0</v>
      </c>
      <c r="T332" s="72">
        <v>0</v>
      </c>
      <c r="U332" s="73">
        <v>0</v>
      </c>
      <c r="V332" s="72">
        <v>0</v>
      </c>
      <c r="W332" s="73">
        <v>0</v>
      </c>
      <c r="X332" s="72">
        <v>0</v>
      </c>
      <c r="Y332" s="73">
        <v>0</v>
      </c>
      <c r="Z332" s="72">
        <v>0</v>
      </c>
      <c r="AA332" s="73">
        <v>0</v>
      </c>
      <c r="AB332" s="72">
        <v>0</v>
      </c>
      <c r="AC332" s="73">
        <v>0</v>
      </c>
      <c r="AD332" s="72">
        <v>0</v>
      </c>
      <c r="AE332" s="73">
        <v>0</v>
      </c>
      <c r="AF332" s="72">
        <v>0</v>
      </c>
      <c r="AG332" s="88">
        <v>0</v>
      </c>
      <c r="AH332"/>
    </row>
    <row r="333" spans="1:34">
      <c r="B333" s="114">
        <v>314</v>
      </c>
      <c r="C333" s="117">
        <v>51</v>
      </c>
      <c r="D333" s="117"/>
      <c r="E333" s="117" t="s">
        <v>617</v>
      </c>
      <c r="F333" s="117" t="s">
        <v>618</v>
      </c>
      <c r="G333" s="117" t="s">
        <v>638</v>
      </c>
      <c r="H333" s="117" t="s">
        <v>629</v>
      </c>
      <c r="I333" s="120" t="s">
        <v>623</v>
      </c>
      <c r="J333" s="84">
        <v>60</v>
      </c>
      <c r="K333" s="73">
        <v>26242.8</v>
      </c>
      <c r="L333" s="72">
        <v>102</v>
      </c>
      <c r="M333" s="73">
        <v>44612.76</v>
      </c>
      <c r="N333" s="72">
        <v>200</v>
      </c>
      <c r="O333" s="73">
        <v>87476</v>
      </c>
      <c r="P333" s="72">
        <v>168</v>
      </c>
      <c r="Q333" s="73">
        <v>73479.84</v>
      </c>
      <c r="R333" s="72">
        <v>138</v>
      </c>
      <c r="S333" s="73">
        <v>60358.44</v>
      </c>
      <c r="T333" s="72">
        <v>362</v>
      </c>
      <c r="U333" s="73">
        <v>158331.56</v>
      </c>
      <c r="V333" s="72">
        <v>192</v>
      </c>
      <c r="W333" s="73">
        <v>83976.96000000001</v>
      </c>
      <c r="X333" s="72">
        <v>188</v>
      </c>
      <c r="Y333" s="73">
        <v>82227.44</v>
      </c>
      <c r="Z333" s="72">
        <v>96</v>
      </c>
      <c r="AA333" s="73">
        <v>41988.48</v>
      </c>
      <c r="AB333" s="72">
        <v>84</v>
      </c>
      <c r="AC333" s="73">
        <v>36739.92</v>
      </c>
      <c r="AD333" s="72">
        <v>0</v>
      </c>
      <c r="AE333" s="73">
        <v>0</v>
      </c>
      <c r="AF333" s="72">
        <v>0</v>
      </c>
      <c r="AG333" s="88">
        <v>0</v>
      </c>
      <c r="AH333"/>
    </row>
    <row r="334" spans="1:34">
      <c r="B334" s="114">
        <v>315</v>
      </c>
      <c r="C334" s="117">
        <v>51</v>
      </c>
      <c r="D334" s="117"/>
      <c r="E334" s="117" t="s">
        <v>617</v>
      </c>
      <c r="F334" s="117" t="s">
        <v>618</v>
      </c>
      <c r="G334" s="117" t="s">
        <v>632</v>
      </c>
      <c r="H334" s="117" t="s">
        <v>629</v>
      </c>
      <c r="I334" s="120" t="s">
        <v>623</v>
      </c>
      <c r="J334" s="84">
        <v>12</v>
      </c>
      <c r="K334" s="73">
        <v>5299.08</v>
      </c>
      <c r="L334" s="72">
        <v>132</v>
      </c>
      <c r="M334" s="73">
        <v>58289.88</v>
      </c>
      <c r="N334" s="72">
        <v>240</v>
      </c>
      <c r="O334" s="73">
        <v>105981.6</v>
      </c>
      <c r="P334" s="72">
        <v>190</v>
      </c>
      <c r="Q334" s="73">
        <v>83902.10000000001</v>
      </c>
      <c r="R334" s="72">
        <v>292</v>
      </c>
      <c r="S334" s="73">
        <v>128944.28</v>
      </c>
      <c r="T334" s="72">
        <v>332</v>
      </c>
      <c r="U334" s="73">
        <v>146607.88</v>
      </c>
      <c r="V334" s="72">
        <v>288</v>
      </c>
      <c r="W334" s="73">
        <v>127177.92</v>
      </c>
      <c r="X334" s="72">
        <v>102</v>
      </c>
      <c r="Y334" s="73">
        <v>45042.18</v>
      </c>
      <c r="Z334" s="72">
        <v>216</v>
      </c>
      <c r="AA334" s="73">
        <v>95383.44</v>
      </c>
      <c r="AB334" s="72">
        <v>64</v>
      </c>
      <c r="AC334" s="73">
        <v>28261.76</v>
      </c>
      <c r="AD334" s="72">
        <v>0</v>
      </c>
      <c r="AE334" s="73">
        <v>0</v>
      </c>
      <c r="AF334" s="72">
        <v>0</v>
      </c>
      <c r="AG334" s="88">
        <v>0</v>
      </c>
      <c r="AH334"/>
    </row>
    <row r="335" spans="1:34">
      <c r="B335" s="114">
        <v>316</v>
      </c>
      <c r="C335" s="117">
        <v>51</v>
      </c>
      <c r="D335" s="117"/>
      <c r="E335" s="117" t="s">
        <v>617</v>
      </c>
      <c r="F335" s="117" t="s">
        <v>618</v>
      </c>
      <c r="G335" s="117" t="s">
        <v>630</v>
      </c>
      <c r="H335" s="117" t="s">
        <v>631</v>
      </c>
      <c r="I335" s="120" t="s">
        <v>455</v>
      </c>
      <c r="J335" s="84">
        <v>12</v>
      </c>
      <c r="K335" s="73">
        <v>4647</v>
      </c>
      <c r="L335" s="72">
        <v>90</v>
      </c>
      <c r="M335" s="73">
        <v>34852.5</v>
      </c>
      <c r="N335" s="72">
        <v>60</v>
      </c>
      <c r="O335" s="73">
        <v>23235</v>
      </c>
      <c r="P335" s="72">
        <v>0</v>
      </c>
      <c r="Q335" s="73">
        <v>0</v>
      </c>
      <c r="R335" s="72">
        <v>0</v>
      </c>
      <c r="S335" s="73">
        <v>0</v>
      </c>
      <c r="T335" s="72">
        <v>0</v>
      </c>
      <c r="U335" s="73">
        <v>0</v>
      </c>
      <c r="V335" s="72">
        <v>0</v>
      </c>
      <c r="W335" s="73">
        <v>0</v>
      </c>
      <c r="X335" s="72">
        <v>0</v>
      </c>
      <c r="Y335" s="73">
        <v>0</v>
      </c>
      <c r="Z335" s="72">
        <v>0</v>
      </c>
      <c r="AA335" s="73">
        <v>0</v>
      </c>
      <c r="AB335" s="72">
        <v>0</v>
      </c>
      <c r="AC335" s="73">
        <v>0</v>
      </c>
      <c r="AD335" s="72">
        <v>0</v>
      </c>
      <c r="AE335" s="73">
        <v>0</v>
      </c>
      <c r="AF335" s="72">
        <v>0</v>
      </c>
      <c r="AG335" s="88">
        <v>0</v>
      </c>
      <c r="AH335"/>
    </row>
    <row r="336" spans="1:34">
      <c r="B336" s="114">
        <v>317</v>
      </c>
      <c r="C336" s="117">
        <v>51</v>
      </c>
      <c r="D336" s="117"/>
      <c r="E336" s="117" t="s">
        <v>617</v>
      </c>
      <c r="F336" s="117" t="s">
        <v>618</v>
      </c>
      <c r="G336" s="117" t="s">
        <v>621</v>
      </c>
      <c r="H336" s="117" t="s">
        <v>622</v>
      </c>
      <c r="I336" s="120" t="s">
        <v>623</v>
      </c>
      <c r="J336" s="84">
        <v>486</v>
      </c>
      <c r="K336" s="73">
        <v>107017.2</v>
      </c>
      <c r="L336" s="72">
        <v>478</v>
      </c>
      <c r="M336" s="73">
        <v>105255.6</v>
      </c>
      <c r="N336" s="72">
        <v>556</v>
      </c>
      <c r="O336" s="73">
        <v>122431.2</v>
      </c>
      <c r="P336" s="72">
        <v>868</v>
      </c>
      <c r="Q336" s="73">
        <v>191133.6</v>
      </c>
      <c r="R336" s="72">
        <v>907</v>
      </c>
      <c r="S336" s="73">
        <v>199721.4</v>
      </c>
      <c r="T336" s="72">
        <v>502</v>
      </c>
      <c r="U336" s="73">
        <v>110540.4</v>
      </c>
      <c r="V336" s="72">
        <v>780</v>
      </c>
      <c r="W336" s="73">
        <v>171756</v>
      </c>
      <c r="X336" s="72">
        <v>642</v>
      </c>
      <c r="Y336" s="73">
        <v>141368.4</v>
      </c>
      <c r="Z336" s="72">
        <v>620</v>
      </c>
      <c r="AA336" s="73">
        <v>136524</v>
      </c>
      <c r="AB336" s="72">
        <v>0</v>
      </c>
      <c r="AC336" s="73">
        <v>0</v>
      </c>
      <c r="AD336" s="72">
        <v>0</v>
      </c>
      <c r="AE336" s="73">
        <v>0</v>
      </c>
      <c r="AF336" s="72">
        <v>0</v>
      </c>
      <c r="AG336" s="88">
        <v>0</v>
      </c>
      <c r="AH336"/>
    </row>
    <row r="337" spans="1:34">
      <c r="B337" s="114">
        <v>318</v>
      </c>
      <c r="C337" s="117">
        <v>51</v>
      </c>
      <c r="D337" s="117"/>
      <c r="E337" s="117" t="s">
        <v>617</v>
      </c>
      <c r="F337" s="117" t="s">
        <v>618</v>
      </c>
      <c r="G337" s="117" t="s">
        <v>639</v>
      </c>
      <c r="H337" s="117" t="s">
        <v>640</v>
      </c>
      <c r="I337" s="120" t="s">
        <v>455</v>
      </c>
      <c r="J337" s="84">
        <v>144</v>
      </c>
      <c r="K337" s="73">
        <v>32346.72</v>
      </c>
      <c r="L337" s="72">
        <v>322</v>
      </c>
      <c r="M337" s="73">
        <v>72330.86</v>
      </c>
      <c r="N337" s="72">
        <v>60</v>
      </c>
      <c r="O337" s="73">
        <v>13477.8</v>
      </c>
      <c r="P337" s="72">
        <v>6</v>
      </c>
      <c r="Q337" s="73">
        <v>1347.78</v>
      </c>
      <c r="R337" s="72">
        <v>0</v>
      </c>
      <c r="S337" s="73">
        <v>0</v>
      </c>
      <c r="T337" s="72">
        <v>0</v>
      </c>
      <c r="U337" s="73">
        <v>0</v>
      </c>
      <c r="V337" s="72">
        <v>0</v>
      </c>
      <c r="W337" s="73">
        <v>0</v>
      </c>
      <c r="X337" s="72">
        <v>0</v>
      </c>
      <c r="Y337" s="73">
        <v>0</v>
      </c>
      <c r="Z337" s="72">
        <v>0</v>
      </c>
      <c r="AA337" s="73">
        <v>0</v>
      </c>
      <c r="AB337" s="72">
        <v>0</v>
      </c>
      <c r="AC337" s="73">
        <v>0</v>
      </c>
      <c r="AD337" s="72">
        <v>0</v>
      </c>
      <c r="AE337" s="73">
        <v>0</v>
      </c>
      <c r="AF337" s="72">
        <v>0</v>
      </c>
      <c r="AG337" s="88">
        <v>0</v>
      </c>
      <c r="AH337"/>
    </row>
    <row r="338" spans="1:34">
      <c r="B338" s="114">
        <v>319</v>
      </c>
      <c r="C338" s="117">
        <v>51</v>
      </c>
      <c r="D338" s="117"/>
      <c r="E338" s="117" t="s">
        <v>617</v>
      </c>
      <c r="F338" s="117" t="s">
        <v>618</v>
      </c>
      <c r="G338" s="117" t="s">
        <v>643</v>
      </c>
      <c r="H338" s="117" t="s">
        <v>620</v>
      </c>
      <c r="I338" s="120" t="s">
        <v>455</v>
      </c>
      <c r="J338" s="84">
        <v>126</v>
      </c>
      <c r="K338" s="73">
        <v>34564.32</v>
      </c>
      <c r="L338" s="72">
        <v>324</v>
      </c>
      <c r="M338" s="73">
        <v>88879.67999999999</v>
      </c>
      <c r="N338" s="72">
        <v>60</v>
      </c>
      <c r="O338" s="73">
        <v>16459.2</v>
      </c>
      <c r="P338" s="72">
        <v>0</v>
      </c>
      <c r="Q338" s="73">
        <v>0</v>
      </c>
      <c r="R338" s="72">
        <v>0</v>
      </c>
      <c r="S338" s="73">
        <v>0</v>
      </c>
      <c r="T338" s="72">
        <v>0</v>
      </c>
      <c r="U338" s="73">
        <v>0</v>
      </c>
      <c r="V338" s="72">
        <v>0</v>
      </c>
      <c r="W338" s="73">
        <v>0</v>
      </c>
      <c r="X338" s="72">
        <v>0</v>
      </c>
      <c r="Y338" s="73">
        <v>0</v>
      </c>
      <c r="Z338" s="72">
        <v>0</v>
      </c>
      <c r="AA338" s="73">
        <v>0</v>
      </c>
      <c r="AB338" s="72">
        <v>0</v>
      </c>
      <c r="AC338" s="73">
        <v>0</v>
      </c>
      <c r="AD338" s="72">
        <v>0</v>
      </c>
      <c r="AE338" s="73">
        <v>0</v>
      </c>
      <c r="AF338" s="72">
        <v>0</v>
      </c>
      <c r="AG338" s="88">
        <v>0</v>
      </c>
      <c r="AH338"/>
    </row>
    <row r="339" spans="1:34">
      <c r="B339" s="114">
        <v>320</v>
      </c>
      <c r="C339" s="117">
        <v>51</v>
      </c>
      <c r="D339" s="117"/>
      <c r="E339" s="117" t="s">
        <v>617</v>
      </c>
      <c r="F339" s="117" t="s">
        <v>618</v>
      </c>
      <c r="G339" s="117" t="s">
        <v>642</v>
      </c>
      <c r="H339" s="117" t="s">
        <v>629</v>
      </c>
      <c r="I339" s="120" t="s">
        <v>623</v>
      </c>
      <c r="J339" s="84">
        <v>294</v>
      </c>
      <c r="K339" s="73">
        <v>80438.39999999999</v>
      </c>
      <c r="L339" s="72">
        <v>408</v>
      </c>
      <c r="M339" s="73">
        <v>111628.8</v>
      </c>
      <c r="N339" s="72">
        <v>706</v>
      </c>
      <c r="O339" s="73">
        <v>193161.6</v>
      </c>
      <c r="P339" s="72">
        <v>888</v>
      </c>
      <c r="Q339" s="73">
        <v>242956.8</v>
      </c>
      <c r="R339" s="72">
        <v>1028</v>
      </c>
      <c r="S339" s="73">
        <v>281260.8</v>
      </c>
      <c r="T339" s="72">
        <v>713</v>
      </c>
      <c r="U339" s="73">
        <v>195076.8</v>
      </c>
      <c r="V339" s="72">
        <v>824</v>
      </c>
      <c r="W339" s="73">
        <v>225446.4</v>
      </c>
      <c r="X339" s="72">
        <v>572</v>
      </c>
      <c r="Y339" s="73">
        <v>156499.2</v>
      </c>
      <c r="Z339" s="72">
        <v>462</v>
      </c>
      <c r="AA339" s="73">
        <v>126403.2</v>
      </c>
      <c r="AB339" s="72">
        <v>316</v>
      </c>
      <c r="AC339" s="73">
        <v>86457.60000000001</v>
      </c>
      <c r="AD339" s="72">
        <v>0</v>
      </c>
      <c r="AE339" s="73">
        <v>0</v>
      </c>
      <c r="AF339" s="72">
        <v>0</v>
      </c>
      <c r="AG339" s="88">
        <v>0</v>
      </c>
      <c r="AH339"/>
    </row>
    <row r="340" spans="1:34">
      <c r="B340" s="114">
        <v>321</v>
      </c>
      <c r="C340" s="117">
        <v>51</v>
      </c>
      <c r="D340" s="117"/>
      <c r="E340" s="117" t="s">
        <v>617</v>
      </c>
      <c r="F340" s="117" t="s">
        <v>618</v>
      </c>
      <c r="G340" s="117" t="s">
        <v>641</v>
      </c>
      <c r="H340" s="117" t="s">
        <v>620</v>
      </c>
      <c r="I340" s="120" t="s">
        <v>455</v>
      </c>
      <c r="J340" s="84">
        <v>128</v>
      </c>
      <c r="K340" s="73">
        <v>35112.96</v>
      </c>
      <c r="L340" s="72">
        <v>312</v>
      </c>
      <c r="M340" s="73">
        <v>85587.84</v>
      </c>
      <c r="N340" s="72">
        <v>60</v>
      </c>
      <c r="O340" s="73">
        <v>16459.2</v>
      </c>
      <c r="P340" s="72">
        <v>0</v>
      </c>
      <c r="Q340" s="73">
        <v>0</v>
      </c>
      <c r="R340" s="72">
        <v>0</v>
      </c>
      <c r="S340" s="73">
        <v>0</v>
      </c>
      <c r="T340" s="72">
        <v>0</v>
      </c>
      <c r="U340" s="73">
        <v>0</v>
      </c>
      <c r="V340" s="72">
        <v>0</v>
      </c>
      <c r="W340" s="73">
        <v>0</v>
      </c>
      <c r="X340" s="72">
        <v>0</v>
      </c>
      <c r="Y340" s="73">
        <v>0</v>
      </c>
      <c r="Z340" s="72">
        <v>0</v>
      </c>
      <c r="AA340" s="73">
        <v>0</v>
      </c>
      <c r="AB340" s="72">
        <v>0</v>
      </c>
      <c r="AC340" s="73">
        <v>0</v>
      </c>
      <c r="AD340" s="72">
        <v>0</v>
      </c>
      <c r="AE340" s="73">
        <v>0</v>
      </c>
      <c r="AF340" s="72">
        <v>0</v>
      </c>
      <c r="AG340" s="88">
        <v>0</v>
      </c>
      <c r="AH340"/>
    </row>
    <row r="341" spans="1:34">
      <c r="B341" s="114">
        <v>322</v>
      </c>
      <c r="C341" s="117">
        <v>51</v>
      </c>
      <c r="D341" s="117"/>
      <c r="E341" s="117" t="s">
        <v>617</v>
      </c>
      <c r="F341" s="117" t="s">
        <v>618</v>
      </c>
      <c r="G341" s="117" t="s">
        <v>636</v>
      </c>
      <c r="H341" s="117" t="s">
        <v>637</v>
      </c>
      <c r="I341" s="120" t="s">
        <v>164</v>
      </c>
      <c r="J341" s="84">
        <v>15840</v>
      </c>
      <c r="K341" s="73">
        <v>2064902.4</v>
      </c>
      <c r="L341" s="72">
        <v>22272</v>
      </c>
      <c r="M341" s="73">
        <v>2903377.92</v>
      </c>
      <c r="N341" s="72">
        <v>20640</v>
      </c>
      <c r="O341" s="73">
        <v>2690630.4</v>
      </c>
      <c r="P341" s="72">
        <v>15528</v>
      </c>
      <c r="Q341" s="73">
        <v>2024230.08</v>
      </c>
      <c r="R341" s="72">
        <v>15192</v>
      </c>
      <c r="S341" s="73">
        <v>1980429.12</v>
      </c>
      <c r="T341" s="72">
        <v>19200</v>
      </c>
      <c r="U341" s="73">
        <v>2502912</v>
      </c>
      <c r="V341" s="72">
        <v>18432</v>
      </c>
      <c r="W341" s="73">
        <v>2402795.52</v>
      </c>
      <c r="X341" s="72">
        <v>18432</v>
      </c>
      <c r="Y341" s="73">
        <v>2402795.52</v>
      </c>
      <c r="Z341" s="72">
        <v>13824</v>
      </c>
      <c r="AA341" s="73">
        <v>1802096.64</v>
      </c>
      <c r="AB341" s="72">
        <v>10152</v>
      </c>
      <c r="AC341" s="73">
        <v>1323414.72</v>
      </c>
      <c r="AD341" s="72">
        <v>0</v>
      </c>
      <c r="AE341" s="73">
        <v>0</v>
      </c>
      <c r="AF341" s="72">
        <v>0</v>
      </c>
      <c r="AG341" s="88">
        <v>0</v>
      </c>
      <c r="AH341"/>
    </row>
    <row r="342" spans="1:34">
      <c r="B342" s="114">
        <v>323</v>
      </c>
      <c r="C342" s="117">
        <v>51</v>
      </c>
      <c r="D342" s="117"/>
      <c r="E342" s="117" t="s">
        <v>617</v>
      </c>
      <c r="F342" s="117" t="s">
        <v>618</v>
      </c>
      <c r="G342" s="117" t="s">
        <v>633</v>
      </c>
      <c r="H342" s="117" t="s">
        <v>629</v>
      </c>
      <c r="I342" s="120" t="s">
        <v>623</v>
      </c>
      <c r="J342" s="84">
        <v>326</v>
      </c>
      <c r="K342" s="73">
        <v>89193.60000000001</v>
      </c>
      <c r="L342" s="72">
        <v>334</v>
      </c>
      <c r="M342" s="73">
        <v>91382.39999999999</v>
      </c>
      <c r="N342" s="72">
        <v>804</v>
      </c>
      <c r="O342" s="73">
        <v>219974.4</v>
      </c>
      <c r="P342" s="72">
        <v>830</v>
      </c>
      <c r="Q342" s="73">
        <v>227088</v>
      </c>
      <c r="R342" s="72">
        <v>1056</v>
      </c>
      <c r="S342" s="73">
        <v>288921.6</v>
      </c>
      <c r="T342" s="72">
        <v>681</v>
      </c>
      <c r="U342" s="73">
        <v>186321.6</v>
      </c>
      <c r="V342" s="72">
        <v>768</v>
      </c>
      <c r="W342" s="73">
        <v>210124.8</v>
      </c>
      <c r="X342" s="72">
        <v>468</v>
      </c>
      <c r="Y342" s="73">
        <v>128044.8</v>
      </c>
      <c r="Z342" s="72">
        <v>576</v>
      </c>
      <c r="AA342" s="73">
        <v>157593.6</v>
      </c>
      <c r="AB342" s="72">
        <v>358</v>
      </c>
      <c r="AC342" s="73">
        <v>97948.8</v>
      </c>
      <c r="AD342" s="72">
        <v>0</v>
      </c>
      <c r="AE342" s="73">
        <v>0</v>
      </c>
      <c r="AF342" s="72">
        <v>0</v>
      </c>
      <c r="AG342" s="88">
        <v>0</v>
      </c>
      <c r="AH342"/>
    </row>
    <row r="343" spans="1:34">
      <c r="B343" s="114">
        <v>324</v>
      </c>
      <c r="C343" s="117">
        <v>51</v>
      </c>
      <c r="D343" s="117"/>
      <c r="E343" s="117" t="s">
        <v>617</v>
      </c>
      <c r="F343" s="117" t="s">
        <v>618</v>
      </c>
      <c r="G343" s="117" t="s">
        <v>634</v>
      </c>
      <c r="H343" s="117" t="s">
        <v>629</v>
      </c>
      <c r="I343" s="120" t="s">
        <v>623</v>
      </c>
      <c r="J343" s="84">
        <v>60</v>
      </c>
      <c r="K343" s="73">
        <v>26242.8</v>
      </c>
      <c r="L343" s="72">
        <v>102</v>
      </c>
      <c r="M343" s="73">
        <v>44612.76</v>
      </c>
      <c r="N343" s="72">
        <v>234</v>
      </c>
      <c r="O343" s="73">
        <v>102346.92</v>
      </c>
      <c r="P343" s="72">
        <v>128</v>
      </c>
      <c r="Q343" s="73">
        <v>55984.64</v>
      </c>
      <c r="R343" s="72">
        <v>150</v>
      </c>
      <c r="S343" s="73">
        <v>65607</v>
      </c>
      <c r="T343" s="72">
        <v>371</v>
      </c>
      <c r="U343" s="73">
        <v>162267.98</v>
      </c>
      <c r="V343" s="72">
        <v>246</v>
      </c>
      <c r="W343" s="73">
        <v>107595.48</v>
      </c>
      <c r="X343" s="72">
        <v>144</v>
      </c>
      <c r="Y343" s="73">
        <v>62982.72</v>
      </c>
      <c r="Z343" s="72">
        <v>140</v>
      </c>
      <c r="AA343" s="73">
        <v>61233.2</v>
      </c>
      <c r="AB343" s="72">
        <v>80</v>
      </c>
      <c r="AC343" s="73">
        <v>34990.4</v>
      </c>
      <c r="AD343" s="72">
        <v>0</v>
      </c>
      <c r="AE343" s="73">
        <v>0</v>
      </c>
      <c r="AF343" s="72">
        <v>0</v>
      </c>
      <c r="AG343" s="88">
        <v>0</v>
      </c>
      <c r="AH343"/>
    </row>
    <row r="344" spans="1:34">
      <c r="B344" s="114">
        <v>325</v>
      </c>
      <c r="C344" s="117">
        <v>51</v>
      </c>
      <c r="D344" s="117"/>
      <c r="E344" s="117" t="s">
        <v>617</v>
      </c>
      <c r="F344" s="117" t="s">
        <v>618</v>
      </c>
      <c r="G344" s="117" t="s">
        <v>628</v>
      </c>
      <c r="H344" s="117" t="s">
        <v>629</v>
      </c>
      <c r="I344" s="120" t="s">
        <v>623</v>
      </c>
      <c r="J344" s="84">
        <v>12</v>
      </c>
      <c r="K344" s="73">
        <v>5299.08</v>
      </c>
      <c r="L344" s="72">
        <v>130</v>
      </c>
      <c r="M344" s="73">
        <v>57406.7</v>
      </c>
      <c r="N344" s="72">
        <v>222</v>
      </c>
      <c r="O344" s="73">
        <v>98032.98</v>
      </c>
      <c r="P344" s="72">
        <v>366</v>
      </c>
      <c r="Q344" s="73">
        <v>161621.94</v>
      </c>
      <c r="R344" s="72">
        <v>228</v>
      </c>
      <c r="S344" s="73">
        <v>100682.52</v>
      </c>
      <c r="T344" s="72">
        <v>336</v>
      </c>
      <c r="U344" s="73">
        <v>148374.24</v>
      </c>
      <c r="V344" s="72">
        <v>240</v>
      </c>
      <c r="W344" s="73">
        <v>105981.6</v>
      </c>
      <c r="X344" s="72">
        <v>174</v>
      </c>
      <c r="Y344" s="73">
        <v>76836.66</v>
      </c>
      <c r="Z344" s="72">
        <v>168</v>
      </c>
      <c r="AA344" s="73">
        <v>74187.12</v>
      </c>
      <c r="AB344" s="72">
        <v>48</v>
      </c>
      <c r="AC344" s="73">
        <v>21196.32</v>
      </c>
      <c r="AD344" s="72">
        <v>0</v>
      </c>
      <c r="AE344" s="73">
        <v>0</v>
      </c>
      <c r="AF344" s="72">
        <v>0</v>
      </c>
      <c r="AG344" s="88">
        <v>0</v>
      </c>
      <c r="AH344"/>
    </row>
    <row r="345" spans="1:34">
      <c r="B345" s="114">
        <v>326</v>
      </c>
      <c r="C345" s="117">
        <v>51</v>
      </c>
      <c r="D345" s="117"/>
      <c r="E345" s="117" t="s">
        <v>617</v>
      </c>
      <c r="F345" s="117" t="s">
        <v>618</v>
      </c>
      <c r="G345" s="117" t="s">
        <v>635</v>
      </c>
      <c r="H345" s="117" t="s">
        <v>622</v>
      </c>
      <c r="I345" s="120" t="s">
        <v>623</v>
      </c>
      <c r="J345" s="84">
        <v>486</v>
      </c>
      <c r="K345" s="73">
        <v>107017.2</v>
      </c>
      <c r="L345" s="72">
        <v>490</v>
      </c>
      <c r="M345" s="73">
        <v>107898</v>
      </c>
      <c r="N345" s="72">
        <v>428</v>
      </c>
      <c r="O345" s="73">
        <v>94245.60000000001</v>
      </c>
      <c r="P345" s="72">
        <v>852</v>
      </c>
      <c r="Q345" s="73">
        <v>187610.4</v>
      </c>
      <c r="R345" s="72">
        <v>772</v>
      </c>
      <c r="S345" s="73">
        <v>169994.4</v>
      </c>
      <c r="T345" s="72">
        <v>820</v>
      </c>
      <c r="U345" s="73">
        <v>180564</v>
      </c>
      <c r="V345" s="72">
        <v>640</v>
      </c>
      <c r="W345" s="73">
        <v>140928</v>
      </c>
      <c r="X345" s="72">
        <v>684</v>
      </c>
      <c r="Y345" s="73">
        <v>150616.8</v>
      </c>
      <c r="Z345" s="72">
        <v>620</v>
      </c>
      <c r="AA345" s="73">
        <v>136524</v>
      </c>
      <c r="AB345" s="72">
        <v>220</v>
      </c>
      <c r="AC345" s="73">
        <v>48444</v>
      </c>
      <c r="AD345" s="72">
        <v>0</v>
      </c>
      <c r="AE345" s="73">
        <v>0</v>
      </c>
      <c r="AF345" s="72">
        <v>0</v>
      </c>
      <c r="AG345" s="88">
        <v>0</v>
      </c>
      <c r="AH345"/>
    </row>
    <row r="346" spans="1:34">
      <c r="B346" s="114">
        <v>327</v>
      </c>
      <c r="C346" s="117">
        <v>51</v>
      </c>
      <c r="D346" s="117"/>
      <c r="E346" s="117" t="s">
        <v>617</v>
      </c>
      <c r="F346" s="117" t="s">
        <v>618</v>
      </c>
      <c r="G346" s="117" t="s">
        <v>625</v>
      </c>
      <c r="H346" s="117" t="s">
        <v>620</v>
      </c>
      <c r="I346" s="120" t="s">
        <v>455</v>
      </c>
      <c r="J346" s="84">
        <v>60</v>
      </c>
      <c r="K346" s="73">
        <v>23749.8</v>
      </c>
      <c r="L346" s="72">
        <v>108</v>
      </c>
      <c r="M346" s="73">
        <v>42749.64</v>
      </c>
      <c r="N346" s="72">
        <v>60</v>
      </c>
      <c r="O346" s="73">
        <v>23749.8</v>
      </c>
      <c r="P346" s="72">
        <v>4</v>
      </c>
      <c r="Q346" s="73">
        <v>1583.32</v>
      </c>
      <c r="R346" s="72">
        <v>0</v>
      </c>
      <c r="S346" s="73">
        <v>0</v>
      </c>
      <c r="T346" s="72">
        <v>0</v>
      </c>
      <c r="U346" s="73">
        <v>0</v>
      </c>
      <c r="V346" s="72">
        <v>0</v>
      </c>
      <c r="W346" s="73">
        <v>0</v>
      </c>
      <c r="X346" s="72">
        <v>0</v>
      </c>
      <c r="Y346" s="73">
        <v>0</v>
      </c>
      <c r="Z346" s="72">
        <v>0</v>
      </c>
      <c r="AA346" s="73">
        <v>0</v>
      </c>
      <c r="AB346" s="72">
        <v>0</v>
      </c>
      <c r="AC346" s="73">
        <v>0</v>
      </c>
      <c r="AD346" s="72">
        <v>0</v>
      </c>
      <c r="AE346" s="73">
        <v>0</v>
      </c>
      <c r="AF346" s="72">
        <v>0</v>
      </c>
      <c r="AG346" s="88">
        <v>0</v>
      </c>
      <c r="AH346"/>
    </row>
    <row r="347" spans="1:34">
      <c r="B347" s="114">
        <v>328</v>
      </c>
      <c r="C347" s="117">
        <v>51</v>
      </c>
      <c r="D347" s="117"/>
      <c r="E347" s="117" t="s">
        <v>617</v>
      </c>
      <c r="F347" s="117" t="s">
        <v>618</v>
      </c>
      <c r="G347" s="117" t="s">
        <v>626</v>
      </c>
      <c r="H347" s="117" t="s">
        <v>627</v>
      </c>
      <c r="I347" s="120" t="s">
        <v>455</v>
      </c>
      <c r="J347" s="84">
        <v>144</v>
      </c>
      <c r="K347" s="73">
        <v>32346.72</v>
      </c>
      <c r="L347" s="72">
        <v>318</v>
      </c>
      <c r="M347" s="73">
        <v>71432.34</v>
      </c>
      <c r="N347" s="72">
        <v>60</v>
      </c>
      <c r="O347" s="73">
        <v>13477.8</v>
      </c>
      <c r="P347" s="72">
        <v>6</v>
      </c>
      <c r="Q347" s="73">
        <v>1347.78</v>
      </c>
      <c r="R347" s="72">
        <v>0</v>
      </c>
      <c r="S347" s="73">
        <v>0</v>
      </c>
      <c r="T347" s="72">
        <v>0</v>
      </c>
      <c r="U347" s="73">
        <v>0</v>
      </c>
      <c r="V347" s="72">
        <v>0</v>
      </c>
      <c r="W347" s="73">
        <v>0</v>
      </c>
      <c r="X347" s="72">
        <v>0</v>
      </c>
      <c r="Y347" s="73">
        <v>0</v>
      </c>
      <c r="Z347" s="72">
        <v>0</v>
      </c>
      <c r="AA347" s="73">
        <v>0</v>
      </c>
      <c r="AB347" s="72">
        <v>0</v>
      </c>
      <c r="AC347" s="73">
        <v>0</v>
      </c>
      <c r="AD347" s="72">
        <v>0</v>
      </c>
      <c r="AE347" s="73">
        <v>0</v>
      </c>
      <c r="AF347" s="72">
        <v>0</v>
      </c>
      <c r="AG347" s="88">
        <v>0</v>
      </c>
      <c r="AH347"/>
    </row>
    <row r="348" spans="1:34">
      <c r="B348" s="114">
        <v>329</v>
      </c>
      <c r="C348" s="117">
        <v>51</v>
      </c>
      <c r="D348" s="117"/>
      <c r="E348" s="117" t="s">
        <v>644</v>
      </c>
      <c r="F348" s="117" t="s">
        <v>645</v>
      </c>
      <c r="G348" s="117" t="s">
        <v>646</v>
      </c>
      <c r="H348" s="117" t="s">
        <v>647</v>
      </c>
      <c r="I348" s="120" t="s">
        <v>88</v>
      </c>
      <c r="J348" s="84">
        <v>0</v>
      </c>
      <c r="K348" s="73">
        <v>0</v>
      </c>
      <c r="L348" s="72">
        <v>0</v>
      </c>
      <c r="M348" s="73">
        <v>0</v>
      </c>
      <c r="N348" s="72">
        <v>0</v>
      </c>
      <c r="O348" s="73">
        <v>0</v>
      </c>
      <c r="P348" s="72">
        <v>0</v>
      </c>
      <c r="Q348" s="73">
        <v>0</v>
      </c>
      <c r="R348" s="72">
        <v>0</v>
      </c>
      <c r="S348" s="73">
        <v>0</v>
      </c>
      <c r="T348" s="72">
        <v>0</v>
      </c>
      <c r="U348" s="73">
        <v>0</v>
      </c>
      <c r="V348" s="72">
        <v>0</v>
      </c>
      <c r="W348" s="73">
        <v>0</v>
      </c>
      <c r="X348" s="72">
        <v>0</v>
      </c>
      <c r="Y348" s="73">
        <v>0</v>
      </c>
      <c r="Z348" s="72">
        <v>0</v>
      </c>
      <c r="AA348" s="73">
        <v>0</v>
      </c>
      <c r="AB348" s="72">
        <v>3360</v>
      </c>
      <c r="AC348" s="73">
        <v>165883.2</v>
      </c>
      <c r="AD348" s="72">
        <v>0</v>
      </c>
      <c r="AE348" s="73">
        <v>0</v>
      </c>
      <c r="AF348" s="72">
        <v>0</v>
      </c>
      <c r="AG348" s="88">
        <v>0</v>
      </c>
      <c r="AH348"/>
    </row>
    <row r="349" spans="1:34">
      <c r="B349" s="114">
        <v>330</v>
      </c>
      <c r="C349" s="117">
        <v>51</v>
      </c>
      <c r="D349" s="117"/>
      <c r="E349" s="117" t="s">
        <v>648</v>
      </c>
      <c r="F349" s="117" t="s">
        <v>649</v>
      </c>
      <c r="G349" s="117" t="s">
        <v>661</v>
      </c>
      <c r="H349" s="117" t="s">
        <v>662</v>
      </c>
      <c r="I349" s="120" t="s">
        <v>439</v>
      </c>
      <c r="J349" s="84">
        <v>900</v>
      </c>
      <c r="K349" s="73">
        <v>24003</v>
      </c>
      <c r="L349" s="72">
        <v>4680</v>
      </c>
      <c r="M349" s="73">
        <v>124815.6</v>
      </c>
      <c r="N349" s="72">
        <v>0</v>
      </c>
      <c r="O349" s="73">
        <v>0</v>
      </c>
      <c r="P349" s="72">
        <v>4140</v>
      </c>
      <c r="Q349" s="73">
        <v>110413.8</v>
      </c>
      <c r="R349" s="72">
        <v>1260</v>
      </c>
      <c r="S349" s="73">
        <v>33604.2</v>
      </c>
      <c r="T349" s="72">
        <v>1260</v>
      </c>
      <c r="U349" s="73">
        <v>33604.2</v>
      </c>
      <c r="V349" s="72">
        <v>2160</v>
      </c>
      <c r="W349" s="73">
        <v>57607.2</v>
      </c>
      <c r="X349" s="72">
        <v>2160</v>
      </c>
      <c r="Y349" s="73">
        <v>57607.2</v>
      </c>
      <c r="Z349" s="72">
        <v>2160</v>
      </c>
      <c r="AA349" s="73">
        <v>57607.2</v>
      </c>
      <c r="AB349" s="72">
        <v>1080</v>
      </c>
      <c r="AC349" s="73">
        <v>28803.6</v>
      </c>
      <c r="AD349" s="72">
        <v>0</v>
      </c>
      <c r="AE349" s="73">
        <v>0</v>
      </c>
      <c r="AF349" s="72">
        <v>0</v>
      </c>
      <c r="AG349" s="88">
        <v>0</v>
      </c>
      <c r="AH349"/>
    </row>
    <row r="350" spans="1:34">
      <c r="B350" s="114">
        <v>331</v>
      </c>
      <c r="C350" s="117">
        <v>51</v>
      </c>
      <c r="D350" s="117"/>
      <c r="E350" s="117" t="s">
        <v>648</v>
      </c>
      <c r="F350" s="117" t="s">
        <v>649</v>
      </c>
      <c r="G350" s="117" t="s">
        <v>660</v>
      </c>
      <c r="H350" s="117" t="s">
        <v>659</v>
      </c>
      <c r="I350" s="120" t="s">
        <v>455</v>
      </c>
      <c r="J350" s="84">
        <v>0</v>
      </c>
      <c r="K350" s="73">
        <v>0</v>
      </c>
      <c r="L350" s="72">
        <v>0</v>
      </c>
      <c r="M350" s="73">
        <v>0</v>
      </c>
      <c r="N350" s="72">
        <v>0</v>
      </c>
      <c r="O350" s="73">
        <v>0</v>
      </c>
      <c r="P350" s="72">
        <v>3000</v>
      </c>
      <c r="Q350" s="73">
        <v>92250</v>
      </c>
      <c r="R350" s="72">
        <v>0</v>
      </c>
      <c r="S350" s="73">
        <v>0</v>
      </c>
      <c r="T350" s="72">
        <v>720</v>
      </c>
      <c r="U350" s="73">
        <v>22140</v>
      </c>
      <c r="V350" s="72">
        <v>960</v>
      </c>
      <c r="W350" s="73">
        <v>29520</v>
      </c>
      <c r="X350" s="72">
        <v>0</v>
      </c>
      <c r="Y350" s="73">
        <v>0</v>
      </c>
      <c r="Z350" s="72">
        <v>0</v>
      </c>
      <c r="AA350" s="73">
        <v>0</v>
      </c>
      <c r="AB350" s="72">
        <v>0</v>
      </c>
      <c r="AC350" s="73">
        <v>0</v>
      </c>
      <c r="AD350" s="72">
        <v>0</v>
      </c>
      <c r="AE350" s="73">
        <v>0</v>
      </c>
      <c r="AF350" s="72">
        <v>0</v>
      </c>
      <c r="AG350" s="88">
        <v>0</v>
      </c>
      <c r="AH350"/>
    </row>
    <row r="351" spans="1:34">
      <c r="B351" s="114">
        <v>332</v>
      </c>
      <c r="C351" s="117">
        <v>51</v>
      </c>
      <c r="D351" s="117"/>
      <c r="E351" s="117" t="s">
        <v>648</v>
      </c>
      <c r="F351" s="117" t="s">
        <v>649</v>
      </c>
      <c r="G351" s="117" t="s">
        <v>652</v>
      </c>
      <c r="H351" s="117" t="s">
        <v>502</v>
      </c>
      <c r="I351" s="120" t="s">
        <v>653</v>
      </c>
      <c r="J351" s="84">
        <v>6000</v>
      </c>
      <c r="K351" s="73">
        <v>15900</v>
      </c>
      <c r="L351" s="72">
        <v>9000</v>
      </c>
      <c r="M351" s="73">
        <v>23850</v>
      </c>
      <c r="N351" s="72">
        <v>0</v>
      </c>
      <c r="O351" s="73">
        <v>0</v>
      </c>
      <c r="P351" s="72">
        <v>12000</v>
      </c>
      <c r="Q351" s="73">
        <v>31800</v>
      </c>
      <c r="R351" s="72">
        <v>9000</v>
      </c>
      <c r="S351" s="73">
        <v>23850</v>
      </c>
      <c r="T351" s="72">
        <v>9000</v>
      </c>
      <c r="U351" s="73">
        <v>23850</v>
      </c>
      <c r="V351" s="72">
        <v>9000</v>
      </c>
      <c r="W351" s="73">
        <v>23850</v>
      </c>
      <c r="X351" s="72">
        <v>6000</v>
      </c>
      <c r="Y351" s="73">
        <v>15900</v>
      </c>
      <c r="Z351" s="72">
        <v>6000</v>
      </c>
      <c r="AA351" s="73">
        <v>15900</v>
      </c>
      <c r="AB351" s="72">
        <v>3000</v>
      </c>
      <c r="AC351" s="73">
        <v>7950</v>
      </c>
      <c r="AD351" s="72">
        <v>0</v>
      </c>
      <c r="AE351" s="73">
        <v>0</v>
      </c>
      <c r="AF351" s="72">
        <v>0</v>
      </c>
      <c r="AG351" s="88">
        <v>0</v>
      </c>
      <c r="AH351"/>
    </row>
    <row r="352" spans="1:34">
      <c r="B352" s="114">
        <v>333</v>
      </c>
      <c r="C352" s="117">
        <v>51</v>
      </c>
      <c r="D352" s="117"/>
      <c r="E352" s="117" t="s">
        <v>648</v>
      </c>
      <c r="F352" s="117" t="s">
        <v>649</v>
      </c>
      <c r="G352" s="117" t="s">
        <v>654</v>
      </c>
      <c r="H352" s="117" t="s">
        <v>655</v>
      </c>
      <c r="I352" s="120" t="s">
        <v>211</v>
      </c>
      <c r="J352" s="84">
        <v>0</v>
      </c>
      <c r="K352" s="73">
        <v>0</v>
      </c>
      <c r="L352" s="72">
        <v>200</v>
      </c>
      <c r="M352" s="73">
        <v>466</v>
      </c>
      <c r="N352" s="72">
        <v>0</v>
      </c>
      <c r="O352" s="73">
        <v>0</v>
      </c>
      <c r="P352" s="72">
        <v>0</v>
      </c>
      <c r="Q352" s="73">
        <v>0</v>
      </c>
      <c r="R352" s="72">
        <v>0</v>
      </c>
      <c r="S352" s="73">
        <v>0</v>
      </c>
      <c r="T352" s="72">
        <v>0</v>
      </c>
      <c r="U352" s="73">
        <v>0</v>
      </c>
      <c r="V352" s="72">
        <v>0</v>
      </c>
      <c r="W352" s="73">
        <v>0</v>
      </c>
      <c r="X352" s="72">
        <v>0</v>
      </c>
      <c r="Y352" s="73">
        <v>0</v>
      </c>
      <c r="Z352" s="72">
        <v>0</v>
      </c>
      <c r="AA352" s="73">
        <v>0</v>
      </c>
      <c r="AB352" s="72">
        <v>0</v>
      </c>
      <c r="AC352" s="73">
        <v>0</v>
      </c>
      <c r="AD352" s="72">
        <v>0</v>
      </c>
      <c r="AE352" s="73">
        <v>0</v>
      </c>
      <c r="AF352" s="72">
        <v>0</v>
      </c>
      <c r="AG352" s="88">
        <v>0</v>
      </c>
      <c r="AH352"/>
    </row>
    <row r="353" spans="1:34">
      <c r="B353" s="114">
        <v>334</v>
      </c>
      <c r="C353" s="117">
        <v>51</v>
      </c>
      <c r="D353" s="117"/>
      <c r="E353" s="117" t="s">
        <v>648</v>
      </c>
      <c r="F353" s="117" t="s">
        <v>649</v>
      </c>
      <c r="G353" s="117" t="s">
        <v>650</v>
      </c>
      <c r="H353" s="117" t="s">
        <v>651</v>
      </c>
      <c r="I353" s="120" t="s">
        <v>455</v>
      </c>
      <c r="J353" s="84">
        <v>2000</v>
      </c>
      <c r="K353" s="73">
        <v>23000</v>
      </c>
      <c r="L353" s="72">
        <v>3200</v>
      </c>
      <c r="M353" s="73">
        <v>36800</v>
      </c>
      <c r="N353" s="72">
        <v>1600</v>
      </c>
      <c r="O353" s="73">
        <v>18400</v>
      </c>
      <c r="P353" s="72">
        <v>1200</v>
      </c>
      <c r="Q353" s="73">
        <v>13800</v>
      </c>
      <c r="R353" s="72">
        <v>4400</v>
      </c>
      <c r="S353" s="73">
        <v>50600</v>
      </c>
      <c r="T353" s="72">
        <v>3200</v>
      </c>
      <c r="U353" s="73">
        <v>36800</v>
      </c>
      <c r="V353" s="72">
        <v>5200</v>
      </c>
      <c r="W353" s="73">
        <v>59800</v>
      </c>
      <c r="X353" s="72">
        <v>0</v>
      </c>
      <c r="Y353" s="73">
        <v>0</v>
      </c>
      <c r="Z353" s="72">
        <v>0</v>
      </c>
      <c r="AA353" s="73">
        <v>0</v>
      </c>
      <c r="AB353" s="72">
        <v>0</v>
      </c>
      <c r="AC353" s="73">
        <v>0</v>
      </c>
      <c r="AD353" s="72">
        <v>0</v>
      </c>
      <c r="AE353" s="73">
        <v>0</v>
      </c>
      <c r="AF353" s="72">
        <v>0</v>
      </c>
      <c r="AG353" s="88">
        <v>0</v>
      </c>
      <c r="AH353"/>
    </row>
    <row r="354" spans="1:34">
      <c r="B354" s="114">
        <v>335</v>
      </c>
      <c r="C354" s="117">
        <v>51</v>
      </c>
      <c r="D354" s="117"/>
      <c r="E354" s="117" t="s">
        <v>648</v>
      </c>
      <c r="F354" s="117" t="s">
        <v>649</v>
      </c>
      <c r="G354" s="117" t="s">
        <v>658</v>
      </c>
      <c r="H354" s="117" t="s">
        <v>659</v>
      </c>
      <c r="I354" s="120" t="s">
        <v>455</v>
      </c>
      <c r="J354" s="84">
        <v>0</v>
      </c>
      <c r="K354" s="73">
        <v>0</v>
      </c>
      <c r="L354" s="72">
        <v>0</v>
      </c>
      <c r="M354" s="73">
        <v>0</v>
      </c>
      <c r="N354" s="72">
        <v>0</v>
      </c>
      <c r="O354" s="73">
        <v>0</v>
      </c>
      <c r="P354" s="72">
        <v>600</v>
      </c>
      <c r="Q354" s="73">
        <v>17100</v>
      </c>
      <c r="R354" s="72">
        <v>1500</v>
      </c>
      <c r="S354" s="73">
        <v>42750</v>
      </c>
      <c r="T354" s="72">
        <v>360</v>
      </c>
      <c r="U354" s="73">
        <v>10260</v>
      </c>
      <c r="V354" s="72">
        <v>660</v>
      </c>
      <c r="W354" s="73">
        <v>18810</v>
      </c>
      <c r="X354" s="72">
        <v>0</v>
      </c>
      <c r="Y354" s="73">
        <v>0</v>
      </c>
      <c r="Z354" s="72">
        <v>0</v>
      </c>
      <c r="AA354" s="73">
        <v>0</v>
      </c>
      <c r="AB354" s="72">
        <v>0</v>
      </c>
      <c r="AC354" s="73">
        <v>0</v>
      </c>
      <c r="AD354" s="72">
        <v>0</v>
      </c>
      <c r="AE354" s="73">
        <v>0</v>
      </c>
      <c r="AF354" s="72">
        <v>0</v>
      </c>
      <c r="AG354" s="88">
        <v>0</v>
      </c>
      <c r="AH354"/>
    </row>
    <row r="355" spans="1:34">
      <c r="B355" s="114">
        <v>336</v>
      </c>
      <c r="C355" s="117">
        <v>51</v>
      </c>
      <c r="D355" s="117"/>
      <c r="E355" s="117" t="s">
        <v>648</v>
      </c>
      <c r="F355" s="117" t="s">
        <v>649</v>
      </c>
      <c r="G355" s="117" t="s">
        <v>656</v>
      </c>
      <c r="H355" s="117" t="s">
        <v>657</v>
      </c>
      <c r="I355" s="120" t="s">
        <v>280</v>
      </c>
      <c r="J355" s="84">
        <v>129000</v>
      </c>
      <c r="K355" s="73">
        <v>219300</v>
      </c>
      <c r="L355" s="72">
        <v>120000</v>
      </c>
      <c r="M355" s="73">
        <v>204000</v>
      </c>
      <c r="N355" s="72">
        <v>72000</v>
      </c>
      <c r="O355" s="73">
        <v>122400</v>
      </c>
      <c r="P355" s="72">
        <v>168000</v>
      </c>
      <c r="Q355" s="73">
        <v>285600</v>
      </c>
      <c r="R355" s="72">
        <v>144000</v>
      </c>
      <c r="S355" s="73">
        <v>244800</v>
      </c>
      <c r="T355" s="72">
        <v>120000</v>
      </c>
      <c r="U355" s="73">
        <v>204000</v>
      </c>
      <c r="V355" s="72">
        <v>162000</v>
      </c>
      <c r="W355" s="73">
        <v>275400</v>
      </c>
      <c r="X355" s="72">
        <v>153000</v>
      </c>
      <c r="Y355" s="73">
        <v>260100</v>
      </c>
      <c r="Z355" s="72">
        <v>108000</v>
      </c>
      <c r="AA355" s="73">
        <v>183600</v>
      </c>
      <c r="AB355" s="72">
        <v>57000</v>
      </c>
      <c r="AC355" s="73">
        <v>96900</v>
      </c>
      <c r="AD355" s="72">
        <v>0</v>
      </c>
      <c r="AE355" s="73">
        <v>0</v>
      </c>
      <c r="AF355" s="72">
        <v>0</v>
      </c>
      <c r="AG355" s="88">
        <v>0</v>
      </c>
      <c r="AH355"/>
    </row>
    <row r="356" spans="1:34">
      <c r="B356" s="114">
        <v>337</v>
      </c>
      <c r="C356" s="117">
        <v>51</v>
      </c>
      <c r="D356" s="117"/>
      <c r="E356" s="117" t="s">
        <v>663</v>
      </c>
      <c r="F356" s="117" t="s">
        <v>664</v>
      </c>
      <c r="G356" s="117" t="s">
        <v>665</v>
      </c>
      <c r="H356" s="117" t="s">
        <v>426</v>
      </c>
      <c r="I356" s="120" t="s">
        <v>467</v>
      </c>
      <c r="J356" s="84">
        <v>0</v>
      </c>
      <c r="K356" s="73">
        <v>0</v>
      </c>
      <c r="L356" s="72">
        <v>0</v>
      </c>
      <c r="M356" s="73">
        <v>0</v>
      </c>
      <c r="N356" s="72">
        <v>850</v>
      </c>
      <c r="O356" s="73">
        <v>76500</v>
      </c>
      <c r="P356" s="72">
        <v>0</v>
      </c>
      <c r="Q356" s="73">
        <v>0</v>
      </c>
      <c r="R356" s="72">
        <v>0</v>
      </c>
      <c r="S356" s="73">
        <v>0</v>
      </c>
      <c r="T356" s="72">
        <v>0</v>
      </c>
      <c r="U356" s="73">
        <v>0</v>
      </c>
      <c r="V356" s="72">
        <v>0</v>
      </c>
      <c r="W356" s="73">
        <v>0</v>
      </c>
      <c r="X356" s="72">
        <v>0</v>
      </c>
      <c r="Y356" s="73">
        <v>0</v>
      </c>
      <c r="Z356" s="72">
        <v>0</v>
      </c>
      <c r="AA356" s="73">
        <v>0</v>
      </c>
      <c r="AB356" s="72">
        <v>0</v>
      </c>
      <c r="AC356" s="73">
        <v>0</v>
      </c>
      <c r="AD356" s="72">
        <v>0</v>
      </c>
      <c r="AE356" s="73">
        <v>0</v>
      </c>
      <c r="AF356" s="72">
        <v>0</v>
      </c>
      <c r="AG356" s="88">
        <v>0</v>
      </c>
      <c r="AH356"/>
    </row>
    <row r="357" spans="1:34">
      <c r="B357" s="114">
        <v>338</v>
      </c>
      <c r="C357" s="117">
        <v>51</v>
      </c>
      <c r="D357" s="117"/>
      <c r="E357" s="117" t="s">
        <v>666</v>
      </c>
      <c r="F357" s="117" t="s">
        <v>667</v>
      </c>
      <c r="G357" s="117" t="s">
        <v>671</v>
      </c>
      <c r="H357" s="117" t="s">
        <v>672</v>
      </c>
      <c r="I357" s="120" t="s">
        <v>673</v>
      </c>
      <c r="J357" s="84">
        <v>0</v>
      </c>
      <c r="K357" s="73">
        <v>0</v>
      </c>
      <c r="L357" s="72">
        <v>0</v>
      </c>
      <c r="M357" s="73">
        <v>0</v>
      </c>
      <c r="N357" s="72">
        <v>287</v>
      </c>
      <c r="O357" s="73">
        <v>9184</v>
      </c>
      <c r="P357" s="72">
        <v>0</v>
      </c>
      <c r="Q357" s="73">
        <v>0</v>
      </c>
      <c r="R357" s="72">
        <v>0</v>
      </c>
      <c r="S357" s="73">
        <v>0</v>
      </c>
      <c r="T357" s="72">
        <v>0</v>
      </c>
      <c r="U357" s="73">
        <v>0</v>
      </c>
      <c r="V357" s="72">
        <v>0</v>
      </c>
      <c r="W357" s="73">
        <v>0</v>
      </c>
      <c r="X357" s="72">
        <v>0</v>
      </c>
      <c r="Y357" s="73">
        <v>0</v>
      </c>
      <c r="Z357" s="72">
        <v>280</v>
      </c>
      <c r="AA357" s="73">
        <v>8960</v>
      </c>
      <c r="AB357" s="72">
        <v>0</v>
      </c>
      <c r="AC357" s="73">
        <v>0</v>
      </c>
      <c r="AD357" s="72">
        <v>0</v>
      </c>
      <c r="AE357" s="73">
        <v>0</v>
      </c>
      <c r="AF357" s="72">
        <v>0</v>
      </c>
      <c r="AG357" s="88">
        <v>0</v>
      </c>
      <c r="AH357"/>
    </row>
    <row r="358" spans="1:34">
      <c r="B358" s="114">
        <v>339</v>
      </c>
      <c r="C358" s="117">
        <v>51</v>
      </c>
      <c r="D358" s="117"/>
      <c r="E358" s="117" t="s">
        <v>666</v>
      </c>
      <c r="F358" s="117" t="s">
        <v>667</v>
      </c>
      <c r="G358" s="117" t="s">
        <v>668</v>
      </c>
      <c r="H358" s="117" t="s">
        <v>669</v>
      </c>
      <c r="I358" s="120" t="s">
        <v>670</v>
      </c>
      <c r="J358" s="84">
        <v>1043</v>
      </c>
      <c r="K358" s="73">
        <v>43806</v>
      </c>
      <c r="L358" s="72">
        <v>1720</v>
      </c>
      <c r="M358" s="73">
        <v>72240</v>
      </c>
      <c r="N358" s="72">
        <v>1671</v>
      </c>
      <c r="O358" s="73">
        <v>70182</v>
      </c>
      <c r="P358" s="72">
        <v>1145</v>
      </c>
      <c r="Q358" s="73">
        <v>48090</v>
      </c>
      <c r="R358" s="72">
        <v>588</v>
      </c>
      <c r="S358" s="73">
        <v>24696</v>
      </c>
      <c r="T358" s="72">
        <v>1152</v>
      </c>
      <c r="U358" s="73">
        <v>48384</v>
      </c>
      <c r="V358" s="72">
        <v>1731</v>
      </c>
      <c r="W358" s="73">
        <v>72702</v>
      </c>
      <c r="X358" s="72">
        <v>1759</v>
      </c>
      <c r="Y358" s="73">
        <v>73878</v>
      </c>
      <c r="Z358" s="72">
        <v>1064</v>
      </c>
      <c r="AA358" s="73">
        <v>44688</v>
      </c>
      <c r="AB358" s="72">
        <v>600</v>
      </c>
      <c r="AC358" s="73">
        <v>25200</v>
      </c>
      <c r="AD358" s="72">
        <v>0</v>
      </c>
      <c r="AE358" s="73">
        <v>0</v>
      </c>
      <c r="AF358" s="72">
        <v>0</v>
      </c>
      <c r="AG358" s="88">
        <v>0</v>
      </c>
      <c r="AH358"/>
    </row>
    <row r="359" spans="1:34">
      <c r="B359" s="114">
        <v>340</v>
      </c>
      <c r="C359" s="117">
        <v>51</v>
      </c>
      <c r="D359" s="117"/>
      <c r="E359" s="117" t="s">
        <v>666</v>
      </c>
      <c r="F359" s="117" t="s">
        <v>667</v>
      </c>
      <c r="G359" s="117" t="s">
        <v>679</v>
      </c>
      <c r="H359" s="117" t="s">
        <v>672</v>
      </c>
      <c r="I359" s="120" t="s">
        <v>680</v>
      </c>
      <c r="J359" s="84">
        <v>0</v>
      </c>
      <c r="K359" s="73">
        <v>0</v>
      </c>
      <c r="L359" s="72">
        <v>0</v>
      </c>
      <c r="M359" s="73">
        <v>0</v>
      </c>
      <c r="N359" s="72">
        <v>276</v>
      </c>
      <c r="O359" s="73">
        <v>7728</v>
      </c>
      <c r="P359" s="72">
        <v>0</v>
      </c>
      <c r="Q359" s="73">
        <v>0</v>
      </c>
      <c r="R359" s="72">
        <v>0</v>
      </c>
      <c r="S359" s="73">
        <v>0</v>
      </c>
      <c r="T359" s="72">
        <v>0</v>
      </c>
      <c r="U359" s="73">
        <v>0</v>
      </c>
      <c r="V359" s="72">
        <v>0</v>
      </c>
      <c r="W359" s="73">
        <v>0</v>
      </c>
      <c r="X359" s="72">
        <v>281</v>
      </c>
      <c r="Y359" s="73">
        <v>7868</v>
      </c>
      <c r="Z359" s="72">
        <v>549</v>
      </c>
      <c r="AA359" s="73">
        <v>15372</v>
      </c>
      <c r="AB359" s="72">
        <v>0</v>
      </c>
      <c r="AC359" s="73">
        <v>0</v>
      </c>
      <c r="AD359" s="72">
        <v>0</v>
      </c>
      <c r="AE359" s="73">
        <v>0</v>
      </c>
      <c r="AF359" s="72">
        <v>0</v>
      </c>
      <c r="AG359" s="88">
        <v>0</v>
      </c>
      <c r="AH359"/>
    </row>
    <row r="360" spans="1:34">
      <c r="B360" s="114">
        <v>341</v>
      </c>
      <c r="C360" s="117">
        <v>51</v>
      </c>
      <c r="D360" s="117"/>
      <c r="E360" s="117" t="s">
        <v>666</v>
      </c>
      <c r="F360" s="117" t="s">
        <v>667</v>
      </c>
      <c r="G360" s="117" t="s">
        <v>682</v>
      </c>
      <c r="H360" s="117" t="s">
        <v>683</v>
      </c>
      <c r="I360" s="120" t="s">
        <v>673</v>
      </c>
      <c r="J360" s="84">
        <v>1737</v>
      </c>
      <c r="K360" s="73">
        <v>55584</v>
      </c>
      <c r="L360" s="72">
        <v>1755</v>
      </c>
      <c r="M360" s="73">
        <v>56160</v>
      </c>
      <c r="N360" s="72">
        <v>1159</v>
      </c>
      <c r="O360" s="73">
        <v>37088</v>
      </c>
      <c r="P360" s="72">
        <v>1518</v>
      </c>
      <c r="Q360" s="73">
        <v>48576</v>
      </c>
      <c r="R360" s="72">
        <v>1161</v>
      </c>
      <c r="S360" s="73">
        <v>37152</v>
      </c>
      <c r="T360" s="72">
        <v>1158</v>
      </c>
      <c r="U360" s="73">
        <v>37056</v>
      </c>
      <c r="V360" s="72">
        <v>1636</v>
      </c>
      <c r="W360" s="73">
        <v>52352</v>
      </c>
      <c r="X360" s="72">
        <v>1753</v>
      </c>
      <c r="Y360" s="73">
        <v>56096</v>
      </c>
      <c r="Z360" s="72">
        <v>1163</v>
      </c>
      <c r="AA360" s="73">
        <v>37216</v>
      </c>
      <c r="AB360" s="72">
        <v>1150</v>
      </c>
      <c r="AC360" s="73">
        <v>36800</v>
      </c>
      <c r="AD360" s="72">
        <v>0</v>
      </c>
      <c r="AE360" s="73">
        <v>0</v>
      </c>
      <c r="AF360" s="72">
        <v>0</v>
      </c>
      <c r="AG360" s="88">
        <v>0</v>
      </c>
      <c r="AH360"/>
    </row>
    <row r="361" spans="1:34">
      <c r="B361" s="114">
        <v>342</v>
      </c>
      <c r="C361" s="117">
        <v>51</v>
      </c>
      <c r="D361" s="117"/>
      <c r="E361" s="117" t="s">
        <v>666</v>
      </c>
      <c r="F361" s="117" t="s">
        <v>667</v>
      </c>
      <c r="G361" s="117" t="s">
        <v>675</v>
      </c>
      <c r="H361" s="117" t="s">
        <v>676</v>
      </c>
      <c r="I361" s="120" t="s">
        <v>673</v>
      </c>
      <c r="J361" s="84">
        <v>1151</v>
      </c>
      <c r="K361" s="73">
        <v>36832</v>
      </c>
      <c r="L361" s="72">
        <v>1141</v>
      </c>
      <c r="M361" s="73">
        <v>36512</v>
      </c>
      <c r="N361" s="72">
        <v>1168</v>
      </c>
      <c r="O361" s="73">
        <v>37376</v>
      </c>
      <c r="P361" s="72">
        <v>1751</v>
      </c>
      <c r="Q361" s="73">
        <v>56032</v>
      </c>
      <c r="R361" s="72">
        <v>861</v>
      </c>
      <c r="S361" s="73">
        <v>27552</v>
      </c>
      <c r="T361" s="72">
        <v>1730</v>
      </c>
      <c r="U361" s="73">
        <v>55360</v>
      </c>
      <c r="V361" s="72">
        <v>1631</v>
      </c>
      <c r="W361" s="73">
        <v>52192</v>
      </c>
      <c r="X361" s="72">
        <v>1815</v>
      </c>
      <c r="Y361" s="73">
        <v>58080</v>
      </c>
      <c r="Z361" s="72">
        <v>1197</v>
      </c>
      <c r="AA361" s="73">
        <v>38304</v>
      </c>
      <c r="AB361" s="72">
        <v>1100</v>
      </c>
      <c r="AC361" s="73">
        <v>35200</v>
      </c>
      <c r="AD361" s="72">
        <v>0</v>
      </c>
      <c r="AE361" s="73">
        <v>0</v>
      </c>
      <c r="AF361" s="72">
        <v>0</v>
      </c>
      <c r="AG361" s="88">
        <v>0</v>
      </c>
      <c r="AH361"/>
    </row>
    <row r="362" spans="1:34">
      <c r="B362" s="114">
        <v>343</v>
      </c>
      <c r="C362" s="117">
        <v>51</v>
      </c>
      <c r="D362" s="117"/>
      <c r="E362" s="117" t="s">
        <v>666</v>
      </c>
      <c r="F362" s="117" t="s">
        <v>667</v>
      </c>
      <c r="G362" s="117" t="s">
        <v>681</v>
      </c>
      <c r="H362" s="117" t="s">
        <v>669</v>
      </c>
      <c r="I362" s="120" t="s">
        <v>188</v>
      </c>
      <c r="J362" s="84">
        <v>0</v>
      </c>
      <c r="K362" s="73">
        <v>0</v>
      </c>
      <c r="L362" s="72">
        <v>0</v>
      </c>
      <c r="M362" s="73">
        <v>0</v>
      </c>
      <c r="N362" s="72">
        <v>576</v>
      </c>
      <c r="O362" s="73">
        <v>18432</v>
      </c>
      <c r="P362" s="72">
        <v>0</v>
      </c>
      <c r="Q362" s="73">
        <v>0</v>
      </c>
      <c r="R362" s="72">
        <v>0</v>
      </c>
      <c r="S362" s="73">
        <v>0</v>
      </c>
      <c r="T362" s="72">
        <v>0</v>
      </c>
      <c r="U362" s="73">
        <v>0</v>
      </c>
      <c r="V362" s="72">
        <v>0</v>
      </c>
      <c r="W362" s="73">
        <v>0</v>
      </c>
      <c r="X362" s="72">
        <v>0</v>
      </c>
      <c r="Y362" s="73">
        <v>0</v>
      </c>
      <c r="Z362" s="72">
        <v>0</v>
      </c>
      <c r="AA362" s="73">
        <v>0</v>
      </c>
      <c r="AB362" s="72">
        <v>0</v>
      </c>
      <c r="AC362" s="73">
        <v>0</v>
      </c>
      <c r="AD362" s="72">
        <v>0</v>
      </c>
      <c r="AE362" s="73">
        <v>0</v>
      </c>
      <c r="AF362" s="72">
        <v>0</v>
      </c>
      <c r="AG362" s="88">
        <v>0</v>
      </c>
      <c r="AH362"/>
    </row>
    <row r="363" spans="1:34">
      <c r="B363" s="114">
        <v>344</v>
      </c>
      <c r="C363" s="117">
        <v>51</v>
      </c>
      <c r="D363" s="117"/>
      <c r="E363" s="117" t="s">
        <v>666</v>
      </c>
      <c r="F363" s="117" t="s">
        <v>667</v>
      </c>
      <c r="G363" s="117" t="s">
        <v>677</v>
      </c>
      <c r="H363" s="117" t="s">
        <v>678</v>
      </c>
      <c r="I363" s="120" t="s">
        <v>673</v>
      </c>
      <c r="J363" s="84">
        <v>1692</v>
      </c>
      <c r="K363" s="73">
        <v>54144</v>
      </c>
      <c r="L363" s="72">
        <v>1664</v>
      </c>
      <c r="M363" s="73">
        <v>53248</v>
      </c>
      <c r="N363" s="72">
        <v>1633</v>
      </c>
      <c r="O363" s="73">
        <v>52256</v>
      </c>
      <c r="P363" s="72">
        <v>1029</v>
      </c>
      <c r="Q363" s="73">
        <v>32928</v>
      </c>
      <c r="R363" s="72">
        <v>1160</v>
      </c>
      <c r="S363" s="73">
        <v>37120</v>
      </c>
      <c r="T363" s="72">
        <v>1697</v>
      </c>
      <c r="U363" s="73">
        <v>54304</v>
      </c>
      <c r="V363" s="72">
        <v>1165</v>
      </c>
      <c r="W363" s="73">
        <v>37280</v>
      </c>
      <c r="X363" s="72">
        <v>2323</v>
      </c>
      <c r="Y363" s="73">
        <v>74336</v>
      </c>
      <c r="Z363" s="72">
        <v>1006</v>
      </c>
      <c r="AA363" s="73">
        <v>32192</v>
      </c>
      <c r="AB363" s="72">
        <v>1650</v>
      </c>
      <c r="AC363" s="73">
        <v>52800</v>
      </c>
      <c r="AD363" s="72">
        <v>0</v>
      </c>
      <c r="AE363" s="73">
        <v>0</v>
      </c>
      <c r="AF363" s="72">
        <v>0</v>
      </c>
      <c r="AG363" s="88">
        <v>0</v>
      </c>
      <c r="AH363"/>
    </row>
    <row r="364" spans="1:34">
      <c r="B364" s="114">
        <v>345</v>
      </c>
      <c r="C364" s="117">
        <v>51</v>
      </c>
      <c r="D364" s="117"/>
      <c r="E364" s="117" t="s">
        <v>666</v>
      </c>
      <c r="F364" s="117" t="s">
        <v>667</v>
      </c>
      <c r="G364" s="117" t="s">
        <v>674</v>
      </c>
      <c r="H364" s="117" t="s">
        <v>669</v>
      </c>
      <c r="I364" s="120" t="s">
        <v>188</v>
      </c>
      <c r="J364" s="84">
        <v>2244</v>
      </c>
      <c r="K364" s="73">
        <v>62832</v>
      </c>
      <c r="L364" s="72">
        <v>1700</v>
      </c>
      <c r="M364" s="73">
        <v>47600</v>
      </c>
      <c r="N364" s="72">
        <v>1742</v>
      </c>
      <c r="O364" s="73">
        <v>48776</v>
      </c>
      <c r="P364" s="72">
        <v>1101</v>
      </c>
      <c r="Q364" s="73">
        <v>30828</v>
      </c>
      <c r="R364" s="72">
        <v>1731</v>
      </c>
      <c r="S364" s="73">
        <v>48468</v>
      </c>
      <c r="T364" s="72">
        <v>844</v>
      </c>
      <c r="U364" s="73">
        <v>23632</v>
      </c>
      <c r="V364" s="72">
        <v>1735</v>
      </c>
      <c r="W364" s="73">
        <v>48580</v>
      </c>
      <c r="X364" s="72">
        <v>2173</v>
      </c>
      <c r="Y364" s="73">
        <v>60844</v>
      </c>
      <c r="Z364" s="72">
        <v>1056</v>
      </c>
      <c r="AA364" s="73">
        <v>29568</v>
      </c>
      <c r="AB364" s="72">
        <v>2800</v>
      </c>
      <c r="AC364" s="73">
        <v>78400</v>
      </c>
      <c r="AD364" s="72">
        <v>0</v>
      </c>
      <c r="AE364" s="73">
        <v>0</v>
      </c>
      <c r="AF364" s="72">
        <v>0</v>
      </c>
      <c r="AG364" s="88">
        <v>0</v>
      </c>
      <c r="AH364"/>
    </row>
    <row r="365" spans="1:34">
      <c r="B365" s="114">
        <v>346</v>
      </c>
      <c r="C365" s="117">
        <v>51</v>
      </c>
      <c r="D365" s="117"/>
      <c r="E365" s="117" t="s">
        <v>684</v>
      </c>
      <c r="F365" s="117" t="s">
        <v>685</v>
      </c>
      <c r="G365" s="117" t="s">
        <v>686</v>
      </c>
      <c r="H365" s="117" t="s">
        <v>687</v>
      </c>
      <c r="I365" s="120" t="s">
        <v>688</v>
      </c>
      <c r="J365" s="84">
        <v>3000</v>
      </c>
      <c r="K365" s="73">
        <v>9510</v>
      </c>
      <c r="L365" s="72">
        <v>4500</v>
      </c>
      <c r="M365" s="73">
        <v>14265</v>
      </c>
      <c r="N365" s="72">
        <v>6000</v>
      </c>
      <c r="O365" s="73">
        <v>19020</v>
      </c>
      <c r="P365" s="72">
        <v>4500</v>
      </c>
      <c r="Q365" s="73">
        <v>14265</v>
      </c>
      <c r="R365" s="72">
        <v>7500</v>
      </c>
      <c r="S365" s="73">
        <v>23775</v>
      </c>
      <c r="T365" s="72">
        <v>4500</v>
      </c>
      <c r="U365" s="73">
        <v>14265</v>
      </c>
      <c r="V365" s="72">
        <v>4500</v>
      </c>
      <c r="W365" s="73">
        <v>14265</v>
      </c>
      <c r="X365" s="72">
        <v>4500</v>
      </c>
      <c r="Y365" s="73">
        <v>14265</v>
      </c>
      <c r="Z365" s="72">
        <v>1500</v>
      </c>
      <c r="AA365" s="73">
        <v>4755</v>
      </c>
      <c r="AB365" s="72">
        <v>3000</v>
      </c>
      <c r="AC365" s="73">
        <v>9510</v>
      </c>
      <c r="AD365" s="72">
        <v>0</v>
      </c>
      <c r="AE365" s="73">
        <v>0</v>
      </c>
      <c r="AF365" s="72">
        <v>0</v>
      </c>
      <c r="AG365" s="88">
        <v>0</v>
      </c>
      <c r="AH365"/>
    </row>
    <row r="366" spans="1:34">
      <c r="B366" s="114">
        <v>347</v>
      </c>
      <c r="C366" s="117">
        <v>51</v>
      </c>
      <c r="D366" s="117"/>
      <c r="E366" s="117" t="s">
        <v>684</v>
      </c>
      <c r="F366" s="117" t="s">
        <v>685</v>
      </c>
      <c r="G366" s="117" t="s">
        <v>689</v>
      </c>
      <c r="H366" s="117" t="s">
        <v>289</v>
      </c>
      <c r="I366" s="120" t="s">
        <v>690</v>
      </c>
      <c r="J366" s="84">
        <v>27000</v>
      </c>
      <c r="K366" s="73">
        <v>11610</v>
      </c>
      <c r="L366" s="72">
        <v>39000</v>
      </c>
      <c r="M366" s="73">
        <v>16770</v>
      </c>
      <c r="N366" s="72">
        <v>24000</v>
      </c>
      <c r="O366" s="73">
        <v>10320</v>
      </c>
      <c r="P366" s="72">
        <v>36000</v>
      </c>
      <c r="Q366" s="73">
        <v>15480</v>
      </c>
      <c r="R366" s="72">
        <v>42000</v>
      </c>
      <c r="S366" s="73">
        <v>18060</v>
      </c>
      <c r="T366" s="72">
        <v>33000</v>
      </c>
      <c r="U366" s="73">
        <v>14190</v>
      </c>
      <c r="V366" s="72">
        <v>36000</v>
      </c>
      <c r="W366" s="73">
        <v>15480</v>
      </c>
      <c r="X366" s="72">
        <v>39000</v>
      </c>
      <c r="Y366" s="73">
        <v>16770</v>
      </c>
      <c r="Z366" s="72">
        <v>18000</v>
      </c>
      <c r="AA366" s="73">
        <v>7740</v>
      </c>
      <c r="AB366" s="72">
        <v>12000</v>
      </c>
      <c r="AC366" s="73">
        <v>5160</v>
      </c>
      <c r="AD366" s="72">
        <v>0</v>
      </c>
      <c r="AE366" s="73">
        <v>0</v>
      </c>
      <c r="AF366" s="72">
        <v>0</v>
      </c>
      <c r="AG366" s="88">
        <v>0</v>
      </c>
      <c r="AH366"/>
    </row>
    <row r="367" spans="1:34">
      <c r="B367" s="114">
        <v>348</v>
      </c>
      <c r="C367" s="117">
        <v>51</v>
      </c>
      <c r="D367" s="117"/>
      <c r="E367" s="117" t="s">
        <v>691</v>
      </c>
      <c r="F367" s="117" t="s">
        <v>692</v>
      </c>
      <c r="G367" s="117" t="s">
        <v>709</v>
      </c>
      <c r="H367" s="117" t="s">
        <v>577</v>
      </c>
      <c r="I367" s="120" t="s">
        <v>710</v>
      </c>
      <c r="J367" s="84">
        <v>800</v>
      </c>
      <c r="K367" s="73">
        <v>2464</v>
      </c>
      <c r="L367" s="72">
        <v>1600</v>
      </c>
      <c r="M367" s="73">
        <v>4928</v>
      </c>
      <c r="N367" s="72">
        <v>0</v>
      </c>
      <c r="O367" s="73">
        <v>0</v>
      </c>
      <c r="P367" s="72">
        <v>4000</v>
      </c>
      <c r="Q367" s="73">
        <v>12320</v>
      </c>
      <c r="R367" s="72">
        <v>4000</v>
      </c>
      <c r="S367" s="73">
        <v>12320</v>
      </c>
      <c r="T367" s="72">
        <v>800</v>
      </c>
      <c r="U367" s="73">
        <v>2464</v>
      </c>
      <c r="V367" s="72">
        <v>2400</v>
      </c>
      <c r="W367" s="73">
        <v>7392</v>
      </c>
      <c r="X367" s="72">
        <v>2400</v>
      </c>
      <c r="Y367" s="73">
        <v>7392</v>
      </c>
      <c r="Z367" s="72">
        <v>3200</v>
      </c>
      <c r="AA367" s="73">
        <v>9856</v>
      </c>
      <c r="AB367" s="72">
        <v>840</v>
      </c>
      <c r="AC367" s="73">
        <v>2587.2</v>
      </c>
      <c r="AD367" s="72">
        <v>0</v>
      </c>
      <c r="AE367" s="73">
        <v>0</v>
      </c>
      <c r="AF367" s="72">
        <v>0</v>
      </c>
      <c r="AG367" s="88">
        <v>0</v>
      </c>
      <c r="AH367"/>
    </row>
    <row r="368" spans="1:34">
      <c r="B368" s="114">
        <v>349</v>
      </c>
      <c r="C368" s="117">
        <v>51</v>
      </c>
      <c r="D368" s="117"/>
      <c r="E368" s="117" t="s">
        <v>691</v>
      </c>
      <c r="F368" s="117" t="s">
        <v>692</v>
      </c>
      <c r="G368" s="117" t="s">
        <v>701</v>
      </c>
      <c r="H368" s="117" t="s">
        <v>577</v>
      </c>
      <c r="I368" s="120" t="s">
        <v>293</v>
      </c>
      <c r="J368" s="84">
        <v>8000</v>
      </c>
      <c r="K368" s="73">
        <v>14400</v>
      </c>
      <c r="L368" s="72">
        <v>11200</v>
      </c>
      <c r="M368" s="73">
        <v>20160</v>
      </c>
      <c r="N368" s="72">
        <v>12000</v>
      </c>
      <c r="O368" s="73">
        <v>21600</v>
      </c>
      <c r="P368" s="72">
        <v>12000</v>
      </c>
      <c r="Q368" s="73">
        <v>21600</v>
      </c>
      <c r="R368" s="72">
        <v>5600</v>
      </c>
      <c r="S368" s="73">
        <v>10080</v>
      </c>
      <c r="T368" s="72">
        <v>16000</v>
      </c>
      <c r="U368" s="73">
        <v>28800</v>
      </c>
      <c r="V368" s="72">
        <v>14400</v>
      </c>
      <c r="W368" s="73">
        <v>25920</v>
      </c>
      <c r="X368" s="72">
        <v>13600</v>
      </c>
      <c r="Y368" s="73">
        <v>24480</v>
      </c>
      <c r="Z368" s="72">
        <v>6400</v>
      </c>
      <c r="AA368" s="73">
        <v>11520</v>
      </c>
      <c r="AB368" s="72">
        <v>8800</v>
      </c>
      <c r="AC368" s="73">
        <v>15840</v>
      </c>
      <c r="AD368" s="72">
        <v>0</v>
      </c>
      <c r="AE368" s="73">
        <v>0</v>
      </c>
      <c r="AF368" s="72">
        <v>0</v>
      </c>
      <c r="AG368" s="88">
        <v>0</v>
      </c>
      <c r="AH368"/>
    </row>
    <row r="369" spans="1:34">
      <c r="B369" s="114">
        <v>350</v>
      </c>
      <c r="C369" s="117">
        <v>51</v>
      </c>
      <c r="D369" s="117"/>
      <c r="E369" s="117" t="s">
        <v>691</v>
      </c>
      <c r="F369" s="117" t="s">
        <v>692</v>
      </c>
      <c r="G369" s="117" t="s">
        <v>698</v>
      </c>
      <c r="H369" s="117" t="s">
        <v>699</v>
      </c>
      <c r="I369" s="120" t="s">
        <v>55</v>
      </c>
      <c r="J369" s="84">
        <v>16000</v>
      </c>
      <c r="K369" s="73">
        <v>32320</v>
      </c>
      <c r="L369" s="72">
        <v>20800</v>
      </c>
      <c r="M369" s="73">
        <v>42016</v>
      </c>
      <c r="N369" s="72">
        <v>15200</v>
      </c>
      <c r="O369" s="73">
        <v>30704</v>
      </c>
      <c r="P369" s="72">
        <v>16800</v>
      </c>
      <c r="Q369" s="73">
        <v>33936</v>
      </c>
      <c r="R369" s="72">
        <v>20800</v>
      </c>
      <c r="S369" s="73">
        <v>42016</v>
      </c>
      <c r="T369" s="72">
        <v>20000</v>
      </c>
      <c r="U369" s="73">
        <v>40400</v>
      </c>
      <c r="V369" s="72">
        <v>16000</v>
      </c>
      <c r="W369" s="73">
        <v>32320</v>
      </c>
      <c r="X369" s="72">
        <v>16800</v>
      </c>
      <c r="Y369" s="73">
        <v>33936</v>
      </c>
      <c r="Z369" s="72">
        <v>12800</v>
      </c>
      <c r="AA369" s="73">
        <v>25856</v>
      </c>
      <c r="AB369" s="72">
        <v>9600</v>
      </c>
      <c r="AC369" s="73">
        <v>19392</v>
      </c>
      <c r="AD369" s="72">
        <v>0</v>
      </c>
      <c r="AE369" s="73">
        <v>0</v>
      </c>
      <c r="AF369" s="72">
        <v>0</v>
      </c>
      <c r="AG369" s="88">
        <v>0</v>
      </c>
      <c r="AH369"/>
    </row>
    <row r="370" spans="1:34">
      <c r="B370" s="114">
        <v>351</v>
      </c>
      <c r="C370" s="117">
        <v>51</v>
      </c>
      <c r="D370" s="117"/>
      <c r="E370" s="117" t="s">
        <v>691</v>
      </c>
      <c r="F370" s="117" t="s">
        <v>692</v>
      </c>
      <c r="G370" s="117" t="s">
        <v>708</v>
      </c>
      <c r="H370" s="117" t="s">
        <v>699</v>
      </c>
      <c r="I370" s="121" t="s">
        <v>209</v>
      </c>
      <c r="J370" s="84">
        <v>2400</v>
      </c>
      <c r="K370" s="73">
        <v>3888</v>
      </c>
      <c r="L370" s="72">
        <v>5600</v>
      </c>
      <c r="M370" s="73">
        <v>9072</v>
      </c>
      <c r="N370" s="72">
        <v>6400</v>
      </c>
      <c r="O370" s="73">
        <v>10368</v>
      </c>
      <c r="P370" s="72">
        <v>5600</v>
      </c>
      <c r="Q370" s="73">
        <v>9072</v>
      </c>
      <c r="R370" s="72">
        <v>4000</v>
      </c>
      <c r="S370" s="73">
        <v>6480</v>
      </c>
      <c r="T370" s="72">
        <v>6400</v>
      </c>
      <c r="U370" s="73">
        <v>10368</v>
      </c>
      <c r="V370" s="72">
        <v>7200</v>
      </c>
      <c r="W370" s="73">
        <v>11664</v>
      </c>
      <c r="X370" s="72">
        <v>6400</v>
      </c>
      <c r="Y370" s="73">
        <v>10368</v>
      </c>
      <c r="Z370" s="72">
        <v>4000</v>
      </c>
      <c r="AA370" s="73">
        <v>6480</v>
      </c>
      <c r="AB370" s="72">
        <v>2400</v>
      </c>
      <c r="AC370" s="73">
        <v>3888</v>
      </c>
      <c r="AD370" s="72">
        <v>0</v>
      </c>
      <c r="AE370" s="73">
        <v>0</v>
      </c>
      <c r="AF370" s="72">
        <v>0</v>
      </c>
      <c r="AG370" s="88">
        <v>0</v>
      </c>
      <c r="AH370"/>
    </row>
    <row r="371" spans="1:34">
      <c r="B371" s="114">
        <v>352</v>
      </c>
      <c r="C371" s="117">
        <v>51</v>
      </c>
      <c r="D371" s="117"/>
      <c r="E371" s="117" t="s">
        <v>691</v>
      </c>
      <c r="F371" s="117" t="s">
        <v>692</v>
      </c>
      <c r="G371" s="117" t="s">
        <v>700</v>
      </c>
      <c r="H371" s="117" t="s">
        <v>577</v>
      </c>
      <c r="I371" s="120" t="s">
        <v>285</v>
      </c>
      <c r="J371" s="84">
        <v>12300</v>
      </c>
      <c r="K371" s="73">
        <v>45387</v>
      </c>
      <c r="L371" s="72">
        <v>17100</v>
      </c>
      <c r="M371" s="73">
        <v>63099</v>
      </c>
      <c r="N371" s="72">
        <v>13200</v>
      </c>
      <c r="O371" s="73">
        <v>48708</v>
      </c>
      <c r="P371" s="72">
        <v>16500</v>
      </c>
      <c r="Q371" s="73">
        <v>60885</v>
      </c>
      <c r="R371" s="72">
        <v>11700</v>
      </c>
      <c r="S371" s="73">
        <v>43173</v>
      </c>
      <c r="T371" s="72">
        <v>16800</v>
      </c>
      <c r="U371" s="73">
        <v>61992</v>
      </c>
      <c r="V371" s="72">
        <v>15000</v>
      </c>
      <c r="W371" s="73">
        <v>55350</v>
      </c>
      <c r="X371" s="72">
        <v>16200</v>
      </c>
      <c r="Y371" s="73">
        <v>59778</v>
      </c>
      <c r="Z371" s="72">
        <v>8400</v>
      </c>
      <c r="AA371" s="73">
        <v>30996</v>
      </c>
      <c r="AB371" s="72">
        <v>6900</v>
      </c>
      <c r="AC371" s="73">
        <v>25461</v>
      </c>
      <c r="AD371" s="72">
        <v>0</v>
      </c>
      <c r="AE371" s="73">
        <v>0</v>
      </c>
      <c r="AF371" s="72">
        <v>0</v>
      </c>
      <c r="AG371" s="88">
        <v>0</v>
      </c>
      <c r="AH371"/>
    </row>
    <row r="372" spans="1:34">
      <c r="B372" s="114">
        <v>353</v>
      </c>
      <c r="C372" s="117">
        <v>51</v>
      </c>
      <c r="D372" s="117"/>
      <c r="E372" s="117" t="s">
        <v>691</v>
      </c>
      <c r="F372" s="117" t="s">
        <v>692</v>
      </c>
      <c r="G372" s="117" t="s">
        <v>693</v>
      </c>
      <c r="H372" s="117" t="s">
        <v>694</v>
      </c>
      <c r="I372" s="120" t="s">
        <v>695</v>
      </c>
      <c r="J372" s="84">
        <v>168</v>
      </c>
      <c r="K372" s="73">
        <v>16521.12</v>
      </c>
      <c r="L372" s="72">
        <v>0</v>
      </c>
      <c r="M372" s="73">
        <v>0</v>
      </c>
      <c r="N372" s="72">
        <v>72</v>
      </c>
      <c r="O372" s="73">
        <v>7080.48</v>
      </c>
      <c r="P372" s="72">
        <v>48</v>
      </c>
      <c r="Q372" s="73">
        <v>4720.32</v>
      </c>
      <c r="R372" s="72">
        <v>0</v>
      </c>
      <c r="S372" s="73">
        <v>0</v>
      </c>
      <c r="T372" s="72">
        <v>0</v>
      </c>
      <c r="U372" s="73">
        <v>0</v>
      </c>
      <c r="V372" s="72">
        <v>120</v>
      </c>
      <c r="W372" s="73">
        <v>5682</v>
      </c>
      <c r="X372" s="72">
        <v>0</v>
      </c>
      <c r="Y372" s="73">
        <v>0</v>
      </c>
      <c r="Z372" s="72">
        <v>0</v>
      </c>
      <c r="AA372" s="73">
        <v>0</v>
      </c>
      <c r="AB372" s="72">
        <v>0</v>
      </c>
      <c r="AC372" s="73">
        <v>0</v>
      </c>
      <c r="AD372" s="72">
        <v>0</v>
      </c>
      <c r="AE372" s="73">
        <v>0</v>
      </c>
      <c r="AF372" s="72">
        <v>0</v>
      </c>
      <c r="AG372" s="88">
        <v>0</v>
      </c>
      <c r="AH372"/>
    </row>
    <row r="373" spans="1:34">
      <c r="B373" s="114">
        <v>354</v>
      </c>
      <c r="C373" s="117">
        <v>51</v>
      </c>
      <c r="D373" s="117"/>
      <c r="E373" s="117" t="s">
        <v>691</v>
      </c>
      <c r="F373" s="117" t="s">
        <v>692</v>
      </c>
      <c r="G373" s="117" t="s">
        <v>707</v>
      </c>
      <c r="H373" s="117" t="s">
        <v>577</v>
      </c>
      <c r="I373" s="120" t="s">
        <v>491</v>
      </c>
      <c r="J373" s="84">
        <v>800</v>
      </c>
      <c r="K373" s="73">
        <v>1896</v>
      </c>
      <c r="L373" s="72">
        <v>7200</v>
      </c>
      <c r="M373" s="73">
        <v>17064</v>
      </c>
      <c r="N373" s="72">
        <v>5600</v>
      </c>
      <c r="O373" s="73">
        <v>13272</v>
      </c>
      <c r="P373" s="72">
        <v>6400</v>
      </c>
      <c r="Q373" s="73">
        <v>15168</v>
      </c>
      <c r="R373" s="72">
        <v>4000</v>
      </c>
      <c r="S373" s="73">
        <v>9480</v>
      </c>
      <c r="T373" s="72">
        <v>0</v>
      </c>
      <c r="U373" s="73">
        <v>0</v>
      </c>
      <c r="V373" s="72">
        <v>7200</v>
      </c>
      <c r="W373" s="73">
        <v>17064</v>
      </c>
      <c r="X373" s="72">
        <v>1600</v>
      </c>
      <c r="Y373" s="73">
        <v>3792</v>
      </c>
      <c r="Z373" s="72">
        <v>0</v>
      </c>
      <c r="AA373" s="73">
        <v>0</v>
      </c>
      <c r="AB373" s="72">
        <v>2400</v>
      </c>
      <c r="AC373" s="73">
        <v>5688</v>
      </c>
      <c r="AD373" s="72">
        <v>0</v>
      </c>
      <c r="AE373" s="73">
        <v>0</v>
      </c>
      <c r="AF373" s="72">
        <v>0</v>
      </c>
      <c r="AG373" s="88">
        <v>0</v>
      </c>
      <c r="AH373"/>
    </row>
    <row r="374" spans="1:34">
      <c r="B374" s="114">
        <v>355</v>
      </c>
      <c r="C374" s="117">
        <v>51</v>
      </c>
      <c r="D374" s="117"/>
      <c r="E374" s="117" t="s">
        <v>691</v>
      </c>
      <c r="F374" s="117" t="s">
        <v>692</v>
      </c>
      <c r="G374" s="117" t="s">
        <v>704</v>
      </c>
      <c r="H374" s="117" t="s">
        <v>577</v>
      </c>
      <c r="I374" s="120" t="s">
        <v>293</v>
      </c>
      <c r="J374" s="84">
        <v>6400</v>
      </c>
      <c r="K374" s="73">
        <v>7616</v>
      </c>
      <c r="L374" s="72">
        <v>0</v>
      </c>
      <c r="M374" s="73">
        <v>0</v>
      </c>
      <c r="N374" s="72">
        <v>9600</v>
      </c>
      <c r="O374" s="73">
        <v>11424</v>
      </c>
      <c r="P374" s="72">
        <v>16800</v>
      </c>
      <c r="Q374" s="73">
        <v>19992</v>
      </c>
      <c r="R374" s="72">
        <v>12000</v>
      </c>
      <c r="S374" s="73">
        <v>14280</v>
      </c>
      <c r="T374" s="72">
        <v>9600</v>
      </c>
      <c r="U374" s="73">
        <v>11424</v>
      </c>
      <c r="V374" s="72">
        <v>11200</v>
      </c>
      <c r="W374" s="73">
        <v>13328</v>
      </c>
      <c r="X374" s="72">
        <v>10400</v>
      </c>
      <c r="Y374" s="73">
        <v>12376</v>
      </c>
      <c r="Z374" s="72">
        <v>4000</v>
      </c>
      <c r="AA374" s="73">
        <v>4760</v>
      </c>
      <c r="AB374" s="72">
        <v>5600</v>
      </c>
      <c r="AC374" s="73">
        <v>6664</v>
      </c>
      <c r="AD374" s="72">
        <v>0</v>
      </c>
      <c r="AE374" s="73">
        <v>0</v>
      </c>
      <c r="AF374" s="72">
        <v>0</v>
      </c>
      <c r="AG374" s="88">
        <v>0</v>
      </c>
      <c r="AH374"/>
    </row>
    <row r="375" spans="1:34">
      <c r="B375" s="114">
        <v>356</v>
      </c>
      <c r="C375" s="117">
        <v>51</v>
      </c>
      <c r="D375" s="117"/>
      <c r="E375" s="117" t="s">
        <v>691</v>
      </c>
      <c r="F375" s="117" t="s">
        <v>692</v>
      </c>
      <c r="G375" s="117" t="s">
        <v>705</v>
      </c>
      <c r="H375" s="117" t="s">
        <v>706</v>
      </c>
      <c r="I375" s="120" t="s">
        <v>240</v>
      </c>
      <c r="J375" s="84">
        <v>28800</v>
      </c>
      <c r="K375" s="73">
        <v>23616</v>
      </c>
      <c r="L375" s="72">
        <v>33300</v>
      </c>
      <c r="M375" s="73">
        <v>27306</v>
      </c>
      <c r="N375" s="72">
        <v>32400</v>
      </c>
      <c r="O375" s="73">
        <v>26568</v>
      </c>
      <c r="P375" s="72">
        <v>31500</v>
      </c>
      <c r="Q375" s="73">
        <v>25830</v>
      </c>
      <c r="R375" s="72">
        <v>13500</v>
      </c>
      <c r="S375" s="73">
        <v>11070</v>
      </c>
      <c r="T375" s="72">
        <v>53100</v>
      </c>
      <c r="U375" s="73">
        <v>43542</v>
      </c>
      <c r="V375" s="72">
        <v>32400</v>
      </c>
      <c r="W375" s="73">
        <v>26568</v>
      </c>
      <c r="X375" s="72">
        <v>30600</v>
      </c>
      <c r="Y375" s="73">
        <v>25092</v>
      </c>
      <c r="Z375" s="72">
        <v>30600</v>
      </c>
      <c r="AA375" s="73">
        <v>25092</v>
      </c>
      <c r="AB375" s="72">
        <v>15300</v>
      </c>
      <c r="AC375" s="73">
        <v>12546</v>
      </c>
      <c r="AD375" s="72">
        <v>0</v>
      </c>
      <c r="AE375" s="73">
        <v>0</v>
      </c>
      <c r="AF375" s="72">
        <v>0</v>
      </c>
      <c r="AG375" s="88">
        <v>0</v>
      </c>
      <c r="AH375"/>
    </row>
    <row r="376" spans="1:34">
      <c r="B376" s="114">
        <v>357</v>
      </c>
      <c r="C376" s="117">
        <v>51</v>
      </c>
      <c r="D376" s="117"/>
      <c r="E376" s="117" t="s">
        <v>691</v>
      </c>
      <c r="F376" s="117" t="s">
        <v>692</v>
      </c>
      <c r="G376" s="117" t="s">
        <v>702</v>
      </c>
      <c r="H376" s="117" t="s">
        <v>577</v>
      </c>
      <c r="I376" s="120" t="s">
        <v>703</v>
      </c>
      <c r="J376" s="84">
        <v>800</v>
      </c>
      <c r="K376" s="73">
        <v>1472</v>
      </c>
      <c r="L376" s="72">
        <v>1600</v>
      </c>
      <c r="M376" s="73">
        <v>2944</v>
      </c>
      <c r="N376" s="72">
        <v>4000</v>
      </c>
      <c r="O376" s="73">
        <v>7360</v>
      </c>
      <c r="P376" s="72">
        <v>6400</v>
      </c>
      <c r="Q376" s="73">
        <v>11776</v>
      </c>
      <c r="R376" s="72">
        <v>4000</v>
      </c>
      <c r="S376" s="73">
        <v>7360</v>
      </c>
      <c r="T376" s="72">
        <v>8800</v>
      </c>
      <c r="U376" s="73">
        <v>16192</v>
      </c>
      <c r="V376" s="72">
        <v>7200</v>
      </c>
      <c r="W376" s="73">
        <v>13248</v>
      </c>
      <c r="X376" s="72">
        <v>7200</v>
      </c>
      <c r="Y376" s="73">
        <v>13248</v>
      </c>
      <c r="Z376" s="72">
        <v>4000</v>
      </c>
      <c r="AA376" s="73">
        <v>7360</v>
      </c>
      <c r="AB376" s="72">
        <v>4000</v>
      </c>
      <c r="AC376" s="73">
        <v>7360</v>
      </c>
      <c r="AD376" s="72">
        <v>0</v>
      </c>
      <c r="AE376" s="73">
        <v>0</v>
      </c>
      <c r="AF376" s="72">
        <v>0</v>
      </c>
      <c r="AG376" s="88">
        <v>0</v>
      </c>
      <c r="AH376"/>
    </row>
    <row r="377" spans="1:34">
      <c r="B377" s="114">
        <v>358</v>
      </c>
      <c r="C377" s="117">
        <v>51</v>
      </c>
      <c r="D377" s="117"/>
      <c r="E377" s="117" t="s">
        <v>691</v>
      </c>
      <c r="F377" s="117" t="s">
        <v>692</v>
      </c>
      <c r="G377" s="117" t="s">
        <v>696</v>
      </c>
      <c r="H377" s="117" t="s">
        <v>694</v>
      </c>
      <c r="I377" s="120" t="s">
        <v>697</v>
      </c>
      <c r="J377" s="84">
        <v>0</v>
      </c>
      <c r="K377" s="73">
        <v>0</v>
      </c>
      <c r="L377" s="72">
        <v>0</v>
      </c>
      <c r="M377" s="73">
        <v>0</v>
      </c>
      <c r="N377" s="72">
        <v>0</v>
      </c>
      <c r="O377" s="73">
        <v>0</v>
      </c>
      <c r="P377" s="72">
        <v>0</v>
      </c>
      <c r="Q377" s="73">
        <v>0</v>
      </c>
      <c r="R377" s="72">
        <v>0</v>
      </c>
      <c r="S377" s="73">
        <v>0</v>
      </c>
      <c r="T377" s="72">
        <v>0</v>
      </c>
      <c r="U377" s="73">
        <v>0</v>
      </c>
      <c r="V377" s="72">
        <v>72</v>
      </c>
      <c r="W377" s="73">
        <v>7423.2</v>
      </c>
      <c r="X377" s="72">
        <v>0</v>
      </c>
      <c r="Y377" s="73">
        <v>0</v>
      </c>
      <c r="Z377" s="72">
        <v>0</v>
      </c>
      <c r="AA377" s="73">
        <v>0</v>
      </c>
      <c r="AB377" s="72">
        <v>0</v>
      </c>
      <c r="AC377" s="73">
        <v>0</v>
      </c>
      <c r="AD377" s="72">
        <v>0</v>
      </c>
      <c r="AE377" s="73">
        <v>0</v>
      </c>
      <c r="AF377" s="72">
        <v>0</v>
      </c>
      <c r="AG377" s="88">
        <v>0</v>
      </c>
      <c r="AH377"/>
    </row>
    <row r="378" spans="1:34">
      <c r="B378" s="114">
        <v>359</v>
      </c>
      <c r="C378" s="117">
        <v>51</v>
      </c>
      <c r="D378" s="117"/>
      <c r="E378" s="117" t="s">
        <v>711</v>
      </c>
      <c r="F378" s="117" t="s">
        <v>712</v>
      </c>
      <c r="G378" s="117" t="s">
        <v>719</v>
      </c>
      <c r="H378" s="117" t="s">
        <v>426</v>
      </c>
      <c r="I378" s="120" t="s">
        <v>164</v>
      </c>
      <c r="J378" s="84">
        <v>15300</v>
      </c>
      <c r="K378" s="73">
        <v>644283</v>
      </c>
      <c r="L378" s="72">
        <v>21780</v>
      </c>
      <c r="M378" s="73">
        <v>917155.8</v>
      </c>
      <c r="N378" s="72">
        <v>21600</v>
      </c>
      <c r="O378" s="73">
        <v>909576</v>
      </c>
      <c r="P378" s="72">
        <v>16500</v>
      </c>
      <c r="Q378" s="73">
        <v>694815</v>
      </c>
      <c r="R378" s="72">
        <v>14400</v>
      </c>
      <c r="S378" s="73">
        <v>606384</v>
      </c>
      <c r="T378" s="72">
        <v>18600</v>
      </c>
      <c r="U378" s="73">
        <v>783246</v>
      </c>
      <c r="V378" s="72">
        <v>18600</v>
      </c>
      <c r="W378" s="73">
        <v>783246</v>
      </c>
      <c r="X378" s="72">
        <v>18600</v>
      </c>
      <c r="Y378" s="73">
        <v>783246</v>
      </c>
      <c r="Z378" s="72">
        <v>13800</v>
      </c>
      <c r="AA378" s="73">
        <v>581118</v>
      </c>
      <c r="AB378" s="72">
        <v>10464</v>
      </c>
      <c r="AC378" s="73">
        <v>440639.04</v>
      </c>
      <c r="AD378" s="72">
        <v>0</v>
      </c>
      <c r="AE378" s="73">
        <v>0</v>
      </c>
      <c r="AF378" s="72">
        <v>0</v>
      </c>
      <c r="AG378" s="88">
        <v>0</v>
      </c>
      <c r="AH378"/>
    </row>
    <row r="379" spans="1:34">
      <c r="B379" s="114">
        <v>360</v>
      </c>
      <c r="C379" s="117">
        <v>51</v>
      </c>
      <c r="D379" s="117"/>
      <c r="E379" s="117" t="s">
        <v>711</v>
      </c>
      <c r="F379" s="117" t="s">
        <v>712</v>
      </c>
      <c r="G379" s="117" t="s">
        <v>717</v>
      </c>
      <c r="H379" s="117" t="s">
        <v>718</v>
      </c>
      <c r="I379" s="120" t="s">
        <v>301</v>
      </c>
      <c r="J379" s="84">
        <v>4280</v>
      </c>
      <c r="K379" s="73">
        <v>178904</v>
      </c>
      <c r="L379" s="72">
        <v>9600</v>
      </c>
      <c r="M379" s="73">
        <v>401280</v>
      </c>
      <c r="N379" s="72">
        <v>9760</v>
      </c>
      <c r="O379" s="73">
        <v>407968</v>
      </c>
      <c r="P379" s="72">
        <v>6000</v>
      </c>
      <c r="Q379" s="73">
        <v>250800</v>
      </c>
      <c r="R379" s="72">
        <v>10560</v>
      </c>
      <c r="S379" s="73">
        <v>441408</v>
      </c>
      <c r="T379" s="72">
        <v>8000</v>
      </c>
      <c r="U379" s="73">
        <v>334400</v>
      </c>
      <c r="V379" s="72">
        <v>8800</v>
      </c>
      <c r="W379" s="73">
        <v>367840</v>
      </c>
      <c r="X379" s="72">
        <v>6400</v>
      </c>
      <c r="Y379" s="73">
        <v>267520</v>
      </c>
      <c r="Z379" s="72">
        <v>7800</v>
      </c>
      <c r="AA379" s="73">
        <v>326040</v>
      </c>
      <c r="AB379" s="72">
        <v>6440</v>
      </c>
      <c r="AC379" s="73">
        <v>269192</v>
      </c>
      <c r="AD379" s="72">
        <v>0</v>
      </c>
      <c r="AE379" s="73">
        <v>0</v>
      </c>
      <c r="AF379" s="72">
        <v>0</v>
      </c>
      <c r="AG379" s="88">
        <v>0</v>
      </c>
      <c r="AH379"/>
    </row>
    <row r="380" spans="1:34">
      <c r="B380" s="114">
        <v>361</v>
      </c>
      <c r="C380" s="117">
        <v>51</v>
      </c>
      <c r="D380" s="117"/>
      <c r="E380" s="117" t="s">
        <v>711</v>
      </c>
      <c r="F380" s="117" t="s">
        <v>712</v>
      </c>
      <c r="G380" s="117" t="s">
        <v>646</v>
      </c>
      <c r="H380" s="117" t="s">
        <v>647</v>
      </c>
      <c r="I380" s="120" t="s">
        <v>88</v>
      </c>
      <c r="J380" s="84">
        <v>2100</v>
      </c>
      <c r="K380" s="73">
        <v>105756</v>
      </c>
      <c r="L380" s="72">
        <v>8785</v>
      </c>
      <c r="M380" s="73">
        <v>442412.6</v>
      </c>
      <c r="N380" s="72">
        <v>4900</v>
      </c>
      <c r="O380" s="73">
        <v>246764</v>
      </c>
      <c r="P380" s="72">
        <v>4830</v>
      </c>
      <c r="Q380" s="73">
        <v>243238.8</v>
      </c>
      <c r="R380" s="72">
        <v>5600</v>
      </c>
      <c r="S380" s="73">
        <v>282016</v>
      </c>
      <c r="T380" s="72">
        <v>5040</v>
      </c>
      <c r="U380" s="73">
        <v>253814.4</v>
      </c>
      <c r="V380" s="72">
        <v>7245</v>
      </c>
      <c r="W380" s="73">
        <v>364858.2</v>
      </c>
      <c r="X380" s="72">
        <v>5600</v>
      </c>
      <c r="Y380" s="73">
        <v>282016</v>
      </c>
      <c r="Z380" s="72">
        <v>4900</v>
      </c>
      <c r="AA380" s="73">
        <v>246764</v>
      </c>
      <c r="AB380" s="72">
        <v>0</v>
      </c>
      <c r="AC380" s="73">
        <v>0</v>
      </c>
      <c r="AD380" s="72">
        <v>0</v>
      </c>
      <c r="AE380" s="73">
        <v>0</v>
      </c>
      <c r="AF380" s="72">
        <v>0</v>
      </c>
      <c r="AG380" s="88">
        <v>0</v>
      </c>
      <c r="AH380"/>
    </row>
    <row r="381" spans="1:34">
      <c r="B381" s="114">
        <v>362</v>
      </c>
      <c r="C381" s="117">
        <v>51</v>
      </c>
      <c r="D381" s="117"/>
      <c r="E381" s="117" t="s">
        <v>711</v>
      </c>
      <c r="F381" s="117" t="s">
        <v>712</v>
      </c>
      <c r="G381" s="117" t="s">
        <v>715</v>
      </c>
      <c r="H381" s="117" t="s">
        <v>426</v>
      </c>
      <c r="I381" s="120" t="s">
        <v>716</v>
      </c>
      <c r="J381" s="84">
        <v>1280</v>
      </c>
      <c r="K381" s="73">
        <v>95923.2</v>
      </c>
      <c r="L381" s="72">
        <v>1600</v>
      </c>
      <c r="M381" s="73">
        <v>119904</v>
      </c>
      <c r="N381" s="72">
        <v>2397</v>
      </c>
      <c r="O381" s="73">
        <v>179631.18</v>
      </c>
      <c r="P381" s="72">
        <v>800</v>
      </c>
      <c r="Q381" s="73">
        <v>59952</v>
      </c>
      <c r="R381" s="72">
        <v>1602</v>
      </c>
      <c r="S381" s="73">
        <v>120053.88</v>
      </c>
      <c r="T381" s="72">
        <v>800</v>
      </c>
      <c r="U381" s="73">
        <v>59952</v>
      </c>
      <c r="V381" s="72">
        <v>1700</v>
      </c>
      <c r="W381" s="73">
        <v>127398</v>
      </c>
      <c r="X381" s="72">
        <v>800</v>
      </c>
      <c r="Y381" s="73">
        <v>59952</v>
      </c>
      <c r="Z381" s="72">
        <v>800</v>
      </c>
      <c r="AA381" s="73">
        <v>59952</v>
      </c>
      <c r="AB381" s="72">
        <v>1600</v>
      </c>
      <c r="AC381" s="73">
        <v>119904</v>
      </c>
      <c r="AD381" s="72">
        <v>0</v>
      </c>
      <c r="AE381" s="73">
        <v>0</v>
      </c>
      <c r="AF381" s="72">
        <v>0</v>
      </c>
      <c r="AG381" s="88">
        <v>0</v>
      </c>
      <c r="AH381"/>
    </row>
    <row r="382" spans="1:34">
      <c r="B382" s="114">
        <v>363</v>
      </c>
      <c r="C382" s="117">
        <v>51</v>
      </c>
      <c r="D382" s="117"/>
      <c r="E382" s="117" t="s">
        <v>711</v>
      </c>
      <c r="F382" s="117" t="s">
        <v>712</v>
      </c>
      <c r="G382" s="117" t="s">
        <v>713</v>
      </c>
      <c r="H382" s="117" t="s">
        <v>426</v>
      </c>
      <c r="I382" s="120" t="s">
        <v>714</v>
      </c>
      <c r="J382" s="84">
        <v>0</v>
      </c>
      <c r="K382" s="73">
        <v>0</v>
      </c>
      <c r="L382" s="72">
        <v>0</v>
      </c>
      <c r="M382" s="73">
        <v>0</v>
      </c>
      <c r="N382" s="72">
        <v>0</v>
      </c>
      <c r="O382" s="73">
        <v>0</v>
      </c>
      <c r="P382" s="72">
        <v>0</v>
      </c>
      <c r="Q382" s="73">
        <v>0</v>
      </c>
      <c r="R382" s="72">
        <v>0</v>
      </c>
      <c r="S382" s="73">
        <v>0</v>
      </c>
      <c r="T382" s="72">
        <v>0</v>
      </c>
      <c r="U382" s="73">
        <v>0</v>
      </c>
      <c r="V382" s="72">
        <v>864</v>
      </c>
      <c r="W382" s="73">
        <v>72325.44</v>
      </c>
      <c r="X382" s="72">
        <v>0</v>
      </c>
      <c r="Y382" s="73">
        <v>0</v>
      </c>
      <c r="Z382" s="72">
        <v>0</v>
      </c>
      <c r="AA382" s="73">
        <v>0</v>
      </c>
      <c r="AB382" s="72">
        <v>864</v>
      </c>
      <c r="AC382" s="73">
        <v>72325.44</v>
      </c>
      <c r="AD382" s="72">
        <v>0</v>
      </c>
      <c r="AE382" s="73">
        <v>0</v>
      </c>
      <c r="AF382" s="72">
        <v>0</v>
      </c>
      <c r="AG382" s="88">
        <v>0</v>
      </c>
      <c r="AH382"/>
    </row>
    <row r="383" spans="1:34">
      <c r="B383" s="114">
        <v>364</v>
      </c>
      <c r="C383" s="117">
        <v>51</v>
      </c>
      <c r="D383" s="117"/>
      <c r="E383" s="117" t="s">
        <v>720</v>
      </c>
      <c r="F383" s="117" t="s">
        <v>721</v>
      </c>
      <c r="G383" s="117" t="s">
        <v>749</v>
      </c>
      <c r="H383" s="117" t="s">
        <v>669</v>
      </c>
      <c r="I383" s="120" t="s">
        <v>680</v>
      </c>
      <c r="J383" s="84">
        <v>1470</v>
      </c>
      <c r="K383" s="73">
        <v>75028.8</v>
      </c>
      <c r="L383" s="72">
        <v>2520</v>
      </c>
      <c r="M383" s="73">
        <v>128620.8</v>
      </c>
      <c r="N383" s="72">
        <v>1890</v>
      </c>
      <c r="O383" s="73">
        <v>96411</v>
      </c>
      <c r="P383" s="72">
        <v>1260</v>
      </c>
      <c r="Q383" s="73">
        <v>64146.6</v>
      </c>
      <c r="R383" s="72">
        <v>1890</v>
      </c>
      <c r="S383" s="73">
        <v>96219.89999999999</v>
      </c>
      <c r="T383" s="72">
        <v>300</v>
      </c>
      <c r="U383" s="73">
        <v>15273</v>
      </c>
      <c r="V383" s="72">
        <v>2100</v>
      </c>
      <c r="W383" s="73">
        <v>105903</v>
      </c>
      <c r="X383" s="72">
        <v>3750</v>
      </c>
      <c r="Y383" s="73">
        <v>189112.5</v>
      </c>
      <c r="Z383" s="72">
        <v>2190</v>
      </c>
      <c r="AA383" s="73">
        <v>110441.7</v>
      </c>
      <c r="AB383" s="72">
        <v>300</v>
      </c>
      <c r="AC383" s="73">
        <v>15129</v>
      </c>
      <c r="AD383" s="72">
        <v>0</v>
      </c>
      <c r="AE383" s="73">
        <v>0</v>
      </c>
      <c r="AF383" s="72">
        <v>0</v>
      </c>
      <c r="AG383" s="88">
        <v>0</v>
      </c>
      <c r="AH383"/>
    </row>
    <row r="384" spans="1:34">
      <c r="B384" s="114">
        <v>365</v>
      </c>
      <c r="C384" s="117">
        <v>51</v>
      </c>
      <c r="D384" s="117"/>
      <c r="E384" s="117" t="s">
        <v>720</v>
      </c>
      <c r="F384" s="117" t="s">
        <v>721</v>
      </c>
      <c r="G384" s="117" t="s">
        <v>750</v>
      </c>
      <c r="H384" s="117" t="s">
        <v>678</v>
      </c>
      <c r="I384" s="120" t="s">
        <v>680</v>
      </c>
      <c r="J384" s="84">
        <v>0</v>
      </c>
      <c r="K384" s="73">
        <v>0</v>
      </c>
      <c r="L384" s="72">
        <v>0</v>
      </c>
      <c r="M384" s="73">
        <v>0</v>
      </c>
      <c r="N384" s="72">
        <v>400</v>
      </c>
      <c r="O384" s="73">
        <v>21532</v>
      </c>
      <c r="P384" s="72">
        <v>400</v>
      </c>
      <c r="Q384" s="73">
        <v>21448</v>
      </c>
      <c r="R384" s="72">
        <v>700</v>
      </c>
      <c r="S384" s="73">
        <v>37534</v>
      </c>
      <c r="T384" s="72">
        <v>0</v>
      </c>
      <c r="U384" s="73">
        <v>0</v>
      </c>
      <c r="V384" s="72">
        <v>600</v>
      </c>
      <c r="W384" s="73">
        <v>31710</v>
      </c>
      <c r="X384" s="72">
        <v>600</v>
      </c>
      <c r="Y384" s="73">
        <v>31710</v>
      </c>
      <c r="Z384" s="72">
        <v>900</v>
      </c>
      <c r="AA384" s="73">
        <v>47565</v>
      </c>
      <c r="AB384" s="72">
        <v>600</v>
      </c>
      <c r="AC384" s="73">
        <v>31710</v>
      </c>
      <c r="AD384" s="72">
        <v>0</v>
      </c>
      <c r="AE384" s="73">
        <v>0</v>
      </c>
      <c r="AF384" s="72">
        <v>0</v>
      </c>
      <c r="AG384" s="88">
        <v>0</v>
      </c>
      <c r="AH384"/>
    </row>
    <row r="385" spans="1:34">
      <c r="B385" s="114">
        <v>366</v>
      </c>
      <c r="C385" s="117">
        <v>51</v>
      </c>
      <c r="D385" s="117"/>
      <c r="E385" s="117" t="s">
        <v>720</v>
      </c>
      <c r="F385" s="117" t="s">
        <v>721</v>
      </c>
      <c r="G385" s="117" t="s">
        <v>742</v>
      </c>
      <c r="H385" s="117" t="s">
        <v>187</v>
      </c>
      <c r="I385" s="120" t="s">
        <v>729</v>
      </c>
      <c r="J385" s="84">
        <v>1400</v>
      </c>
      <c r="K385" s="73">
        <v>62608</v>
      </c>
      <c r="L385" s="72">
        <v>2200</v>
      </c>
      <c r="M385" s="73">
        <v>98384</v>
      </c>
      <c r="N385" s="72">
        <v>1800</v>
      </c>
      <c r="O385" s="73">
        <v>80406</v>
      </c>
      <c r="P385" s="72">
        <v>400</v>
      </c>
      <c r="Q385" s="73">
        <v>17828</v>
      </c>
      <c r="R385" s="72">
        <v>1160</v>
      </c>
      <c r="S385" s="73">
        <v>51701.2</v>
      </c>
      <c r="T385" s="72">
        <v>1280</v>
      </c>
      <c r="U385" s="73">
        <v>56710.4</v>
      </c>
      <c r="V385" s="72">
        <v>1600</v>
      </c>
      <c r="W385" s="73">
        <v>70464</v>
      </c>
      <c r="X385" s="72">
        <v>1880</v>
      </c>
      <c r="Y385" s="73">
        <v>82795.2</v>
      </c>
      <c r="Z385" s="72">
        <v>1160</v>
      </c>
      <c r="AA385" s="73">
        <v>51086.4</v>
      </c>
      <c r="AB385" s="72">
        <v>320</v>
      </c>
      <c r="AC385" s="73">
        <v>14092.8</v>
      </c>
      <c r="AD385" s="72">
        <v>0</v>
      </c>
      <c r="AE385" s="73">
        <v>0</v>
      </c>
      <c r="AF385" s="72">
        <v>0</v>
      </c>
      <c r="AG385" s="88">
        <v>0</v>
      </c>
      <c r="AH385"/>
    </row>
    <row r="386" spans="1:34">
      <c r="B386" s="114">
        <v>367</v>
      </c>
      <c r="C386" s="117">
        <v>51</v>
      </c>
      <c r="D386" s="117"/>
      <c r="E386" s="117" t="s">
        <v>720</v>
      </c>
      <c r="F386" s="117" t="s">
        <v>721</v>
      </c>
      <c r="G386" s="117" t="s">
        <v>735</v>
      </c>
      <c r="H386" s="117" t="s">
        <v>736</v>
      </c>
      <c r="I386" s="120" t="s">
        <v>680</v>
      </c>
      <c r="J386" s="84">
        <v>0</v>
      </c>
      <c r="K386" s="73">
        <v>0</v>
      </c>
      <c r="L386" s="72">
        <v>0</v>
      </c>
      <c r="M386" s="73">
        <v>0</v>
      </c>
      <c r="N386" s="72">
        <v>0</v>
      </c>
      <c r="O386" s="73">
        <v>0</v>
      </c>
      <c r="P386" s="72">
        <v>0</v>
      </c>
      <c r="Q386" s="73">
        <v>0</v>
      </c>
      <c r="R386" s="72">
        <v>0</v>
      </c>
      <c r="S386" s="73">
        <v>0</v>
      </c>
      <c r="T386" s="72">
        <v>0</v>
      </c>
      <c r="U386" s="73">
        <v>0</v>
      </c>
      <c r="V386" s="72">
        <v>0</v>
      </c>
      <c r="W386" s="73">
        <v>0</v>
      </c>
      <c r="X386" s="72">
        <v>0</v>
      </c>
      <c r="Y386" s="73">
        <v>0</v>
      </c>
      <c r="Z386" s="72">
        <v>0</v>
      </c>
      <c r="AA386" s="73">
        <v>0</v>
      </c>
      <c r="AB386" s="72">
        <v>1305</v>
      </c>
      <c r="AC386" s="73">
        <v>618948.45</v>
      </c>
      <c r="AD386" s="72">
        <v>0</v>
      </c>
      <c r="AE386" s="73">
        <v>0</v>
      </c>
      <c r="AF386" s="72">
        <v>0</v>
      </c>
      <c r="AG386" s="88">
        <v>0</v>
      </c>
      <c r="AH386"/>
    </row>
    <row r="387" spans="1:34">
      <c r="B387" s="114">
        <v>368</v>
      </c>
      <c r="C387" s="117">
        <v>51</v>
      </c>
      <c r="D387" s="117"/>
      <c r="E387" s="117" t="s">
        <v>720</v>
      </c>
      <c r="F387" s="117" t="s">
        <v>721</v>
      </c>
      <c r="G387" s="117" t="s">
        <v>723</v>
      </c>
      <c r="H387" s="117" t="s">
        <v>190</v>
      </c>
      <c r="I387" s="120" t="s">
        <v>680</v>
      </c>
      <c r="J387" s="84">
        <v>1600</v>
      </c>
      <c r="K387" s="73">
        <v>114608</v>
      </c>
      <c r="L387" s="72">
        <v>1820</v>
      </c>
      <c r="M387" s="73">
        <v>130366.6</v>
      </c>
      <c r="N387" s="72">
        <v>2000</v>
      </c>
      <c r="O387" s="73">
        <v>143260</v>
      </c>
      <c r="P387" s="72">
        <v>1200</v>
      </c>
      <c r="Q387" s="73">
        <v>85632</v>
      </c>
      <c r="R387" s="72">
        <v>1000</v>
      </c>
      <c r="S387" s="73">
        <v>71360</v>
      </c>
      <c r="T387" s="72">
        <v>900</v>
      </c>
      <c r="U387" s="73">
        <v>63933</v>
      </c>
      <c r="V387" s="72">
        <v>1200</v>
      </c>
      <c r="W387" s="73">
        <v>84468</v>
      </c>
      <c r="X387" s="72">
        <v>3020</v>
      </c>
      <c r="Y387" s="73">
        <v>212577.8</v>
      </c>
      <c r="Z387" s="72">
        <v>1200</v>
      </c>
      <c r="AA387" s="73">
        <v>84468</v>
      </c>
      <c r="AB387" s="72">
        <v>880</v>
      </c>
      <c r="AC387" s="73">
        <v>61943.2</v>
      </c>
      <c r="AD387" s="72">
        <v>0</v>
      </c>
      <c r="AE387" s="73">
        <v>0</v>
      </c>
      <c r="AF387" s="72">
        <v>0</v>
      </c>
      <c r="AG387" s="88">
        <v>0</v>
      </c>
      <c r="AH387"/>
    </row>
    <row r="388" spans="1:34">
      <c r="B388" s="114">
        <v>369</v>
      </c>
      <c r="C388" s="117">
        <v>51</v>
      </c>
      <c r="D388" s="117"/>
      <c r="E388" s="117" t="s">
        <v>720</v>
      </c>
      <c r="F388" s="117" t="s">
        <v>721</v>
      </c>
      <c r="G388" s="117" t="s">
        <v>732</v>
      </c>
      <c r="H388" s="117" t="s">
        <v>733</v>
      </c>
      <c r="I388" s="120" t="s">
        <v>734</v>
      </c>
      <c r="J388" s="84">
        <v>0</v>
      </c>
      <c r="K388" s="73">
        <v>0</v>
      </c>
      <c r="L388" s="72">
        <v>40</v>
      </c>
      <c r="M388" s="73">
        <v>3692</v>
      </c>
      <c r="N388" s="72">
        <v>20</v>
      </c>
      <c r="O388" s="73">
        <v>1846</v>
      </c>
      <c r="P388" s="72">
        <v>0</v>
      </c>
      <c r="Q388" s="73">
        <v>0</v>
      </c>
      <c r="R388" s="72">
        <v>0</v>
      </c>
      <c r="S388" s="73">
        <v>0</v>
      </c>
      <c r="T388" s="72">
        <v>0</v>
      </c>
      <c r="U388" s="73">
        <v>0</v>
      </c>
      <c r="V388" s="72">
        <v>0</v>
      </c>
      <c r="W388" s="73">
        <v>0</v>
      </c>
      <c r="X388" s="72">
        <v>0</v>
      </c>
      <c r="Y388" s="73">
        <v>0</v>
      </c>
      <c r="Z388" s="72">
        <v>0</v>
      </c>
      <c r="AA388" s="73">
        <v>0</v>
      </c>
      <c r="AB388" s="72">
        <v>0</v>
      </c>
      <c r="AC388" s="73">
        <v>0</v>
      </c>
      <c r="AD388" s="72">
        <v>0</v>
      </c>
      <c r="AE388" s="73">
        <v>0</v>
      </c>
      <c r="AF388" s="72">
        <v>0</v>
      </c>
      <c r="AG388" s="88">
        <v>0</v>
      </c>
      <c r="AH388"/>
    </row>
    <row r="389" spans="1:34">
      <c r="B389" s="114">
        <v>370</v>
      </c>
      <c r="C389" s="117">
        <v>51</v>
      </c>
      <c r="D389" s="117"/>
      <c r="E389" s="117" t="s">
        <v>720</v>
      </c>
      <c r="F389" s="117" t="s">
        <v>721</v>
      </c>
      <c r="G389" s="117" t="s">
        <v>722</v>
      </c>
      <c r="H389" s="117" t="s">
        <v>475</v>
      </c>
      <c r="I389" s="120" t="s">
        <v>225</v>
      </c>
      <c r="J389" s="84">
        <v>813</v>
      </c>
      <c r="K389" s="73">
        <v>11845.41</v>
      </c>
      <c r="L389" s="72">
        <v>0</v>
      </c>
      <c r="M389" s="73">
        <v>0</v>
      </c>
      <c r="N389" s="72">
        <v>0</v>
      </c>
      <c r="O389" s="73">
        <v>0</v>
      </c>
      <c r="P389" s="72">
        <v>980</v>
      </c>
      <c r="Q389" s="73">
        <v>14131.6</v>
      </c>
      <c r="R389" s="72">
        <v>0</v>
      </c>
      <c r="S389" s="73">
        <v>0</v>
      </c>
      <c r="T389" s="72">
        <v>0</v>
      </c>
      <c r="U389" s="73">
        <v>0</v>
      </c>
      <c r="V389" s="72">
        <v>0</v>
      </c>
      <c r="W389" s="73">
        <v>0</v>
      </c>
      <c r="X389" s="72">
        <v>0</v>
      </c>
      <c r="Y389" s="73">
        <v>0</v>
      </c>
      <c r="Z389" s="72">
        <v>0</v>
      </c>
      <c r="AA389" s="73">
        <v>0</v>
      </c>
      <c r="AB389" s="72">
        <v>0</v>
      </c>
      <c r="AC389" s="73">
        <v>0</v>
      </c>
      <c r="AD389" s="72">
        <v>0</v>
      </c>
      <c r="AE389" s="73">
        <v>0</v>
      </c>
      <c r="AF389" s="72">
        <v>0</v>
      </c>
      <c r="AG389" s="88">
        <v>0</v>
      </c>
      <c r="AH389"/>
    </row>
    <row r="390" spans="1:34">
      <c r="B390" s="114">
        <v>371</v>
      </c>
      <c r="C390" s="117">
        <v>51</v>
      </c>
      <c r="D390" s="117"/>
      <c r="E390" s="117" t="s">
        <v>720</v>
      </c>
      <c r="F390" s="117" t="s">
        <v>721</v>
      </c>
      <c r="G390" s="117" t="s">
        <v>751</v>
      </c>
      <c r="H390" s="117" t="s">
        <v>752</v>
      </c>
      <c r="I390" s="120" t="s">
        <v>673</v>
      </c>
      <c r="J390" s="84">
        <v>1260</v>
      </c>
      <c r="K390" s="73">
        <v>46027.8</v>
      </c>
      <c r="L390" s="72">
        <v>1860</v>
      </c>
      <c r="M390" s="73">
        <v>67945.8</v>
      </c>
      <c r="N390" s="72">
        <v>1680</v>
      </c>
      <c r="O390" s="73">
        <v>61263.3</v>
      </c>
      <c r="P390" s="72">
        <v>1890</v>
      </c>
      <c r="Q390" s="73">
        <v>68720.39999999999</v>
      </c>
      <c r="R390" s="72">
        <v>510</v>
      </c>
      <c r="S390" s="73">
        <v>18543.6</v>
      </c>
      <c r="T390" s="72">
        <v>1500</v>
      </c>
      <c r="U390" s="73">
        <v>54162</v>
      </c>
      <c r="V390" s="72">
        <v>2100</v>
      </c>
      <c r="W390" s="73">
        <v>75033</v>
      </c>
      <c r="X390" s="72">
        <v>2100</v>
      </c>
      <c r="Y390" s="73">
        <v>75033</v>
      </c>
      <c r="Z390" s="72">
        <v>1320</v>
      </c>
      <c r="AA390" s="73">
        <v>47163.6</v>
      </c>
      <c r="AB390" s="72">
        <v>300</v>
      </c>
      <c r="AC390" s="73">
        <v>10719</v>
      </c>
      <c r="AD390" s="72">
        <v>0</v>
      </c>
      <c r="AE390" s="73">
        <v>0</v>
      </c>
      <c r="AF390" s="72">
        <v>0</v>
      </c>
      <c r="AG390" s="88">
        <v>0</v>
      </c>
      <c r="AH390"/>
    </row>
    <row r="391" spans="1:34">
      <c r="B391" s="114">
        <v>372</v>
      </c>
      <c r="C391" s="117">
        <v>51</v>
      </c>
      <c r="D391" s="117"/>
      <c r="E391" s="117" t="s">
        <v>720</v>
      </c>
      <c r="F391" s="117" t="s">
        <v>721</v>
      </c>
      <c r="G391" s="117" t="s">
        <v>730</v>
      </c>
      <c r="H391" s="117" t="s">
        <v>731</v>
      </c>
      <c r="I391" s="120" t="s">
        <v>680</v>
      </c>
      <c r="J391" s="84">
        <v>0</v>
      </c>
      <c r="K391" s="73">
        <v>0</v>
      </c>
      <c r="L391" s="72">
        <v>0</v>
      </c>
      <c r="M391" s="73">
        <v>0</v>
      </c>
      <c r="N391" s="72">
        <v>0</v>
      </c>
      <c r="O391" s="73">
        <v>0</v>
      </c>
      <c r="P391" s="72">
        <v>0</v>
      </c>
      <c r="Q391" s="73">
        <v>0</v>
      </c>
      <c r="R391" s="72">
        <v>0</v>
      </c>
      <c r="S391" s="73">
        <v>0</v>
      </c>
      <c r="T391" s="72">
        <v>0</v>
      </c>
      <c r="U391" s="73">
        <v>0</v>
      </c>
      <c r="V391" s="72">
        <v>0</v>
      </c>
      <c r="W391" s="73">
        <v>0</v>
      </c>
      <c r="X391" s="72">
        <v>0</v>
      </c>
      <c r="Y391" s="73">
        <v>0</v>
      </c>
      <c r="Z391" s="72">
        <v>0</v>
      </c>
      <c r="AA391" s="73">
        <v>0</v>
      </c>
      <c r="AB391" s="72">
        <v>1560</v>
      </c>
      <c r="AC391" s="73">
        <v>292531.2</v>
      </c>
      <c r="AD391" s="72">
        <v>0</v>
      </c>
      <c r="AE391" s="73">
        <v>0</v>
      </c>
      <c r="AF391" s="72">
        <v>0</v>
      </c>
      <c r="AG391" s="88">
        <v>0</v>
      </c>
      <c r="AH391"/>
    </row>
    <row r="392" spans="1:34">
      <c r="B392" s="114">
        <v>373</v>
      </c>
      <c r="C392" s="117">
        <v>51</v>
      </c>
      <c r="D392" s="117"/>
      <c r="E392" s="117" t="s">
        <v>720</v>
      </c>
      <c r="F392" s="117" t="s">
        <v>721</v>
      </c>
      <c r="G392" s="117" t="s">
        <v>741</v>
      </c>
      <c r="H392" s="117" t="s">
        <v>725</v>
      </c>
      <c r="I392" s="120" t="s">
        <v>673</v>
      </c>
      <c r="J392" s="84">
        <v>1200</v>
      </c>
      <c r="K392" s="73">
        <v>75036</v>
      </c>
      <c r="L392" s="72">
        <v>2000</v>
      </c>
      <c r="M392" s="73">
        <v>125060</v>
      </c>
      <c r="N392" s="72">
        <v>1600</v>
      </c>
      <c r="O392" s="73">
        <v>100048</v>
      </c>
      <c r="P392" s="72">
        <v>400</v>
      </c>
      <c r="Q392" s="73">
        <v>24916</v>
      </c>
      <c r="R392" s="72">
        <v>1700</v>
      </c>
      <c r="S392" s="73">
        <v>105893</v>
      </c>
      <c r="T392" s="72">
        <v>1500</v>
      </c>
      <c r="U392" s="73">
        <v>93171</v>
      </c>
      <c r="V392" s="72">
        <v>1800</v>
      </c>
      <c r="W392" s="73">
        <v>110538</v>
      </c>
      <c r="X392" s="72">
        <v>1700</v>
      </c>
      <c r="Y392" s="73">
        <v>104397</v>
      </c>
      <c r="Z392" s="72">
        <v>1200</v>
      </c>
      <c r="AA392" s="73">
        <v>73692</v>
      </c>
      <c r="AB392" s="72">
        <v>800</v>
      </c>
      <c r="AC392" s="73">
        <v>49128</v>
      </c>
      <c r="AD392" s="72">
        <v>0</v>
      </c>
      <c r="AE392" s="73">
        <v>0</v>
      </c>
      <c r="AF392" s="72">
        <v>0</v>
      </c>
      <c r="AG392" s="88">
        <v>0</v>
      </c>
      <c r="AH392"/>
    </row>
    <row r="393" spans="1:34">
      <c r="B393" s="114">
        <v>374</v>
      </c>
      <c r="C393" s="117">
        <v>51</v>
      </c>
      <c r="D393" s="117"/>
      <c r="E393" s="117" t="s">
        <v>720</v>
      </c>
      <c r="F393" s="117" t="s">
        <v>721</v>
      </c>
      <c r="G393" s="117" t="s">
        <v>746</v>
      </c>
      <c r="H393" s="117" t="s">
        <v>747</v>
      </c>
      <c r="I393" s="120" t="s">
        <v>680</v>
      </c>
      <c r="J393" s="84">
        <v>3600</v>
      </c>
      <c r="K393" s="73">
        <v>265392</v>
      </c>
      <c r="L393" s="72">
        <v>4160</v>
      </c>
      <c r="M393" s="73">
        <v>306675.2</v>
      </c>
      <c r="N393" s="72">
        <v>4500</v>
      </c>
      <c r="O393" s="73">
        <v>331614</v>
      </c>
      <c r="P393" s="72">
        <v>4600</v>
      </c>
      <c r="Q393" s="73">
        <v>338146</v>
      </c>
      <c r="R393" s="72">
        <v>3600</v>
      </c>
      <c r="S393" s="73">
        <v>264636</v>
      </c>
      <c r="T393" s="72">
        <v>3900</v>
      </c>
      <c r="U393" s="73">
        <v>285801</v>
      </c>
      <c r="V393" s="72">
        <v>3600</v>
      </c>
      <c r="W393" s="73">
        <v>261972</v>
      </c>
      <c r="X393" s="72">
        <v>6000</v>
      </c>
      <c r="Y393" s="73">
        <v>436620</v>
      </c>
      <c r="Z393" s="72">
        <v>4200</v>
      </c>
      <c r="AA393" s="73">
        <v>305634</v>
      </c>
      <c r="AB393" s="72">
        <v>1700</v>
      </c>
      <c r="AC393" s="73">
        <v>123709</v>
      </c>
      <c r="AD393" s="72">
        <v>0</v>
      </c>
      <c r="AE393" s="73">
        <v>0</v>
      </c>
      <c r="AF393" s="72">
        <v>0</v>
      </c>
      <c r="AG393" s="88">
        <v>0</v>
      </c>
      <c r="AH393"/>
    </row>
    <row r="394" spans="1:34">
      <c r="B394" s="114">
        <v>375</v>
      </c>
      <c r="C394" s="117">
        <v>51</v>
      </c>
      <c r="D394" s="117"/>
      <c r="E394" s="117" t="s">
        <v>720</v>
      </c>
      <c r="F394" s="117" t="s">
        <v>721</v>
      </c>
      <c r="G394" s="117" t="s">
        <v>739</v>
      </c>
      <c r="H394" s="117" t="s">
        <v>416</v>
      </c>
      <c r="I394" s="120" t="s">
        <v>729</v>
      </c>
      <c r="J394" s="84">
        <v>1000</v>
      </c>
      <c r="K394" s="73">
        <v>53250</v>
      </c>
      <c r="L394" s="72">
        <v>2600</v>
      </c>
      <c r="M394" s="73">
        <v>138450</v>
      </c>
      <c r="N394" s="72">
        <v>1200</v>
      </c>
      <c r="O394" s="73">
        <v>63900</v>
      </c>
      <c r="P394" s="72">
        <v>1200</v>
      </c>
      <c r="Q394" s="73">
        <v>63672</v>
      </c>
      <c r="R394" s="72">
        <v>200</v>
      </c>
      <c r="S394" s="73">
        <v>10612</v>
      </c>
      <c r="T394" s="72">
        <v>900</v>
      </c>
      <c r="U394" s="73">
        <v>47754</v>
      </c>
      <c r="V394" s="72">
        <v>1500</v>
      </c>
      <c r="W394" s="73">
        <v>78585</v>
      </c>
      <c r="X394" s="72">
        <v>1800</v>
      </c>
      <c r="Y394" s="73">
        <v>94302</v>
      </c>
      <c r="Z394" s="72">
        <v>1200</v>
      </c>
      <c r="AA394" s="73">
        <v>62868</v>
      </c>
      <c r="AB394" s="72">
        <v>1150</v>
      </c>
      <c r="AC394" s="73">
        <v>60248.5</v>
      </c>
      <c r="AD394" s="72">
        <v>0</v>
      </c>
      <c r="AE394" s="73">
        <v>0</v>
      </c>
      <c r="AF394" s="72">
        <v>0</v>
      </c>
      <c r="AG394" s="88">
        <v>0</v>
      </c>
      <c r="AH394"/>
    </row>
    <row r="395" spans="1:34">
      <c r="B395" s="114">
        <v>376</v>
      </c>
      <c r="C395" s="117">
        <v>51</v>
      </c>
      <c r="D395" s="117"/>
      <c r="E395" s="117" t="s">
        <v>720</v>
      </c>
      <c r="F395" s="117" t="s">
        <v>721</v>
      </c>
      <c r="G395" s="117" t="s">
        <v>724</v>
      </c>
      <c r="H395" s="117" t="s">
        <v>725</v>
      </c>
      <c r="I395" s="120" t="s">
        <v>680</v>
      </c>
      <c r="J395" s="84">
        <v>600</v>
      </c>
      <c r="K395" s="73">
        <v>25812</v>
      </c>
      <c r="L395" s="72">
        <v>0</v>
      </c>
      <c r="M395" s="73">
        <v>0</v>
      </c>
      <c r="N395" s="72">
        <v>200</v>
      </c>
      <c r="O395" s="73">
        <v>8604</v>
      </c>
      <c r="P395" s="72">
        <v>1520</v>
      </c>
      <c r="Q395" s="73">
        <v>65192.8</v>
      </c>
      <c r="R395" s="72">
        <v>640</v>
      </c>
      <c r="S395" s="73">
        <v>27449.6</v>
      </c>
      <c r="T395" s="72">
        <v>1600</v>
      </c>
      <c r="U395" s="73">
        <v>68624</v>
      </c>
      <c r="V395" s="72">
        <v>960</v>
      </c>
      <c r="W395" s="73">
        <v>40723.2</v>
      </c>
      <c r="X395" s="72">
        <v>960</v>
      </c>
      <c r="Y395" s="73">
        <v>40723.2</v>
      </c>
      <c r="Z395" s="72">
        <v>1400</v>
      </c>
      <c r="AA395" s="73">
        <v>59388</v>
      </c>
      <c r="AB395" s="72">
        <v>320</v>
      </c>
      <c r="AC395" s="73">
        <v>13574.4</v>
      </c>
      <c r="AD395" s="72">
        <v>0</v>
      </c>
      <c r="AE395" s="73">
        <v>0</v>
      </c>
      <c r="AF395" s="72">
        <v>0</v>
      </c>
      <c r="AG395" s="88">
        <v>0</v>
      </c>
      <c r="AH395"/>
    </row>
    <row r="396" spans="1:34">
      <c r="B396" s="114">
        <v>377</v>
      </c>
      <c r="C396" s="117">
        <v>51</v>
      </c>
      <c r="D396" s="117"/>
      <c r="E396" s="117" t="s">
        <v>720</v>
      </c>
      <c r="F396" s="117" t="s">
        <v>721</v>
      </c>
      <c r="G396" s="117" t="s">
        <v>748</v>
      </c>
      <c r="H396" s="117" t="s">
        <v>683</v>
      </c>
      <c r="I396" s="120" t="s">
        <v>673</v>
      </c>
      <c r="J396" s="84">
        <v>2000</v>
      </c>
      <c r="K396" s="73">
        <v>125500</v>
      </c>
      <c r="L396" s="72">
        <v>1800</v>
      </c>
      <c r="M396" s="73">
        <v>112950</v>
      </c>
      <c r="N396" s="72">
        <v>2000</v>
      </c>
      <c r="O396" s="73">
        <v>125416</v>
      </c>
      <c r="P396" s="72">
        <v>800</v>
      </c>
      <c r="Q396" s="73">
        <v>50032</v>
      </c>
      <c r="R396" s="72">
        <v>1600</v>
      </c>
      <c r="S396" s="73">
        <v>100064</v>
      </c>
      <c r="T396" s="72">
        <v>1200</v>
      </c>
      <c r="U396" s="73">
        <v>74826</v>
      </c>
      <c r="V396" s="72">
        <v>1500</v>
      </c>
      <c r="W396" s="73">
        <v>92700</v>
      </c>
      <c r="X396" s="72">
        <v>2500</v>
      </c>
      <c r="Y396" s="73">
        <v>154500</v>
      </c>
      <c r="Z396" s="72">
        <v>1200</v>
      </c>
      <c r="AA396" s="73">
        <v>74160</v>
      </c>
      <c r="AB396" s="72">
        <v>640</v>
      </c>
      <c r="AC396" s="73">
        <v>39552</v>
      </c>
      <c r="AD396" s="72">
        <v>0</v>
      </c>
      <c r="AE396" s="73">
        <v>0</v>
      </c>
      <c r="AF396" s="72">
        <v>0</v>
      </c>
      <c r="AG396" s="88">
        <v>0</v>
      </c>
      <c r="AH396"/>
    </row>
    <row r="397" spans="1:34">
      <c r="B397" s="114">
        <v>378</v>
      </c>
      <c r="C397" s="117">
        <v>51</v>
      </c>
      <c r="D397" s="117"/>
      <c r="E397" s="117" t="s">
        <v>720</v>
      </c>
      <c r="F397" s="117" t="s">
        <v>721</v>
      </c>
      <c r="G397" s="117" t="s">
        <v>744</v>
      </c>
      <c r="H397" s="117" t="s">
        <v>676</v>
      </c>
      <c r="I397" s="120" t="s">
        <v>673</v>
      </c>
      <c r="J397" s="84">
        <v>1050</v>
      </c>
      <c r="K397" s="73">
        <v>40404</v>
      </c>
      <c r="L397" s="72">
        <v>2310</v>
      </c>
      <c r="M397" s="73">
        <v>88888.8</v>
      </c>
      <c r="N397" s="72">
        <v>1470</v>
      </c>
      <c r="O397" s="73">
        <v>56471.1</v>
      </c>
      <c r="P397" s="72">
        <v>630</v>
      </c>
      <c r="Q397" s="73">
        <v>24147.9</v>
      </c>
      <c r="R397" s="72">
        <v>1350</v>
      </c>
      <c r="S397" s="73">
        <v>51745.5</v>
      </c>
      <c r="T397" s="72">
        <v>1500</v>
      </c>
      <c r="U397" s="73">
        <v>57177</v>
      </c>
      <c r="V397" s="72">
        <v>1800</v>
      </c>
      <c r="W397" s="73">
        <v>68040</v>
      </c>
      <c r="X397" s="72">
        <v>2100</v>
      </c>
      <c r="Y397" s="73">
        <v>79380</v>
      </c>
      <c r="Z397" s="72">
        <v>1710</v>
      </c>
      <c r="AA397" s="73">
        <v>64638</v>
      </c>
      <c r="AB397" s="72">
        <v>780</v>
      </c>
      <c r="AC397" s="73">
        <v>29484</v>
      </c>
      <c r="AD397" s="72">
        <v>0</v>
      </c>
      <c r="AE397" s="73">
        <v>0</v>
      </c>
      <c r="AF397" s="72">
        <v>0</v>
      </c>
      <c r="AG397" s="88">
        <v>0</v>
      </c>
      <c r="AH397"/>
    </row>
    <row r="398" spans="1:34">
      <c r="B398" s="114">
        <v>379</v>
      </c>
      <c r="C398" s="117">
        <v>51</v>
      </c>
      <c r="D398" s="117"/>
      <c r="E398" s="117" t="s">
        <v>720</v>
      </c>
      <c r="F398" s="117" t="s">
        <v>721</v>
      </c>
      <c r="G398" s="117" t="s">
        <v>743</v>
      </c>
      <c r="H398" s="117" t="s">
        <v>733</v>
      </c>
      <c r="I398" s="120" t="s">
        <v>670</v>
      </c>
      <c r="J398" s="84">
        <v>1200</v>
      </c>
      <c r="K398" s="73">
        <v>60936</v>
      </c>
      <c r="L398" s="72">
        <v>1300</v>
      </c>
      <c r="M398" s="73">
        <v>66014</v>
      </c>
      <c r="N398" s="72">
        <v>2600</v>
      </c>
      <c r="O398" s="73">
        <v>130786</v>
      </c>
      <c r="P398" s="72">
        <v>1000</v>
      </c>
      <c r="Q398" s="73">
        <v>44570</v>
      </c>
      <c r="R398" s="72">
        <v>1300</v>
      </c>
      <c r="S398" s="73">
        <v>57941</v>
      </c>
      <c r="T398" s="72">
        <v>0</v>
      </c>
      <c r="U398" s="73">
        <v>0</v>
      </c>
      <c r="V398" s="72">
        <v>2400</v>
      </c>
      <c r="W398" s="73">
        <v>119808</v>
      </c>
      <c r="X398" s="72">
        <v>2100</v>
      </c>
      <c r="Y398" s="73">
        <v>104832</v>
      </c>
      <c r="Z398" s="72">
        <v>1500</v>
      </c>
      <c r="AA398" s="73">
        <v>74880</v>
      </c>
      <c r="AB398" s="72">
        <v>100</v>
      </c>
      <c r="AC398" s="73">
        <v>4992</v>
      </c>
      <c r="AD398" s="72">
        <v>0</v>
      </c>
      <c r="AE398" s="73">
        <v>0</v>
      </c>
      <c r="AF398" s="72">
        <v>0</v>
      </c>
      <c r="AG398" s="88">
        <v>0</v>
      </c>
      <c r="AH398"/>
    </row>
    <row r="399" spans="1:34">
      <c r="B399" s="114">
        <v>380</v>
      </c>
      <c r="C399" s="117">
        <v>51</v>
      </c>
      <c r="D399" s="117"/>
      <c r="E399" s="117" t="s">
        <v>720</v>
      </c>
      <c r="F399" s="117" t="s">
        <v>721</v>
      </c>
      <c r="G399" s="117" t="s">
        <v>737</v>
      </c>
      <c r="H399" s="117" t="s">
        <v>738</v>
      </c>
      <c r="I399" s="120" t="s">
        <v>680</v>
      </c>
      <c r="J399" s="84">
        <v>1640</v>
      </c>
      <c r="K399" s="73">
        <v>93430.8</v>
      </c>
      <c r="L399" s="72">
        <v>2000</v>
      </c>
      <c r="M399" s="73">
        <v>113940</v>
      </c>
      <c r="N399" s="72">
        <v>2400</v>
      </c>
      <c r="O399" s="73">
        <v>136590</v>
      </c>
      <c r="P399" s="72">
        <v>1200</v>
      </c>
      <c r="Q399" s="73">
        <v>68088</v>
      </c>
      <c r="R399" s="72">
        <v>1800</v>
      </c>
      <c r="S399" s="73">
        <v>102132</v>
      </c>
      <c r="T399" s="72">
        <v>1200</v>
      </c>
      <c r="U399" s="73">
        <v>67602</v>
      </c>
      <c r="V399" s="72">
        <v>1900</v>
      </c>
      <c r="W399" s="73">
        <v>106267</v>
      </c>
      <c r="X399" s="72">
        <v>2480</v>
      </c>
      <c r="Y399" s="73">
        <v>138706.4</v>
      </c>
      <c r="Z399" s="72">
        <v>2020</v>
      </c>
      <c r="AA399" s="73">
        <v>112978.6</v>
      </c>
      <c r="AB399" s="72">
        <v>400</v>
      </c>
      <c r="AC399" s="73">
        <v>22372</v>
      </c>
      <c r="AD399" s="72">
        <v>0</v>
      </c>
      <c r="AE399" s="73">
        <v>0</v>
      </c>
      <c r="AF399" s="72">
        <v>0</v>
      </c>
      <c r="AG399" s="88">
        <v>0</v>
      </c>
      <c r="AH399"/>
    </row>
    <row r="400" spans="1:34">
      <c r="B400" s="114">
        <v>381</v>
      </c>
      <c r="C400" s="117">
        <v>51</v>
      </c>
      <c r="D400" s="117"/>
      <c r="E400" s="117" t="s">
        <v>720</v>
      </c>
      <c r="F400" s="117" t="s">
        <v>721</v>
      </c>
      <c r="G400" s="117" t="s">
        <v>745</v>
      </c>
      <c r="H400" s="117" t="s">
        <v>190</v>
      </c>
      <c r="I400" s="120" t="s">
        <v>188</v>
      </c>
      <c r="J400" s="84">
        <v>0</v>
      </c>
      <c r="K400" s="73">
        <v>0</v>
      </c>
      <c r="L400" s="72">
        <v>0</v>
      </c>
      <c r="M400" s="73">
        <v>0</v>
      </c>
      <c r="N400" s="72">
        <v>400</v>
      </c>
      <c r="O400" s="73">
        <v>26872</v>
      </c>
      <c r="P400" s="72">
        <v>0</v>
      </c>
      <c r="Q400" s="73">
        <v>0</v>
      </c>
      <c r="R400" s="72">
        <v>0</v>
      </c>
      <c r="S400" s="73">
        <v>0</v>
      </c>
      <c r="T400" s="72">
        <v>300</v>
      </c>
      <c r="U400" s="73">
        <v>20154</v>
      </c>
      <c r="V400" s="72">
        <v>1200</v>
      </c>
      <c r="W400" s="73">
        <v>79500</v>
      </c>
      <c r="X400" s="72">
        <v>480</v>
      </c>
      <c r="Y400" s="73">
        <v>31800</v>
      </c>
      <c r="Z400" s="72">
        <v>0</v>
      </c>
      <c r="AA400" s="73">
        <v>0</v>
      </c>
      <c r="AB400" s="72">
        <v>800</v>
      </c>
      <c r="AC400" s="73">
        <v>53000</v>
      </c>
      <c r="AD400" s="72">
        <v>0</v>
      </c>
      <c r="AE400" s="73">
        <v>0</v>
      </c>
      <c r="AF400" s="72">
        <v>0</v>
      </c>
      <c r="AG400" s="88">
        <v>0</v>
      </c>
      <c r="AH400"/>
    </row>
    <row r="401" spans="1:34">
      <c r="B401" s="114">
        <v>382</v>
      </c>
      <c r="C401" s="117">
        <v>51</v>
      </c>
      <c r="D401" s="117"/>
      <c r="E401" s="117" t="s">
        <v>720</v>
      </c>
      <c r="F401" s="117" t="s">
        <v>721</v>
      </c>
      <c r="G401" s="117" t="s">
        <v>727</v>
      </c>
      <c r="H401" s="117" t="s">
        <v>728</v>
      </c>
      <c r="I401" s="120" t="s">
        <v>729</v>
      </c>
      <c r="J401" s="84">
        <v>1600</v>
      </c>
      <c r="K401" s="73">
        <v>93760</v>
      </c>
      <c r="L401" s="72">
        <v>2000</v>
      </c>
      <c r="M401" s="73">
        <v>117200</v>
      </c>
      <c r="N401" s="72">
        <v>1800</v>
      </c>
      <c r="O401" s="73">
        <v>105360</v>
      </c>
      <c r="P401" s="72">
        <v>1200</v>
      </c>
      <c r="Q401" s="73">
        <v>70080</v>
      </c>
      <c r="R401" s="72">
        <v>600</v>
      </c>
      <c r="S401" s="73">
        <v>35040</v>
      </c>
      <c r="T401" s="72">
        <v>600</v>
      </c>
      <c r="U401" s="73">
        <v>35040</v>
      </c>
      <c r="V401" s="72">
        <v>2100</v>
      </c>
      <c r="W401" s="73">
        <v>121107</v>
      </c>
      <c r="X401" s="72">
        <v>2400</v>
      </c>
      <c r="Y401" s="73">
        <v>138408</v>
      </c>
      <c r="Z401" s="72">
        <v>1100</v>
      </c>
      <c r="AA401" s="73">
        <v>63437</v>
      </c>
      <c r="AB401" s="72">
        <v>1860</v>
      </c>
      <c r="AC401" s="73">
        <v>107266.2</v>
      </c>
      <c r="AD401" s="72">
        <v>0</v>
      </c>
      <c r="AE401" s="73">
        <v>0</v>
      </c>
      <c r="AF401" s="72">
        <v>0</v>
      </c>
      <c r="AG401" s="88">
        <v>0</v>
      </c>
      <c r="AH401"/>
    </row>
    <row r="402" spans="1:34">
      <c r="B402" s="114">
        <v>383</v>
      </c>
      <c r="C402" s="117">
        <v>51</v>
      </c>
      <c r="D402" s="117"/>
      <c r="E402" s="117" t="s">
        <v>720</v>
      </c>
      <c r="F402" s="117" t="s">
        <v>721</v>
      </c>
      <c r="G402" s="117" t="s">
        <v>726</v>
      </c>
      <c r="H402" s="117" t="s">
        <v>416</v>
      </c>
      <c r="I402" s="120" t="s">
        <v>680</v>
      </c>
      <c r="J402" s="84">
        <v>0</v>
      </c>
      <c r="K402" s="73">
        <v>0</v>
      </c>
      <c r="L402" s="72">
        <v>0</v>
      </c>
      <c r="M402" s="73">
        <v>0</v>
      </c>
      <c r="N402" s="72">
        <v>1400</v>
      </c>
      <c r="O402" s="73">
        <v>76650</v>
      </c>
      <c r="P402" s="72">
        <v>0</v>
      </c>
      <c r="Q402" s="73">
        <v>0</v>
      </c>
      <c r="R402" s="72">
        <v>1000</v>
      </c>
      <c r="S402" s="73">
        <v>54570</v>
      </c>
      <c r="T402" s="72">
        <v>0</v>
      </c>
      <c r="U402" s="73">
        <v>0</v>
      </c>
      <c r="V402" s="72">
        <v>300</v>
      </c>
      <c r="W402" s="73">
        <v>16176</v>
      </c>
      <c r="X402" s="72">
        <v>1560</v>
      </c>
      <c r="Y402" s="73">
        <v>84115.2</v>
      </c>
      <c r="Z402" s="72">
        <v>900</v>
      </c>
      <c r="AA402" s="73">
        <v>48528</v>
      </c>
      <c r="AB402" s="72">
        <v>800</v>
      </c>
      <c r="AC402" s="73">
        <v>43136</v>
      </c>
      <c r="AD402" s="72">
        <v>0</v>
      </c>
      <c r="AE402" s="73">
        <v>0</v>
      </c>
      <c r="AF402" s="72">
        <v>0</v>
      </c>
      <c r="AG402" s="88">
        <v>0</v>
      </c>
      <c r="AH402"/>
    </row>
    <row r="403" spans="1:34">
      <c r="B403" s="114">
        <v>384</v>
      </c>
      <c r="C403" s="117">
        <v>51</v>
      </c>
      <c r="D403" s="117"/>
      <c r="E403" s="117" t="s">
        <v>720</v>
      </c>
      <c r="F403" s="117" t="s">
        <v>721</v>
      </c>
      <c r="G403" s="117" t="s">
        <v>740</v>
      </c>
      <c r="H403" s="117" t="s">
        <v>678</v>
      </c>
      <c r="I403" s="120" t="s">
        <v>673</v>
      </c>
      <c r="J403" s="84">
        <v>600</v>
      </c>
      <c r="K403" s="73">
        <v>37362</v>
      </c>
      <c r="L403" s="72">
        <v>3000</v>
      </c>
      <c r="M403" s="73">
        <v>186810</v>
      </c>
      <c r="N403" s="72">
        <v>1200</v>
      </c>
      <c r="O403" s="73">
        <v>74686</v>
      </c>
      <c r="P403" s="72">
        <v>1600</v>
      </c>
      <c r="Q403" s="73">
        <v>99328</v>
      </c>
      <c r="R403" s="72">
        <v>900</v>
      </c>
      <c r="S403" s="73">
        <v>55872</v>
      </c>
      <c r="T403" s="72">
        <v>1200</v>
      </c>
      <c r="U403" s="73">
        <v>74295</v>
      </c>
      <c r="V403" s="72">
        <v>1800</v>
      </c>
      <c r="W403" s="73">
        <v>110538</v>
      </c>
      <c r="X403" s="72">
        <v>2560</v>
      </c>
      <c r="Y403" s="73">
        <v>157209.6</v>
      </c>
      <c r="Z403" s="72">
        <v>1800</v>
      </c>
      <c r="AA403" s="73">
        <v>110538</v>
      </c>
      <c r="AB403" s="72">
        <v>1220</v>
      </c>
      <c r="AC403" s="73">
        <v>74920.2</v>
      </c>
      <c r="AD403" s="72">
        <v>0</v>
      </c>
      <c r="AE403" s="73">
        <v>0</v>
      </c>
      <c r="AF403" s="72">
        <v>0</v>
      </c>
      <c r="AG403" s="88">
        <v>0</v>
      </c>
      <c r="AH403"/>
    </row>
    <row r="404" spans="1:34">
      <c r="B404" s="114">
        <v>385</v>
      </c>
      <c r="C404" s="117">
        <v>51</v>
      </c>
      <c r="D404" s="117"/>
      <c r="E404" s="117" t="s">
        <v>753</v>
      </c>
      <c r="F404" s="117" t="s">
        <v>754</v>
      </c>
      <c r="G404" s="117" t="s">
        <v>758</v>
      </c>
      <c r="H404" s="117" t="s">
        <v>434</v>
      </c>
      <c r="I404" s="120" t="s">
        <v>759</v>
      </c>
      <c r="J404" s="84">
        <v>0</v>
      </c>
      <c r="K404" s="73">
        <v>0</v>
      </c>
      <c r="L404" s="72">
        <v>0</v>
      </c>
      <c r="M404" s="73">
        <v>0</v>
      </c>
      <c r="N404" s="72">
        <v>19080</v>
      </c>
      <c r="O404" s="73">
        <v>758811.6</v>
      </c>
      <c r="P404" s="72">
        <v>16392</v>
      </c>
      <c r="Q404" s="73">
        <v>651909.84</v>
      </c>
      <c r="R404" s="72">
        <v>14712</v>
      </c>
      <c r="S404" s="73">
        <v>585096.24</v>
      </c>
      <c r="T404" s="72">
        <v>20304</v>
      </c>
      <c r="U404" s="73">
        <v>807490.08</v>
      </c>
      <c r="V404" s="72">
        <v>19154</v>
      </c>
      <c r="W404" s="73">
        <v>761563.04</v>
      </c>
      <c r="X404" s="72">
        <v>17640</v>
      </c>
      <c r="Y404" s="73">
        <v>701366.4</v>
      </c>
      <c r="Z404" s="72">
        <v>14016</v>
      </c>
      <c r="AA404" s="73">
        <v>557276.16</v>
      </c>
      <c r="AB404" s="72">
        <v>10398</v>
      </c>
      <c r="AC404" s="73">
        <v>414152.34</v>
      </c>
      <c r="AD404" s="72">
        <v>0</v>
      </c>
      <c r="AE404" s="73">
        <v>0</v>
      </c>
      <c r="AF404" s="72">
        <v>0</v>
      </c>
      <c r="AG404" s="88">
        <v>0</v>
      </c>
      <c r="AH404"/>
    </row>
    <row r="405" spans="1:34">
      <c r="B405" s="114">
        <v>386</v>
      </c>
      <c r="C405" s="117">
        <v>51</v>
      </c>
      <c r="D405" s="117"/>
      <c r="E405" s="117" t="s">
        <v>753</v>
      </c>
      <c r="F405" s="117" t="s">
        <v>754</v>
      </c>
      <c r="G405" s="117" t="s">
        <v>755</v>
      </c>
      <c r="H405" s="117" t="s">
        <v>756</v>
      </c>
      <c r="I405" s="120" t="s">
        <v>757</v>
      </c>
      <c r="J405" s="84">
        <v>3600</v>
      </c>
      <c r="K405" s="73">
        <v>17136</v>
      </c>
      <c r="L405" s="72">
        <v>6000</v>
      </c>
      <c r="M405" s="73">
        <v>28560</v>
      </c>
      <c r="N405" s="72">
        <v>6720</v>
      </c>
      <c r="O405" s="73">
        <v>31987.2</v>
      </c>
      <c r="P405" s="72">
        <v>4800</v>
      </c>
      <c r="Q405" s="73">
        <v>22848</v>
      </c>
      <c r="R405" s="72">
        <v>4800</v>
      </c>
      <c r="S405" s="73">
        <v>22848</v>
      </c>
      <c r="T405" s="72">
        <v>7200</v>
      </c>
      <c r="U405" s="73">
        <v>34272</v>
      </c>
      <c r="V405" s="72">
        <v>5730</v>
      </c>
      <c r="W405" s="73">
        <v>27274.8</v>
      </c>
      <c r="X405" s="72">
        <v>8400</v>
      </c>
      <c r="Y405" s="73">
        <v>39984</v>
      </c>
      <c r="Z405" s="72">
        <v>3360</v>
      </c>
      <c r="AA405" s="73">
        <v>15993.6</v>
      </c>
      <c r="AB405" s="72">
        <v>4560</v>
      </c>
      <c r="AC405" s="73">
        <v>21705.6</v>
      </c>
      <c r="AD405" s="72">
        <v>0</v>
      </c>
      <c r="AE405" s="73">
        <v>0</v>
      </c>
      <c r="AF405" s="72">
        <v>0</v>
      </c>
      <c r="AG405" s="88">
        <v>0</v>
      </c>
      <c r="AH405"/>
    </row>
    <row r="406" spans="1:34">
      <c r="B406" s="114">
        <v>387</v>
      </c>
      <c r="C406" s="117">
        <v>51</v>
      </c>
      <c r="D406" s="117"/>
      <c r="E406" s="117" t="s">
        <v>760</v>
      </c>
      <c r="F406" s="117" t="s">
        <v>761</v>
      </c>
      <c r="G406" s="117" t="s">
        <v>764</v>
      </c>
      <c r="H406" s="117" t="s">
        <v>765</v>
      </c>
      <c r="I406" s="120" t="s">
        <v>439</v>
      </c>
      <c r="J406" s="84">
        <v>1000</v>
      </c>
      <c r="K406" s="73">
        <v>48280</v>
      </c>
      <c r="L406" s="72">
        <v>3000</v>
      </c>
      <c r="M406" s="73">
        <v>144840</v>
      </c>
      <c r="N406" s="72">
        <v>1100</v>
      </c>
      <c r="O406" s="73">
        <v>53108</v>
      </c>
      <c r="P406" s="72">
        <v>2500</v>
      </c>
      <c r="Q406" s="73">
        <v>120700</v>
      </c>
      <c r="R406" s="72">
        <v>0</v>
      </c>
      <c r="S406" s="73">
        <v>0</v>
      </c>
      <c r="T406" s="72">
        <v>2000</v>
      </c>
      <c r="U406" s="73">
        <v>96560</v>
      </c>
      <c r="V406" s="72">
        <v>2000</v>
      </c>
      <c r="W406" s="73">
        <v>96560</v>
      </c>
      <c r="X406" s="72">
        <v>3000</v>
      </c>
      <c r="Y406" s="73">
        <v>144840</v>
      </c>
      <c r="Z406" s="72">
        <v>1600</v>
      </c>
      <c r="AA406" s="73">
        <v>77248</v>
      </c>
      <c r="AB406" s="72">
        <v>500</v>
      </c>
      <c r="AC406" s="73">
        <v>24140</v>
      </c>
      <c r="AD406" s="72">
        <v>0</v>
      </c>
      <c r="AE406" s="73">
        <v>0</v>
      </c>
      <c r="AF406" s="72">
        <v>0</v>
      </c>
      <c r="AG406" s="88">
        <v>0</v>
      </c>
      <c r="AH406"/>
    </row>
    <row r="407" spans="1:34">
      <c r="B407" s="114">
        <v>388</v>
      </c>
      <c r="C407" s="117">
        <v>51</v>
      </c>
      <c r="D407" s="117"/>
      <c r="E407" s="117" t="s">
        <v>760</v>
      </c>
      <c r="F407" s="117" t="s">
        <v>761</v>
      </c>
      <c r="G407" s="117" t="s">
        <v>762</v>
      </c>
      <c r="H407" s="117" t="s">
        <v>426</v>
      </c>
      <c r="I407" s="121" t="s">
        <v>763</v>
      </c>
      <c r="J407" s="84">
        <v>5100</v>
      </c>
      <c r="K407" s="73">
        <v>202572</v>
      </c>
      <c r="L407" s="72">
        <v>4800</v>
      </c>
      <c r="M407" s="73">
        <v>190656</v>
      </c>
      <c r="N407" s="72">
        <v>5400</v>
      </c>
      <c r="O407" s="73">
        <v>214488</v>
      </c>
      <c r="P407" s="72">
        <v>5160</v>
      </c>
      <c r="Q407" s="73">
        <v>204955.2</v>
      </c>
      <c r="R407" s="72">
        <v>5400</v>
      </c>
      <c r="S407" s="73">
        <v>214488</v>
      </c>
      <c r="T407" s="72">
        <v>4200</v>
      </c>
      <c r="U407" s="73">
        <v>166824</v>
      </c>
      <c r="V407" s="72">
        <v>4800</v>
      </c>
      <c r="W407" s="73">
        <v>190656</v>
      </c>
      <c r="X407" s="72">
        <v>8100</v>
      </c>
      <c r="Y407" s="73">
        <v>321732</v>
      </c>
      <c r="Z407" s="72">
        <v>5340</v>
      </c>
      <c r="AA407" s="73">
        <v>212104.8</v>
      </c>
      <c r="AB407" s="72">
        <v>3420</v>
      </c>
      <c r="AC407" s="73">
        <v>135842.4</v>
      </c>
      <c r="AD407" s="72">
        <v>0</v>
      </c>
      <c r="AE407" s="73">
        <v>0</v>
      </c>
      <c r="AF407" s="72">
        <v>0</v>
      </c>
      <c r="AG407" s="88">
        <v>0</v>
      </c>
      <c r="AH407"/>
    </row>
    <row r="408" spans="1:34">
      <c r="B408" s="114">
        <v>389</v>
      </c>
      <c r="C408" s="117">
        <v>51</v>
      </c>
      <c r="D408" s="117"/>
      <c r="E408" s="117" t="s">
        <v>766</v>
      </c>
      <c r="F408" s="117" t="s">
        <v>767</v>
      </c>
      <c r="G408" s="117" t="s">
        <v>768</v>
      </c>
      <c r="H408" s="117" t="s">
        <v>381</v>
      </c>
      <c r="I408" s="120" t="s">
        <v>164</v>
      </c>
      <c r="J408" s="84">
        <v>15984</v>
      </c>
      <c r="K408" s="73">
        <v>1938060</v>
      </c>
      <c r="L408" s="72">
        <v>21408</v>
      </c>
      <c r="M408" s="73">
        <v>2595720</v>
      </c>
      <c r="N408" s="72">
        <v>20736</v>
      </c>
      <c r="O408" s="73">
        <v>2514240</v>
      </c>
      <c r="P408" s="72">
        <v>14400</v>
      </c>
      <c r="Q408" s="73">
        <v>1746000</v>
      </c>
      <c r="R408" s="72">
        <v>14880</v>
      </c>
      <c r="S408" s="73">
        <v>1804200</v>
      </c>
      <c r="T408" s="72">
        <v>20640</v>
      </c>
      <c r="U408" s="73">
        <v>2502600</v>
      </c>
      <c r="V408" s="72">
        <v>19248</v>
      </c>
      <c r="W408" s="73">
        <v>2333820</v>
      </c>
      <c r="X408" s="72">
        <v>19152</v>
      </c>
      <c r="Y408" s="73">
        <v>2322180</v>
      </c>
      <c r="Z408" s="72">
        <v>12720</v>
      </c>
      <c r="AA408" s="73">
        <v>1542300</v>
      </c>
      <c r="AB408" s="72">
        <v>8640</v>
      </c>
      <c r="AC408" s="73">
        <v>1047600</v>
      </c>
      <c r="AD408" s="72">
        <v>0</v>
      </c>
      <c r="AE408" s="73">
        <v>0</v>
      </c>
      <c r="AF408" s="72">
        <v>0</v>
      </c>
      <c r="AG408" s="88">
        <v>0</v>
      </c>
      <c r="AH408"/>
    </row>
    <row r="409" spans="1:34">
      <c r="B409" s="114">
        <v>390</v>
      </c>
      <c r="C409" s="117">
        <v>51</v>
      </c>
      <c r="D409" s="117"/>
      <c r="E409" s="117" t="s">
        <v>766</v>
      </c>
      <c r="F409" s="117" t="s">
        <v>767</v>
      </c>
      <c r="G409" s="117" t="s">
        <v>769</v>
      </c>
      <c r="H409" s="117" t="s">
        <v>770</v>
      </c>
      <c r="I409" s="120" t="s">
        <v>771</v>
      </c>
      <c r="J409" s="84">
        <v>2928</v>
      </c>
      <c r="K409" s="73">
        <v>334641.12</v>
      </c>
      <c r="L409" s="72">
        <v>4848</v>
      </c>
      <c r="M409" s="73">
        <v>554077.92</v>
      </c>
      <c r="N409" s="72">
        <v>3504</v>
      </c>
      <c r="O409" s="73">
        <v>400472.16</v>
      </c>
      <c r="P409" s="72">
        <v>3840</v>
      </c>
      <c r="Q409" s="73">
        <v>438873.6</v>
      </c>
      <c r="R409" s="72">
        <v>3840</v>
      </c>
      <c r="S409" s="73">
        <v>438873.6</v>
      </c>
      <c r="T409" s="72">
        <v>4320</v>
      </c>
      <c r="U409" s="73">
        <v>493732.8</v>
      </c>
      <c r="V409" s="72">
        <v>6768</v>
      </c>
      <c r="W409" s="73">
        <v>773514.72</v>
      </c>
      <c r="X409" s="72">
        <v>7632</v>
      </c>
      <c r="Y409" s="73">
        <v>872261.28</v>
      </c>
      <c r="Z409" s="72">
        <v>5760</v>
      </c>
      <c r="AA409" s="73">
        <v>658310.4</v>
      </c>
      <c r="AB409" s="72">
        <v>3024</v>
      </c>
      <c r="AC409" s="73">
        <v>345612.96</v>
      </c>
      <c r="AD409" s="72">
        <v>0</v>
      </c>
      <c r="AE409" s="73">
        <v>0</v>
      </c>
      <c r="AF409" s="72">
        <v>0</v>
      </c>
      <c r="AG409" s="88">
        <v>0</v>
      </c>
      <c r="AH409"/>
    </row>
    <row r="410" spans="1:34">
      <c r="B410" s="114">
        <v>391</v>
      </c>
      <c r="C410" s="117">
        <v>51</v>
      </c>
      <c r="D410" s="117"/>
      <c r="E410" s="117" t="s">
        <v>766</v>
      </c>
      <c r="F410" s="117" t="s">
        <v>767</v>
      </c>
      <c r="G410" s="117" t="s">
        <v>606</v>
      </c>
      <c r="H410" s="117" t="s">
        <v>381</v>
      </c>
      <c r="I410" s="120" t="s">
        <v>607</v>
      </c>
      <c r="J410" s="84">
        <v>9880</v>
      </c>
      <c r="K410" s="73">
        <v>1727913.2</v>
      </c>
      <c r="L410" s="72">
        <v>9880</v>
      </c>
      <c r="M410" s="73">
        <v>1727913.2</v>
      </c>
      <c r="N410" s="72">
        <v>6240</v>
      </c>
      <c r="O410" s="73">
        <v>1091313.6</v>
      </c>
      <c r="P410" s="72">
        <v>9600</v>
      </c>
      <c r="Q410" s="73">
        <v>1678944</v>
      </c>
      <c r="R410" s="72">
        <v>11600</v>
      </c>
      <c r="S410" s="73">
        <v>2028724</v>
      </c>
      <c r="T410" s="72">
        <v>10000</v>
      </c>
      <c r="U410" s="73">
        <v>1748900</v>
      </c>
      <c r="V410" s="72">
        <v>10000</v>
      </c>
      <c r="W410" s="73">
        <v>1748900</v>
      </c>
      <c r="X410" s="72">
        <v>11200</v>
      </c>
      <c r="Y410" s="73">
        <v>1958768</v>
      </c>
      <c r="Z410" s="72">
        <v>7500</v>
      </c>
      <c r="AA410" s="73">
        <v>1311675</v>
      </c>
      <c r="AB410" s="72">
        <v>0</v>
      </c>
      <c r="AC410" s="73">
        <v>0</v>
      </c>
      <c r="AD410" s="72">
        <v>0</v>
      </c>
      <c r="AE410" s="73">
        <v>0</v>
      </c>
      <c r="AF410" s="72">
        <v>0</v>
      </c>
      <c r="AG410" s="88">
        <v>0</v>
      </c>
      <c r="AH410"/>
    </row>
    <row r="411" spans="1:34">
      <c r="B411" s="114">
        <v>392</v>
      </c>
      <c r="C411" s="117">
        <v>51</v>
      </c>
      <c r="D411" s="117"/>
      <c r="E411" s="117" t="s">
        <v>766</v>
      </c>
      <c r="F411" s="117" t="s">
        <v>767</v>
      </c>
      <c r="G411" s="117" t="s">
        <v>772</v>
      </c>
      <c r="H411" s="117" t="s">
        <v>381</v>
      </c>
      <c r="I411" s="121" t="s">
        <v>763</v>
      </c>
      <c r="J411" s="84">
        <v>5360</v>
      </c>
      <c r="K411" s="73">
        <v>583972</v>
      </c>
      <c r="L411" s="72">
        <v>4920</v>
      </c>
      <c r="M411" s="73">
        <v>536034</v>
      </c>
      <c r="N411" s="72">
        <v>5200</v>
      </c>
      <c r="O411" s="73">
        <v>566540</v>
      </c>
      <c r="P411" s="72">
        <v>5080</v>
      </c>
      <c r="Q411" s="73">
        <v>553466</v>
      </c>
      <c r="R411" s="72">
        <v>5000</v>
      </c>
      <c r="S411" s="73">
        <v>544750</v>
      </c>
      <c r="T411" s="72">
        <v>4560</v>
      </c>
      <c r="U411" s="73">
        <v>496812</v>
      </c>
      <c r="V411" s="72">
        <v>5400</v>
      </c>
      <c r="W411" s="73">
        <v>588330</v>
      </c>
      <c r="X411" s="72">
        <v>7000</v>
      </c>
      <c r="Y411" s="73">
        <v>762650</v>
      </c>
      <c r="Z411" s="72">
        <v>6200</v>
      </c>
      <c r="AA411" s="73">
        <v>675490</v>
      </c>
      <c r="AB411" s="72">
        <v>2040</v>
      </c>
      <c r="AC411" s="73">
        <v>222258</v>
      </c>
      <c r="AD411" s="72">
        <v>0</v>
      </c>
      <c r="AE411" s="73">
        <v>0</v>
      </c>
      <c r="AF411" s="72">
        <v>0</v>
      </c>
      <c r="AG411" s="88">
        <v>0</v>
      </c>
      <c r="AH411"/>
    </row>
    <row r="412" spans="1:34">
      <c r="B412" s="114">
        <v>393</v>
      </c>
      <c r="C412" s="117">
        <v>51</v>
      </c>
      <c r="D412" s="117"/>
      <c r="E412" s="117" t="s">
        <v>766</v>
      </c>
      <c r="F412" s="117" t="s">
        <v>767</v>
      </c>
      <c r="G412" s="117" t="s">
        <v>773</v>
      </c>
      <c r="H412" s="117" t="s">
        <v>381</v>
      </c>
      <c r="I412" s="120" t="s">
        <v>774</v>
      </c>
      <c r="J412" s="84">
        <v>120</v>
      </c>
      <c r="K412" s="73">
        <v>25306.8</v>
      </c>
      <c r="L412" s="72">
        <v>280</v>
      </c>
      <c r="M412" s="73">
        <v>59049.2</v>
      </c>
      <c r="N412" s="72">
        <v>0</v>
      </c>
      <c r="O412" s="73">
        <v>0</v>
      </c>
      <c r="P412" s="72">
        <v>0</v>
      </c>
      <c r="Q412" s="73">
        <v>0</v>
      </c>
      <c r="R412" s="72">
        <v>0</v>
      </c>
      <c r="S412" s="73">
        <v>0</v>
      </c>
      <c r="T412" s="72">
        <v>200</v>
      </c>
      <c r="U412" s="73">
        <v>42178</v>
      </c>
      <c r="V412" s="72">
        <v>200</v>
      </c>
      <c r="W412" s="73">
        <v>42178</v>
      </c>
      <c r="X412" s="72">
        <v>400</v>
      </c>
      <c r="Y412" s="73">
        <v>84356</v>
      </c>
      <c r="Z412" s="72">
        <v>200</v>
      </c>
      <c r="AA412" s="73">
        <v>42178</v>
      </c>
      <c r="AB412" s="72">
        <v>0</v>
      </c>
      <c r="AC412" s="73">
        <v>0</v>
      </c>
      <c r="AD412" s="72">
        <v>0</v>
      </c>
      <c r="AE412" s="73">
        <v>0</v>
      </c>
      <c r="AF412" s="72">
        <v>0</v>
      </c>
      <c r="AG412" s="88">
        <v>0</v>
      </c>
      <c r="AH412"/>
    </row>
    <row r="413" spans="1:34">
      <c r="B413" s="114">
        <v>394</v>
      </c>
      <c r="C413" s="117">
        <v>51</v>
      </c>
      <c r="D413" s="117"/>
      <c r="E413" s="117" t="s">
        <v>775</v>
      </c>
      <c r="F413" s="117" t="s">
        <v>776</v>
      </c>
      <c r="G413" s="117" t="s">
        <v>834</v>
      </c>
      <c r="H413" s="117" t="s">
        <v>835</v>
      </c>
      <c r="I413" s="120" t="s">
        <v>703</v>
      </c>
      <c r="J413" s="84">
        <v>0</v>
      </c>
      <c r="K413" s="73">
        <v>0</v>
      </c>
      <c r="L413" s="72">
        <v>1000</v>
      </c>
      <c r="M413" s="73">
        <v>1030</v>
      </c>
      <c r="N413" s="72">
        <v>4000</v>
      </c>
      <c r="O413" s="73">
        <v>4120</v>
      </c>
      <c r="P413" s="72">
        <v>5000</v>
      </c>
      <c r="Q413" s="73">
        <v>5150</v>
      </c>
      <c r="R413" s="72">
        <v>8000</v>
      </c>
      <c r="S413" s="73">
        <v>8240</v>
      </c>
      <c r="T413" s="72">
        <v>9000</v>
      </c>
      <c r="U413" s="73">
        <v>9270</v>
      </c>
      <c r="V413" s="72">
        <v>7000</v>
      </c>
      <c r="W413" s="73">
        <v>7210</v>
      </c>
      <c r="X413" s="72">
        <v>6000</v>
      </c>
      <c r="Y413" s="73">
        <v>6180</v>
      </c>
      <c r="Z413" s="72">
        <v>5000</v>
      </c>
      <c r="AA413" s="73">
        <v>5150</v>
      </c>
      <c r="AB413" s="72">
        <v>2000</v>
      </c>
      <c r="AC413" s="73">
        <v>2060</v>
      </c>
      <c r="AD413" s="72">
        <v>0</v>
      </c>
      <c r="AE413" s="73">
        <v>0</v>
      </c>
      <c r="AF413" s="72">
        <v>0</v>
      </c>
      <c r="AG413" s="88">
        <v>0</v>
      </c>
      <c r="AH413"/>
    </row>
    <row r="414" spans="1:34">
      <c r="B414" s="114">
        <v>395</v>
      </c>
      <c r="C414" s="117">
        <v>51</v>
      </c>
      <c r="D414" s="117"/>
      <c r="E414" s="117" t="s">
        <v>775</v>
      </c>
      <c r="F414" s="117" t="s">
        <v>776</v>
      </c>
      <c r="G414" s="117" t="s">
        <v>843</v>
      </c>
      <c r="H414" s="117" t="s">
        <v>787</v>
      </c>
      <c r="I414" s="120" t="s">
        <v>301</v>
      </c>
      <c r="J414" s="84">
        <v>2000</v>
      </c>
      <c r="K414" s="73">
        <v>5020</v>
      </c>
      <c r="L414" s="72">
        <v>3800</v>
      </c>
      <c r="M414" s="73">
        <v>9538</v>
      </c>
      <c r="N414" s="72">
        <v>1600</v>
      </c>
      <c r="O414" s="73">
        <v>4016</v>
      </c>
      <c r="P414" s="72">
        <v>0</v>
      </c>
      <c r="Q414" s="73">
        <v>0</v>
      </c>
      <c r="R414" s="72">
        <v>0</v>
      </c>
      <c r="S414" s="73">
        <v>0</v>
      </c>
      <c r="T414" s="72">
        <v>5600</v>
      </c>
      <c r="U414" s="73">
        <v>14056</v>
      </c>
      <c r="V414" s="72">
        <v>1600</v>
      </c>
      <c r="W414" s="73">
        <v>4016</v>
      </c>
      <c r="X414" s="72">
        <v>0</v>
      </c>
      <c r="Y414" s="73">
        <v>0</v>
      </c>
      <c r="Z414" s="72">
        <v>5000</v>
      </c>
      <c r="AA414" s="73">
        <v>12550</v>
      </c>
      <c r="AB414" s="72">
        <v>0</v>
      </c>
      <c r="AC414" s="73">
        <v>0</v>
      </c>
      <c r="AD414" s="72">
        <v>0</v>
      </c>
      <c r="AE414" s="73">
        <v>0</v>
      </c>
      <c r="AF414" s="72">
        <v>0</v>
      </c>
      <c r="AG414" s="88">
        <v>0</v>
      </c>
      <c r="AH414"/>
    </row>
    <row r="415" spans="1:34">
      <c r="B415" s="114">
        <v>396</v>
      </c>
      <c r="C415" s="117">
        <v>51</v>
      </c>
      <c r="D415" s="117"/>
      <c r="E415" s="117" t="s">
        <v>775</v>
      </c>
      <c r="F415" s="117" t="s">
        <v>776</v>
      </c>
      <c r="G415" s="117" t="s">
        <v>832</v>
      </c>
      <c r="H415" s="117" t="s">
        <v>833</v>
      </c>
      <c r="I415" s="120" t="s">
        <v>237</v>
      </c>
      <c r="J415" s="84">
        <v>0</v>
      </c>
      <c r="K415" s="73">
        <v>0</v>
      </c>
      <c r="L415" s="72">
        <v>0</v>
      </c>
      <c r="M415" s="73">
        <v>0</v>
      </c>
      <c r="N415" s="72">
        <v>0</v>
      </c>
      <c r="O415" s="73">
        <v>0</v>
      </c>
      <c r="P415" s="72">
        <v>0</v>
      </c>
      <c r="Q415" s="73">
        <v>0</v>
      </c>
      <c r="R415" s="72">
        <v>0</v>
      </c>
      <c r="S415" s="73">
        <v>0</v>
      </c>
      <c r="T415" s="72">
        <v>0</v>
      </c>
      <c r="U415" s="73">
        <v>0</v>
      </c>
      <c r="V415" s="72">
        <v>0</v>
      </c>
      <c r="W415" s="73">
        <v>0</v>
      </c>
      <c r="X415" s="72">
        <v>0</v>
      </c>
      <c r="Y415" s="73">
        <v>0</v>
      </c>
      <c r="Z415" s="72">
        <v>0</v>
      </c>
      <c r="AA415" s="73">
        <v>0</v>
      </c>
      <c r="AB415" s="72">
        <v>60</v>
      </c>
      <c r="AC415" s="73">
        <v>2014.2</v>
      </c>
      <c r="AD415" s="72">
        <v>0</v>
      </c>
      <c r="AE415" s="73">
        <v>0</v>
      </c>
      <c r="AF415" s="72">
        <v>0</v>
      </c>
      <c r="AG415" s="88">
        <v>0</v>
      </c>
      <c r="AH415"/>
    </row>
    <row r="416" spans="1:34">
      <c r="B416" s="114">
        <v>397</v>
      </c>
      <c r="C416" s="117">
        <v>51</v>
      </c>
      <c r="D416" s="117"/>
      <c r="E416" s="117" t="s">
        <v>775</v>
      </c>
      <c r="F416" s="117" t="s">
        <v>776</v>
      </c>
      <c r="G416" s="117" t="s">
        <v>829</v>
      </c>
      <c r="H416" s="117" t="s">
        <v>830</v>
      </c>
      <c r="I416" s="120" t="s">
        <v>831</v>
      </c>
      <c r="J416" s="84">
        <v>300</v>
      </c>
      <c r="K416" s="73">
        <v>32247</v>
      </c>
      <c r="L416" s="72">
        <v>360</v>
      </c>
      <c r="M416" s="73">
        <v>38696.4</v>
      </c>
      <c r="N416" s="72">
        <v>360</v>
      </c>
      <c r="O416" s="73">
        <v>38696.4</v>
      </c>
      <c r="P416" s="72">
        <v>0</v>
      </c>
      <c r="Q416" s="73">
        <v>0</v>
      </c>
      <c r="R416" s="72">
        <v>720</v>
      </c>
      <c r="S416" s="73">
        <v>77392.8</v>
      </c>
      <c r="T416" s="72">
        <v>480</v>
      </c>
      <c r="U416" s="73">
        <v>51595.2</v>
      </c>
      <c r="V416" s="72">
        <v>480</v>
      </c>
      <c r="W416" s="73">
        <v>51595.2</v>
      </c>
      <c r="X416" s="72">
        <v>600</v>
      </c>
      <c r="Y416" s="73">
        <v>64494</v>
      </c>
      <c r="Z416" s="72">
        <v>360</v>
      </c>
      <c r="AA416" s="73">
        <v>38696.4</v>
      </c>
      <c r="AB416" s="72">
        <v>0</v>
      </c>
      <c r="AC416" s="73">
        <v>0</v>
      </c>
      <c r="AD416" s="72">
        <v>0</v>
      </c>
      <c r="AE416" s="73">
        <v>0</v>
      </c>
      <c r="AF416" s="72">
        <v>0</v>
      </c>
      <c r="AG416" s="88">
        <v>0</v>
      </c>
      <c r="AH416"/>
    </row>
    <row r="417" spans="1:34">
      <c r="B417" s="114">
        <v>398</v>
      </c>
      <c r="C417" s="117">
        <v>51</v>
      </c>
      <c r="D417" s="117"/>
      <c r="E417" s="117" t="s">
        <v>775</v>
      </c>
      <c r="F417" s="117" t="s">
        <v>776</v>
      </c>
      <c r="G417" s="117" t="s">
        <v>809</v>
      </c>
      <c r="H417" s="117" t="s">
        <v>787</v>
      </c>
      <c r="I417" s="120" t="s">
        <v>301</v>
      </c>
      <c r="J417" s="84">
        <v>0</v>
      </c>
      <c r="K417" s="73">
        <v>0</v>
      </c>
      <c r="L417" s="72">
        <v>0</v>
      </c>
      <c r="M417" s="73">
        <v>0</v>
      </c>
      <c r="N417" s="72">
        <v>0</v>
      </c>
      <c r="O417" s="73">
        <v>0</v>
      </c>
      <c r="P417" s="72">
        <v>0</v>
      </c>
      <c r="Q417" s="73">
        <v>0</v>
      </c>
      <c r="R417" s="72">
        <v>0</v>
      </c>
      <c r="S417" s="73">
        <v>0</v>
      </c>
      <c r="T417" s="72">
        <v>0</v>
      </c>
      <c r="U417" s="73">
        <v>0</v>
      </c>
      <c r="V417" s="72">
        <v>0</v>
      </c>
      <c r="W417" s="73">
        <v>0</v>
      </c>
      <c r="X417" s="72">
        <v>0</v>
      </c>
      <c r="Y417" s="73">
        <v>0</v>
      </c>
      <c r="Z417" s="72">
        <v>1000</v>
      </c>
      <c r="AA417" s="73">
        <v>2510</v>
      </c>
      <c r="AB417" s="72">
        <v>3000</v>
      </c>
      <c r="AC417" s="73">
        <v>7530</v>
      </c>
      <c r="AD417" s="72">
        <v>0</v>
      </c>
      <c r="AE417" s="73">
        <v>0</v>
      </c>
      <c r="AF417" s="72">
        <v>0</v>
      </c>
      <c r="AG417" s="88">
        <v>0</v>
      </c>
      <c r="AH417"/>
    </row>
    <row r="418" spans="1:34">
      <c r="B418" s="114">
        <v>399</v>
      </c>
      <c r="C418" s="117">
        <v>51</v>
      </c>
      <c r="D418" s="117"/>
      <c r="E418" s="117" t="s">
        <v>775</v>
      </c>
      <c r="F418" s="117" t="s">
        <v>776</v>
      </c>
      <c r="G418" s="117" t="s">
        <v>803</v>
      </c>
      <c r="H418" s="117" t="s">
        <v>804</v>
      </c>
      <c r="I418" s="120" t="s">
        <v>445</v>
      </c>
      <c r="J418" s="84">
        <v>1000</v>
      </c>
      <c r="K418" s="73">
        <v>2280</v>
      </c>
      <c r="L418" s="72">
        <v>1000</v>
      </c>
      <c r="M418" s="73">
        <v>2280</v>
      </c>
      <c r="N418" s="72">
        <v>0</v>
      </c>
      <c r="O418" s="73">
        <v>0</v>
      </c>
      <c r="P418" s="72">
        <v>0</v>
      </c>
      <c r="Q418" s="73">
        <v>0</v>
      </c>
      <c r="R418" s="72">
        <v>3000</v>
      </c>
      <c r="S418" s="73">
        <v>6840</v>
      </c>
      <c r="T418" s="72">
        <v>2000</v>
      </c>
      <c r="U418" s="73">
        <v>4560</v>
      </c>
      <c r="V418" s="72">
        <v>1000</v>
      </c>
      <c r="W418" s="73">
        <v>2280</v>
      </c>
      <c r="X418" s="72">
        <v>1000</v>
      </c>
      <c r="Y418" s="73">
        <v>2280</v>
      </c>
      <c r="Z418" s="72">
        <v>1000</v>
      </c>
      <c r="AA418" s="73">
        <v>2280</v>
      </c>
      <c r="AB418" s="72">
        <v>500</v>
      </c>
      <c r="AC418" s="73">
        <v>1140</v>
      </c>
      <c r="AD418" s="72">
        <v>0</v>
      </c>
      <c r="AE418" s="73">
        <v>0</v>
      </c>
      <c r="AF418" s="72">
        <v>0</v>
      </c>
      <c r="AG418" s="88">
        <v>0</v>
      </c>
      <c r="AH418"/>
    </row>
    <row r="419" spans="1:34">
      <c r="B419" s="114">
        <v>400</v>
      </c>
      <c r="C419" s="117">
        <v>51</v>
      </c>
      <c r="D419" s="117"/>
      <c r="E419" s="117" t="s">
        <v>775</v>
      </c>
      <c r="F419" s="117" t="s">
        <v>776</v>
      </c>
      <c r="G419" s="117" t="s">
        <v>805</v>
      </c>
      <c r="H419" s="117" t="s">
        <v>87</v>
      </c>
      <c r="I419" s="120" t="s">
        <v>301</v>
      </c>
      <c r="J419" s="84">
        <v>2760</v>
      </c>
      <c r="K419" s="73">
        <v>56828.4</v>
      </c>
      <c r="L419" s="72">
        <v>3720</v>
      </c>
      <c r="M419" s="73">
        <v>76594.8</v>
      </c>
      <c r="N419" s="72">
        <v>2100</v>
      </c>
      <c r="O419" s="73">
        <v>43239</v>
      </c>
      <c r="P419" s="72">
        <v>1200</v>
      </c>
      <c r="Q419" s="73">
        <v>24708</v>
      </c>
      <c r="R419" s="72">
        <v>4200</v>
      </c>
      <c r="S419" s="73">
        <v>86478</v>
      </c>
      <c r="T419" s="72">
        <v>1200</v>
      </c>
      <c r="U419" s="73">
        <v>24708</v>
      </c>
      <c r="V419" s="72">
        <v>1380</v>
      </c>
      <c r="W419" s="73">
        <v>28414.2</v>
      </c>
      <c r="X419" s="72">
        <v>0</v>
      </c>
      <c r="Y419" s="73">
        <v>0</v>
      </c>
      <c r="Z419" s="72">
        <v>3900</v>
      </c>
      <c r="AA419" s="73">
        <v>80301</v>
      </c>
      <c r="AB419" s="72">
        <v>1800</v>
      </c>
      <c r="AC419" s="73">
        <v>37062</v>
      </c>
      <c r="AD419" s="72">
        <v>0</v>
      </c>
      <c r="AE419" s="73">
        <v>0</v>
      </c>
      <c r="AF419" s="72">
        <v>0</v>
      </c>
      <c r="AG419" s="88">
        <v>0</v>
      </c>
      <c r="AH419"/>
    </row>
    <row r="420" spans="1:34">
      <c r="B420" s="114">
        <v>401</v>
      </c>
      <c r="C420" s="117">
        <v>51</v>
      </c>
      <c r="D420" s="117"/>
      <c r="E420" s="117" t="s">
        <v>775</v>
      </c>
      <c r="F420" s="117" t="s">
        <v>776</v>
      </c>
      <c r="G420" s="117" t="s">
        <v>823</v>
      </c>
      <c r="H420" s="117" t="s">
        <v>804</v>
      </c>
      <c r="I420" s="120" t="s">
        <v>824</v>
      </c>
      <c r="J420" s="84">
        <v>0</v>
      </c>
      <c r="K420" s="73">
        <v>0</v>
      </c>
      <c r="L420" s="72">
        <v>0</v>
      </c>
      <c r="M420" s="73">
        <v>0</v>
      </c>
      <c r="N420" s="72">
        <v>0</v>
      </c>
      <c r="O420" s="73">
        <v>0</v>
      </c>
      <c r="P420" s="72">
        <v>0</v>
      </c>
      <c r="Q420" s="73">
        <v>0</v>
      </c>
      <c r="R420" s="72">
        <v>0</v>
      </c>
      <c r="S420" s="73">
        <v>0</v>
      </c>
      <c r="T420" s="72">
        <v>0</v>
      </c>
      <c r="U420" s="73">
        <v>0</v>
      </c>
      <c r="V420" s="72">
        <v>0</v>
      </c>
      <c r="W420" s="73">
        <v>0</v>
      </c>
      <c r="X420" s="72">
        <v>0</v>
      </c>
      <c r="Y420" s="73">
        <v>0</v>
      </c>
      <c r="Z420" s="72">
        <v>0</v>
      </c>
      <c r="AA420" s="73">
        <v>0</v>
      </c>
      <c r="AB420" s="72">
        <v>2000</v>
      </c>
      <c r="AC420" s="73">
        <v>6800</v>
      </c>
      <c r="AD420" s="72">
        <v>0</v>
      </c>
      <c r="AE420" s="73">
        <v>0</v>
      </c>
      <c r="AF420" s="72">
        <v>0</v>
      </c>
      <c r="AG420" s="88">
        <v>0</v>
      </c>
      <c r="AH420"/>
    </row>
    <row r="421" spans="1:34">
      <c r="B421" s="114">
        <v>402</v>
      </c>
      <c r="C421" s="117">
        <v>51</v>
      </c>
      <c r="D421" s="117"/>
      <c r="E421" s="117" t="s">
        <v>775</v>
      </c>
      <c r="F421" s="117" t="s">
        <v>776</v>
      </c>
      <c r="G421" s="117" t="s">
        <v>821</v>
      </c>
      <c r="H421" s="117" t="s">
        <v>822</v>
      </c>
      <c r="I421" s="120" t="s">
        <v>237</v>
      </c>
      <c r="J421" s="84">
        <v>0</v>
      </c>
      <c r="K421" s="73">
        <v>0</v>
      </c>
      <c r="L421" s="72">
        <v>0</v>
      </c>
      <c r="M421" s="73">
        <v>0</v>
      </c>
      <c r="N421" s="72">
        <v>0</v>
      </c>
      <c r="O421" s="73">
        <v>0</v>
      </c>
      <c r="P421" s="72">
        <v>0</v>
      </c>
      <c r="Q421" s="73">
        <v>0</v>
      </c>
      <c r="R421" s="72">
        <v>0</v>
      </c>
      <c r="S421" s="73">
        <v>0</v>
      </c>
      <c r="T421" s="72">
        <v>0</v>
      </c>
      <c r="U421" s="73">
        <v>0</v>
      </c>
      <c r="V421" s="72">
        <v>0</v>
      </c>
      <c r="W421" s="73">
        <v>0</v>
      </c>
      <c r="X421" s="72">
        <v>0</v>
      </c>
      <c r="Y421" s="73">
        <v>0</v>
      </c>
      <c r="Z421" s="72">
        <v>0</v>
      </c>
      <c r="AA421" s="73">
        <v>0</v>
      </c>
      <c r="AB421" s="72">
        <v>2400</v>
      </c>
      <c r="AC421" s="73">
        <v>2784</v>
      </c>
      <c r="AD421" s="72">
        <v>0</v>
      </c>
      <c r="AE421" s="73">
        <v>0</v>
      </c>
      <c r="AF421" s="72">
        <v>0</v>
      </c>
      <c r="AG421" s="88">
        <v>0</v>
      </c>
      <c r="AH421"/>
    </row>
    <row r="422" spans="1:34">
      <c r="B422" s="114">
        <v>403</v>
      </c>
      <c r="C422" s="117">
        <v>51</v>
      </c>
      <c r="D422" s="117"/>
      <c r="E422" s="117" t="s">
        <v>775</v>
      </c>
      <c r="F422" s="117" t="s">
        <v>776</v>
      </c>
      <c r="G422" s="117" t="s">
        <v>812</v>
      </c>
      <c r="H422" s="117" t="s">
        <v>289</v>
      </c>
      <c r="I422" s="120" t="s">
        <v>813</v>
      </c>
      <c r="J422" s="84">
        <v>30000</v>
      </c>
      <c r="K422" s="73">
        <v>40200</v>
      </c>
      <c r="L422" s="72">
        <v>54000</v>
      </c>
      <c r="M422" s="73">
        <v>72360</v>
      </c>
      <c r="N422" s="72">
        <v>58000</v>
      </c>
      <c r="O422" s="73">
        <v>77720</v>
      </c>
      <c r="P422" s="72">
        <v>38000</v>
      </c>
      <c r="Q422" s="73">
        <v>50920</v>
      </c>
      <c r="R422" s="72">
        <v>56000</v>
      </c>
      <c r="S422" s="73">
        <v>75040</v>
      </c>
      <c r="T422" s="72">
        <v>46000</v>
      </c>
      <c r="U422" s="73">
        <v>61640</v>
      </c>
      <c r="V422" s="72">
        <v>40000</v>
      </c>
      <c r="W422" s="73">
        <v>53600</v>
      </c>
      <c r="X422" s="72">
        <v>42000</v>
      </c>
      <c r="Y422" s="73">
        <v>56280</v>
      </c>
      <c r="Z422" s="72">
        <v>16000</v>
      </c>
      <c r="AA422" s="73">
        <v>21440</v>
      </c>
      <c r="AB422" s="72">
        <v>8000</v>
      </c>
      <c r="AC422" s="73">
        <v>10720</v>
      </c>
      <c r="AD422" s="72">
        <v>0</v>
      </c>
      <c r="AE422" s="73">
        <v>0</v>
      </c>
      <c r="AF422" s="72">
        <v>0</v>
      </c>
      <c r="AG422" s="88">
        <v>0</v>
      </c>
      <c r="AH422"/>
    </row>
    <row r="423" spans="1:34">
      <c r="B423" s="114">
        <v>404</v>
      </c>
      <c r="C423" s="117">
        <v>51</v>
      </c>
      <c r="D423" s="117"/>
      <c r="E423" s="117" t="s">
        <v>775</v>
      </c>
      <c r="F423" s="117" t="s">
        <v>776</v>
      </c>
      <c r="G423" s="117" t="s">
        <v>819</v>
      </c>
      <c r="H423" s="117" t="s">
        <v>820</v>
      </c>
      <c r="I423" s="120" t="s">
        <v>351</v>
      </c>
      <c r="J423" s="84">
        <v>16000</v>
      </c>
      <c r="K423" s="73">
        <v>19200</v>
      </c>
      <c r="L423" s="72">
        <v>17600</v>
      </c>
      <c r="M423" s="73">
        <v>21120</v>
      </c>
      <c r="N423" s="72">
        <v>17600</v>
      </c>
      <c r="O423" s="73">
        <v>21120</v>
      </c>
      <c r="P423" s="72">
        <v>9600</v>
      </c>
      <c r="Q423" s="73">
        <v>11520</v>
      </c>
      <c r="R423" s="72">
        <v>17000</v>
      </c>
      <c r="S423" s="73">
        <v>20400</v>
      </c>
      <c r="T423" s="72">
        <v>15200</v>
      </c>
      <c r="U423" s="73">
        <v>18240</v>
      </c>
      <c r="V423" s="72">
        <v>14400</v>
      </c>
      <c r="W423" s="73">
        <v>17280</v>
      </c>
      <c r="X423" s="72">
        <v>17600</v>
      </c>
      <c r="Y423" s="73">
        <v>21120</v>
      </c>
      <c r="Z423" s="72">
        <v>10000</v>
      </c>
      <c r="AA423" s="73">
        <v>12000</v>
      </c>
      <c r="AB423" s="72">
        <v>7000</v>
      </c>
      <c r="AC423" s="73">
        <v>8400</v>
      </c>
      <c r="AD423" s="72">
        <v>0</v>
      </c>
      <c r="AE423" s="73">
        <v>0</v>
      </c>
      <c r="AF423" s="72">
        <v>0</v>
      </c>
      <c r="AG423" s="88">
        <v>0</v>
      </c>
      <c r="AH423"/>
    </row>
    <row r="424" spans="1:34">
      <c r="B424" s="114">
        <v>405</v>
      </c>
      <c r="C424" s="117">
        <v>51</v>
      </c>
      <c r="D424" s="117"/>
      <c r="E424" s="117" t="s">
        <v>775</v>
      </c>
      <c r="F424" s="117" t="s">
        <v>776</v>
      </c>
      <c r="G424" s="117" t="s">
        <v>777</v>
      </c>
      <c r="H424" s="117" t="s">
        <v>778</v>
      </c>
      <c r="I424" s="120">
        <v>270</v>
      </c>
      <c r="J424" s="84">
        <v>0</v>
      </c>
      <c r="K424" s="73">
        <v>0</v>
      </c>
      <c r="L424" s="72">
        <v>0</v>
      </c>
      <c r="M424" s="73">
        <v>0</v>
      </c>
      <c r="N424" s="72">
        <v>0</v>
      </c>
      <c r="O424" s="73">
        <v>0</v>
      </c>
      <c r="P424" s="72">
        <v>0</v>
      </c>
      <c r="Q424" s="73">
        <v>0</v>
      </c>
      <c r="R424" s="72">
        <v>0</v>
      </c>
      <c r="S424" s="73">
        <v>0</v>
      </c>
      <c r="T424" s="72">
        <v>0</v>
      </c>
      <c r="U424" s="73">
        <v>0</v>
      </c>
      <c r="V424" s="72">
        <v>0</v>
      </c>
      <c r="W424" s="73">
        <v>0</v>
      </c>
      <c r="X424" s="72">
        <v>0</v>
      </c>
      <c r="Y424" s="73">
        <v>0</v>
      </c>
      <c r="Z424" s="72">
        <v>0</v>
      </c>
      <c r="AA424" s="73">
        <v>0</v>
      </c>
      <c r="AB424" s="72">
        <v>3</v>
      </c>
      <c r="AC424" s="73">
        <v>100.71</v>
      </c>
      <c r="AD424" s="72">
        <v>0</v>
      </c>
      <c r="AE424" s="73">
        <v>0</v>
      </c>
      <c r="AF424" s="72">
        <v>0</v>
      </c>
      <c r="AG424" s="88">
        <v>0</v>
      </c>
      <c r="AH424"/>
    </row>
    <row r="425" spans="1:34">
      <c r="B425" s="114">
        <v>406</v>
      </c>
      <c r="C425" s="117">
        <v>51</v>
      </c>
      <c r="D425" s="117"/>
      <c r="E425" s="117" t="s">
        <v>775</v>
      </c>
      <c r="F425" s="117" t="s">
        <v>776</v>
      </c>
      <c r="G425" s="117" t="s">
        <v>814</v>
      </c>
      <c r="H425" s="117" t="s">
        <v>815</v>
      </c>
      <c r="I425" s="120" t="s">
        <v>816</v>
      </c>
      <c r="J425" s="84">
        <v>5000</v>
      </c>
      <c r="K425" s="73">
        <v>10780</v>
      </c>
      <c r="L425" s="72">
        <v>6000</v>
      </c>
      <c r="M425" s="73">
        <v>11880</v>
      </c>
      <c r="N425" s="72">
        <v>6000</v>
      </c>
      <c r="O425" s="73">
        <v>11880</v>
      </c>
      <c r="P425" s="72">
        <v>4000</v>
      </c>
      <c r="Q425" s="73">
        <v>7920</v>
      </c>
      <c r="R425" s="72">
        <v>8000</v>
      </c>
      <c r="S425" s="73">
        <v>15840</v>
      </c>
      <c r="T425" s="72">
        <v>6000</v>
      </c>
      <c r="U425" s="73">
        <v>11880</v>
      </c>
      <c r="V425" s="72">
        <v>9000</v>
      </c>
      <c r="W425" s="73">
        <v>17820</v>
      </c>
      <c r="X425" s="72">
        <v>6000</v>
      </c>
      <c r="Y425" s="73">
        <v>11880</v>
      </c>
      <c r="Z425" s="72">
        <v>3000</v>
      </c>
      <c r="AA425" s="73">
        <v>5940</v>
      </c>
      <c r="AB425" s="72">
        <v>2000</v>
      </c>
      <c r="AC425" s="73">
        <v>3960</v>
      </c>
      <c r="AD425" s="72">
        <v>0</v>
      </c>
      <c r="AE425" s="73">
        <v>0</v>
      </c>
      <c r="AF425" s="72">
        <v>0</v>
      </c>
      <c r="AG425" s="88">
        <v>0</v>
      </c>
      <c r="AH425"/>
    </row>
    <row r="426" spans="1:34">
      <c r="B426" s="114">
        <v>407</v>
      </c>
      <c r="C426" s="117">
        <v>51</v>
      </c>
      <c r="D426" s="117"/>
      <c r="E426" s="117" t="s">
        <v>775</v>
      </c>
      <c r="F426" s="117" t="s">
        <v>776</v>
      </c>
      <c r="G426" s="117" t="s">
        <v>817</v>
      </c>
      <c r="H426" s="117" t="s">
        <v>818</v>
      </c>
      <c r="I426" s="120" t="s">
        <v>548</v>
      </c>
      <c r="J426" s="84">
        <v>1440</v>
      </c>
      <c r="K426" s="73">
        <v>11462.4</v>
      </c>
      <c r="L426" s="72">
        <v>3120</v>
      </c>
      <c r="M426" s="73">
        <v>23212.8</v>
      </c>
      <c r="N426" s="72">
        <v>2880</v>
      </c>
      <c r="O426" s="73">
        <v>21427.2</v>
      </c>
      <c r="P426" s="72">
        <v>1440</v>
      </c>
      <c r="Q426" s="73">
        <v>10713.6</v>
      </c>
      <c r="R426" s="72">
        <v>3360</v>
      </c>
      <c r="S426" s="73">
        <v>24998.4</v>
      </c>
      <c r="T426" s="72">
        <v>2880</v>
      </c>
      <c r="U426" s="73">
        <v>21427.2</v>
      </c>
      <c r="V426" s="72">
        <v>1920</v>
      </c>
      <c r="W426" s="73">
        <v>14284.8</v>
      </c>
      <c r="X426" s="72">
        <v>3360</v>
      </c>
      <c r="Y426" s="73">
        <v>24998.4</v>
      </c>
      <c r="Z426" s="72">
        <v>480</v>
      </c>
      <c r="AA426" s="73">
        <v>3571.2</v>
      </c>
      <c r="AB426" s="72">
        <v>960</v>
      </c>
      <c r="AC426" s="73">
        <v>7142.4</v>
      </c>
      <c r="AD426" s="72">
        <v>0</v>
      </c>
      <c r="AE426" s="73">
        <v>0</v>
      </c>
      <c r="AF426" s="72">
        <v>0</v>
      </c>
      <c r="AG426" s="88">
        <v>0</v>
      </c>
      <c r="AH426"/>
    </row>
    <row r="427" spans="1:34">
      <c r="B427" s="114">
        <v>408</v>
      </c>
      <c r="C427" s="117">
        <v>51</v>
      </c>
      <c r="D427" s="117"/>
      <c r="E427" s="117" t="s">
        <v>775</v>
      </c>
      <c r="F427" s="117" t="s">
        <v>776</v>
      </c>
      <c r="G427" s="117" t="s">
        <v>781</v>
      </c>
      <c r="H427" s="117" t="s">
        <v>782</v>
      </c>
      <c r="I427" s="120" t="s">
        <v>783</v>
      </c>
      <c r="J427" s="84">
        <v>544</v>
      </c>
      <c r="K427" s="73">
        <v>44553.6</v>
      </c>
      <c r="L427" s="72">
        <v>864</v>
      </c>
      <c r="M427" s="73">
        <v>70761.60000000001</v>
      </c>
      <c r="N427" s="72">
        <v>1216</v>
      </c>
      <c r="O427" s="73">
        <v>99590.39999999999</v>
      </c>
      <c r="P427" s="72">
        <v>616</v>
      </c>
      <c r="Q427" s="73">
        <v>50450.4</v>
      </c>
      <c r="R427" s="72">
        <v>1080</v>
      </c>
      <c r="S427" s="73">
        <v>88452</v>
      </c>
      <c r="T427" s="72">
        <v>856</v>
      </c>
      <c r="U427" s="73">
        <v>70106.39999999999</v>
      </c>
      <c r="V427" s="72">
        <v>776</v>
      </c>
      <c r="W427" s="73">
        <v>63554.4</v>
      </c>
      <c r="X427" s="72">
        <v>944</v>
      </c>
      <c r="Y427" s="73">
        <v>77313.60000000001</v>
      </c>
      <c r="Z427" s="72">
        <v>352</v>
      </c>
      <c r="AA427" s="73">
        <v>28828.8</v>
      </c>
      <c r="AB427" s="72">
        <v>360</v>
      </c>
      <c r="AC427" s="73">
        <v>29484</v>
      </c>
      <c r="AD427" s="72">
        <v>0</v>
      </c>
      <c r="AE427" s="73">
        <v>0</v>
      </c>
      <c r="AF427" s="72">
        <v>0</v>
      </c>
      <c r="AG427" s="88">
        <v>0</v>
      </c>
      <c r="AH427"/>
    </row>
    <row r="428" spans="1:34">
      <c r="B428" s="114">
        <v>409</v>
      </c>
      <c r="C428" s="117">
        <v>51</v>
      </c>
      <c r="D428" s="117"/>
      <c r="E428" s="117" t="s">
        <v>775</v>
      </c>
      <c r="F428" s="117" t="s">
        <v>776</v>
      </c>
      <c r="G428" s="117" t="s">
        <v>796</v>
      </c>
      <c r="H428" s="117" t="s">
        <v>797</v>
      </c>
      <c r="I428" s="120" t="s">
        <v>258</v>
      </c>
      <c r="J428" s="84">
        <v>2000</v>
      </c>
      <c r="K428" s="73">
        <v>4060</v>
      </c>
      <c r="L428" s="72">
        <v>8000</v>
      </c>
      <c r="M428" s="73">
        <v>16240</v>
      </c>
      <c r="N428" s="72">
        <v>9000</v>
      </c>
      <c r="O428" s="73">
        <v>18270</v>
      </c>
      <c r="P428" s="72">
        <v>3000</v>
      </c>
      <c r="Q428" s="73">
        <v>6090</v>
      </c>
      <c r="R428" s="72">
        <v>0</v>
      </c>
      <c r="S428" s="73">
        <v>0</v>
      </c>
      <c r="T428" s="72">
        <v>0</v>
      </c>
      <c r="U428" s="73">
        <v>0</v>
      </c>
      <c r="V428" s="72">
        <v>8000</v>
      </c>
      <c r="W428" s="73">
        <v>16240</v>
      </c>
      <c r="X428" s="72">
        <v>4000</v>
      </c>
      <c r="Y428" s="73">
        <v>8120</v>
      </c>
      <c r="Z428" s="72">
        <v>0</v>
      </c>
      <c r="AA428" s="73">
        <v>0</v>
      </c>
      <c r="AB428" s="72">
        <v>3000</v>
      </c>
      <c r="AC428" s="73">
        <v>6090</v>
      </c>
      <c r="AD428" s="72">
        <v>0</v>
      </c>
      <c r="AE428" s="73">
        <v>0</v>
      </c>
      <c r="AF428" s="72">
        <v>0</v>
      </c>
      <c r="AG428" s="88">
        <v>0</v>
      </c>
      <c r="AH428"/>
    </row>
    <row r="429" spans="1:34">
      <c r="B429" s="114">
        <v>410</v>
      </c>
      <c r="C429" s="117">
        <v>51</v>
      </c>
      <c r="D429" s="117"/>
      <c r="E429" s="117" t="s">
        <v>775</v>
      </c>
      <c r="F429" s="117" t="s">
        <v>776</v>
      </c>
      <c r="G429" s="117" t="s">
        <v>836</v>
      </c>
      <c r="H429" s="117" t="s">
        <v>837</v>
      </c>
      <c r="I429" s="120" t="s">
        <v>838</v>
      </c>
      <c r="J429" s="84">
        <v>2640</v>
      </c>
      <c r="K429" s="73">
        <v>21859.2</v>
      </c>
      <c r="L429" s="72">
        <v>1920</v>
      </c>
      <c r="M429" s="73">
        <v>15897.6</v>
      </c>
      <c r="N429" s="72">
        <v>3600</v>
      </c>
      <c r="O429" s="73">
        <v>29808</v>
      </c>
      <c r="P429" s="72">
        <v>3120</v>
      </c>
      <c r="Q429" s="73">
        <v>25833.6</v>
      </c>
      <c r="R429" s="72">
        <v>4800</v>
      </c>
      <c r="S429" s="73">
        <v>39744</v>
      </c>
      <c r="T429" s="72">
        <v>4320</v>
      </c>
      <c r="U429" s="73">
        <v>35769.6</v>
      </c>
      <c r="V429" s="72">
        <v>3840</v>
      </c>
      <c r="W429" s="73">
        <v>31795.2</v>
      </c>
      <c r="X429" s="72">
        <v>3600</v>
      </c>
      <c r="Y429" s="73">
        <v>29808</v>
      </c>
      <c r="Z429" s="72">
        <v>3600</v>
      </c>
      <c r="AA429" s="73">
        <v>29808</v>
      </c>
      <c r="AB429" s="72">
        <v>1200</v>
      </c>
      <c r="AC429" s="73">
        <v>9936</v>
      </c>
      <c r="AD429" s="72">
        <v>0</v>
      </c>
      <c r="AE429" s="73">
        <v>0</v>
      </c>
      <c r="AF429" s="72">
        <v>0</v>
      </c>
      <c r="AG429" s="88">
        <v>0</v>
      </c>
      <c r="AH429"/>
    </row>
    <row r="430" spans="1:34">
      <c r="B430" s="114">
        <v>411</v>
      </c>
      <c r="C430" s="117">
        <v>51</v>
      </c>
      <c r="D430" s="117"/>
      <c r="E430" s="117" t="s">
        <v>775</v>
      </c>
      <c r="F430" s="117" t="s">
        <v>776</v>
      </c>
      <c r="G430" s="117" t="s">
        <v>806</v>
      </c>
      <c r="H430" s="117" t="s">
        <v>451</v>
      </c>
      <c r="I430" s="121">
        <v>3</v>
      </c>
      <c r="J430" s="84">
        <v>3100</v>
      </c>
      <c r="K430" s="73">
        <v>65379</v>
      </c>
      <c r="L430" s="72">
        <v>6900</v>
      </c>
      <c r="M430" s="73">
        <v>145521</v>
      </c>
      <c r="N430" s="72">
        <v>7900</v>
      </c>
      <c r="O430" s="73">
        <v>166611</v>
      </c>
      <c r="P430" s="72">
        <v>2200</v>
      </c>
      <c r="Q430" s="73">
        <v>46398</v>
      </c>
      <c r="R430" s="72">
        <v>7000</v>
      </c>
      <c r="S430" s="73">
        <v>147630</v>
      </c>
      <c r="T430" s="72">
        <v>6000</v>
      </c>
      <c r="U430" s="73">
        <v>126540</v>
      </c>
      <c r="V430" s="72">
        <v>8000</v>
      </c>
      <c r="W430" s="73">
        <v>168720</v>
      </c>
      <c r="X430" s="72">
        <v>7500</v>
      </c>
      <c r="Y430" s="73">
        <v>158175</v>
      </c>
      <c r="Z430" s="72">
        <v>3500</v>
      </c>
      <c r="AA430" s="73">
        <v>73815</v>
      </c>
      <c r="AB430" s="72">
        <v>3600</v>
      </c>
      <c r="AC430" s="73">
        <v>75924</v>
      </c>
      <c r="AD430" s="72">
        <v>0</v>
      </c>
      <c r="AE430" s="73">
        <v>0</v>
      </c>
      <c r="AF430" s="72">
        <v>0</v>
      </c>
      <c r="AG430" s="88">
        <v>0</v>
      </c>
      <c r="AH430"/>
    </row>
    <row r="431" spans="1:34">
      <c r="B431" s="114">
        <v>412</v>
      </c>
      <c r="C431" s="117">
        <v>51</v>
      </c>
      <c r="D431" s="117"/>
      <c r="E431" s="117" t="s">
        <v>775</v>
      </c>
      <c r="F431" s="117" t="s">
        <v>776</v>
      </c>
      <c r="G431" s="117" t="s">
        <v>841</v>
      </c>
      <c r="H431" s="117" t="s">
        <v>842</v>
      </c>
      <c r="I431" s="120" t="s">
        <v>339</v>
      </c>
      <c r="J431" s="84">
        <v>0</v>
      </c>
      <c r="K431" s="73">
        <v>0</v>
      </c>
      <c r="L431" s="72">
        <v>0</v>
      </c>
      <c r="M431" s="73">
        <v>0</v>
      </c>
      <c r="N431" s="72">
        <v>0</v>
      </c>
      <c r="O431" s="73">
        <v>0</v>
      </c>
      <c r="P431" s="72">
        <v>0</v>
      </c>
      <c r="Q431" s="73">
        <v>0</v>
      </c>
      <c r="R431" s="72">
        <v>0</v>
      </c>
      <c r="S431" s="73">
        <v>0</v>
      </c>
      <c r="T431" s="72">
        <v>0</v>
      </c>
      <c r="U431" s="73">
        <v>0</v>
      </c>
      <c r="V431" s="72">
        <v>0</v>
      </c>
      <c r="W431" s="73">
        <v>0</v>
      </c>
      <c r="X431" s="72">
        <v>0</v>
      </c>
      <c r="Y431" s="73">
        <v>0</v>
      </c>
      <c r="Z431" s="72">
        <v>0</v>
      </c>
      <c r="AA431" s="73">
        <v>0</v>
      </c>
      <c r="AB431" s="72">
        <v>6</v>
      </c>
      <c r="AC431" s="73">
        <v>37.68</v>
      </c>
      <c r="AD431" s="72">
        <v>0</v>
      </c>
      <c r="AE431" s="73">
        <v>0</v>
      </c>
      <c r="AF431" s="72">
        <v>0</v>
      </c>
      <c r="AG431" s="88">
        <v>0</v>
      </c>
      <c r="AH431"/>
    </row>
    <row r="432" spans="1:34">
      <c r="B432" s="114">
        <v>413</v>
      </c>
      <c r="C432" s="117">
        <v>51</v>
      </c>
      <c r="D432" s="117"/>
      <c r="E432" s="117" t="s">
        <v>775</v>
      </c>
      <c r="F432" s="117" t="s">
        <v>776</v>
      </c>
      <c r="G432" s="117" t="s">
        <v>839</v>
      </c>
      <c r="H432" s="117" t="s">
        <v>840</v>
      </c>
      <c r="I432" s="120" t="s">
        <v>237</v>
      </c>
      <c r="J432" s="84">
        <v>0</v>
      </c>
      <c r="K432" s="73">
        <v>0</v>
      </c>
      <c r="L432" s="72">
        <v>0</v>
      </c>
      <c r="M432" s="73">
        <v>0</v>
      </c>
      <c r="N432" s="72">
        <v>0</v>
      </c>
      <c r="O432" s="73">
        <v>0</v>
      </c>
      <c r="P432" s="72">
        <v>0</v>
      </c>
      <c r="Q432" s="73">
        <v>0</v>
      </c>
      <c r="R432" s="72">
        <v>0</v>
      </c>
      <c r="S432" s="73">
        <v>0</v>
      </c>
      <c r="T432" s="72">
        <v>0</v>
      </c>
      <c r="U432" s="73">
        <v>0</v>
      </c>
      <c r="V432" s="72">
        <v>0</v>
      </c>
      <c r="W432" s="73">
        <v>0</v>
      </c>
      <c r="X432" s="72">
        <v>0</v>
      </c>
      <c r="Y432" s="73">
        <v>0</v>
      </c>
      <c r="Z432" s="72">
        <v>0</v>
      </c>
      <c r="AA432" s="73">
        <v>0</v>
      </c>
      <c r="AB432" s="72">
        <v>360</v>
      </c>
      <c r="AC432" s="73">
        <v>4777.2</v>
      </c>
      <c r="AD432" s="72">
        <v>0</v>
      </c>
      <c r="AE432" s="73">
        <v>0</v>
      </c>
      <c r="AF432" s="72">
        <v>0</v>
      </c>
      <c r="AG432" s="88">
        <v>0</v>
      </c>
      <c r="AH432"/>
    </row>
    <row r="433" spans="1:34">
      <c r="B433" s="114">
        <v>414</v>
      </c>
      <c r="C433" s="117">
        <v>51</v>
      </c>
      <c r="D433" s="117"/>
      <c r="E433" s="117" t="s">
        <v>775</v>
      </c>
      <c r="F433" s="117" t="s">
        <v>776</v>
      </c>
      <c r="G433" s="117" t="s">
        <v>789</v>
      </c>
      <c r="H433" s="117" t="s">
        <v>790</v>
      </c>
      <c r="I433" s="120" t="s">
        <v>341</v>
      </c>
      <c r="J433" s="84">
        <v>0</v>
      </c>
      <c r="K433" s="73">
        <v>0</v>
      </c>
      <c r="L433" s="72">
        <v>0</v>
      </c>
      <c r="M433" s="73">
        <v>0</v>
      </c>
      <c r="N433" s="72">
        <v>500</v>
      </c>
      <c r="O433" s="73">
        <v>7035</v>
      </c>
      <c r="P433" s="72">
        <v>0</v>
      </c>
      <c r="Q433" s="73">
        <v>0</v>
      </c>
      <c r="R433" s="72">
        <v>0</v>
      </c>
      <c r="S433" s="73">
        <v>0</v>
      </c>
      <c r="T433" s="72">
        <v>0</v>
      </c>
      <c r="U433" s="73">
        <v>0</v>
      </c>
      <c r="V433" s="72">
        <v>0</v>
      </c>
      <c r="W433" s="73">
        <v>0</v>
      </c>
      <c r="X433" s="72">
        <v>0</v>
      </c>
      <c r="Y433" s="73">
        <v>0</v>
      </c>
      <c r="Z433" s="72">
        <v>0</v>
      </c>
      <c r="AA433" s="73">
        <v>0</v>
      </c>
      <c r="AB433" s="72">
        <v>0</v>
      </c>
      <c r="AC433" s="73">
        <v>0</v>
      </c>
      <c r="AD433" s="72">
        <v>0</v>
      </c>
      <c r="AE433" s="73">
        <v>0</v>
      </c>
      <c r="AF433" s="72">
        <v>0</v>
      </c>
      <c r="AG433" s="88">
        <v>0</v>
      </c>
      <c r="AH433"/>
    </row>
    <row r="434" spans="1:34">
      <c r="B434" s="114">
        <v>415</v>
      </c>
      <c r="C434" s="117">
        <v>51</v>
      </c>
      <c r="D434" s="117"/>
      <c r="E434" s="117" t="s">
        <v>775</v>
      </c>
      <c r="F434" s="117" t="s">
        <v>776</v>
      </c>
      <c r="G434" s="117" t="s">
        <v>795</v>
      </c>
      <c r="H434" s="117" t="s">
        <v>451</v>
      </c>
      <c r="I434" s="120" t="s">
        <v>55</v>
      </c>
      <c r="J434" s="84">
        <v>15120</v>
      </c>
      <c r="K434" s="73">
        <v>301644</v>
      </c>
      <c r="L434" s="72">
        <v>24120</v>
      </c>
      <c r="M434" s="73">
        <v>481194</v>
      </c>
      <c r="N434" s="72">
        <v>19800</v>
      </c>
      <c r="O434" s="73">
        <v>395010</v>
      </c>
      <c r="P434" s="72">
        <v>15600</v>
      </c>
      <c r="Q434" s="73">
        <v>311220</v>
      </c>
      <c r="R434" s="72">
        <v>15750</v>
      </c>
      <c r="S434" s="73">
        <v>314212.5</v>
      </c>
      <c r="T434" s="72">
        <v>19350</v>
      </c>
      <c r="U434" s="73">
        <v>386032.5</v>
      </c>
      <c r="V434" s="72">
        <v>18900</v>
      </c>
      <c r="W434" s="73">
        <v>377055</v>
      </c>
      <c r="X434" s="72">
        <v>18000</v>
      </c>
      <c r="Y434" s="73">
        <v>359100</v>
      </c>
      <c r="Z434" s="72">
        <v>13050</v>
      </c>
      <c r="AA434" s="73">
        <v>260347.5</v>
      </c>
      <c r="AB434" s="72">
        <v>8280</v>
      </c>
      <c r="AC434" s="73">
        <v>165186</v>
      </c>
      <c r="AD434" s="72">
        <v>0</v>
      </c>
      <c r="AE434" s="73">
        <v>0</v>
      </c>
      <c r="AF434" s="72">
        <v>0</v>
      </c>
      <c r="AG434" s="88">
        <v>0</v>
      </c>
      <c r="AH434"/>
    </row>
    <row r="435" spans="1:34">
      <c r="B435" s="114">
        <v>416</v>
      </c>
      <c r="C435" s="117">
        <v>51</v>
      </c>
      <c r="D435" s="117"/>
      <c r="E435" s="117" t="s">
        <v>775</v>
      </c>
      <c r="F435" s="117" t="s">
        <v>776</v>
      </c>
      <c r="G435" s="117" t="s">
        <v>798</v>
      </c>
      <c r="H435" s="117" t="s">
        <v>799</v>
      </c>
      <c r="I435" s="120" t="s">
        <v>258</v>
      </c>
      <c r="J435" s="84">
        <v>1440</v>
      </c>
      <c r="K435" s="73">
        <v>62035.2</v>
      </c>
      <c r="L435" s="72">
        <v>7120</v>
      </c>
      <c r="M435" s="73">
        <v>306729.6</v>
      </c>
      <c r="N435" s="72">
        <v>5600</v>
      </c>
      <c r="O435" s="73">
        <v>241248</v>
      </c>
      <c r="P435" s="72">
        <v>4880</v>
      </c>
      <c r="Q435" s="73">
        <v>210230.4</v>
      </c>
      <c r="R435" s="72">
        <v>6400</v>
      </c>
      <c r="S435" s="73">
        <v>275712</v>
      </c>
      <c r="T435" s="72">
        <v>2800</v>
      </c>
      <c r="U435" s="73">
        <v>120624</v>
      </c>
      <c r="V435" s="72">
        <v>4800</v>
      </c>
      <c r="W435" s="73">
        <v>206784</v>
      </c>
      <c r="X435" s="72">
        <v>2400</v>
      </c>
      <c r="Y435" s="73">
        <v>103392</v>
      </c>
      <c r="Z435" s="72">
        <v>0</v>
      </c>
      <c r="AA435" s="73">
        <v>0</v>
      </c>
      <c r="AB435" s="72">
        <v>1720</v>
      </c>
      <c r="AC435" s="73">
        <v>74097.60000000001</v>
      </c>
      <c r="AD435" s="72">
        <v>0</v>
      </c>
      <c r="AE435" s="73">
        <v>0</v>
      </c>
      <c r="AF435" s="72">
        <v>0</v>
      </c>
      <c r="AG435" s="88">
        <v>0</v>
      </c>
      <c r="AH435"/>
    </row>
    <row r="436" spans="1:34">
      <c r="B436" s="114">
        <v>417</v>
      </c>
      <c r="C436" s="117">
        <v>51</v>
      </c>
      <c r="D436" s="117"/>
      <c r="E436" s="117" t="s">
        <v>775</v>
      </c>
      <c r="F436" s="117" t="s">
        <v>776</v>
      </c>
      <c r="G436" s="117" t="s">
        <v>784</v>
      </c>
      <c r="H436" s="117" t="s">
        <v>785</v>
      </c>
      <c r="I436" s="120" t="s">
        <v>237</v>
      </c>
      <c r="J436" s="84">
        <v>0</v>
      </c>
      <c r="K436" s="73">
        <v>0</v>
      </c>
      <c r="L436" s="72">
        <v>0</v>
      </c>
      <c r="M436" s="73">
        <v>0</v>
      </c>
      <c r="N436" s="72">
        <v>0</v>
      </c>
      <c r="O436" s="73">
        <v>0</v>
      </c>
      <c r="P436" s="72">
        <v>0</v>
      </c>
      <c r="Q436" s="73">
        <v>0</v>
      </c>
      <c r="R436" s="72">
        <v>0</v>
      </c>
      <c r="S436" s="73">
        <v>0</v>
      </c>
      <c r="T436" s="72">
        <v>0</v>
      </c>
      <c r="U436" s="73">
        <v>0</v>
      </c>
      <c r="V436" s="72">
        <v>0</v>
      </c>
      <c r="W436" s="73">
        <v>0</v>
      </c>
      <c r="X436" s="72">
        <v>0</v>
      </c>
      <c r="Y436" s="73">
        <v>0</v>
      </c>
      <c r="Z436" s="72">
        <v>0</v>
      </c>
      <c r="AA436" s="73">
        <v>0</v>
      </c>
      <c r="AB436" s="72">
        <v>600</v>
      </c>
      <c r="AC436" s="73">
        <v>3768</v>
      </c>
      <c r="AD436" s="72">
        <v>0</v>
      </c>
      <c r="AE436" s="73">
        <v>0</v>
      </c>
      <c r="AF436" s="72">
        <v>0</v>
      </c>
      <c r="AG436" s="88">
        <v>0</v>
      </c>
      <c r="AH436"/>
    </row>
    <row r="437" spans="1:34">
      <c r="B437" s="114">
        <v>418</v>
      </c>
      <c r="C437" s="117">
        <v>51</v>
      </c>
      <c r="D437" s="117"/>
      <c r="E437" s="117" t="s">
        <v>775</v>
      </c>
      <c r="F437" s="117" t="s">
        <v>776</v>
      </c>
      <c r="G437" s="117" t="s">
        <v>793</v>
      </c>
      <c r="H437" s="117" t="s">
        <v>794</v>
      </c>
      <c r="I437" s="120" t="s">
        <v>285</v>
      </c>
      <c r="J437" s="84">
        <v>0</v>
      </c>
      <c r="K437" s="73">
        <v>0</v>
      </c>
      <c r="L437" s="72">
        <v>540</v>
      </c>
      <c r="M437" s="73">
        <v>4622.4</v>
      </c>
      <c r="N437" s="72">
        <v>15600</v>
      </c>
      <c r="O437" s="73">
        <v>133536</v>
      </c>
      <c r="P437" s="72">
        <v>13680</v>
      </c>
      <c r="Q437" s="73">
        <v>117100.8</v>
      </c>
      <c r="R437" s="72">
        <v>12000</v>
      </c>
      <c r="S437" s="73">
        <v>102720</v>
      </c>
      <c r="T437" s="72">
        <v>14400</v>
      </c>
      <c r="U437" s="73">
        <v>123264</v>
      </c>
      <c r="V437" s="72">
        <v>16650</v>
      </c>
      <c r="W437" s="73">
        <v>142524</v>
      </c>
      <c r="X437" s="72">
        <v>14940</v>
      </c>
      <c r="Y437" s="73">
        <v>127886.4</v>
      </c>
      <c r="Z437" s="72">
        <v>11520</v>
      </c>
      <c r="AA437" s="73">
        <v>98611.2</v>
      </c>
      <c r="AB437" s="72">
        <v>5400</v>
      </c>
      <c r="AC437" s="73">
        <v>46224</v>
      </c>
      <c r="AD437" s="72">
        <v>0</v>
      </c>
      <c r="AE437" s="73">
        <v>0</v>
      </c>
      <c r="AF437" s="72">
        <v>0</v>
      </c>
      <c r="AG437" s="88">
        <v>0</v>
      </c>
      <c r="AH437"/>
    </row>
    <row r="438" spans="1:34">
      <c r="B438" s="114">
        <v>419</v>
      </c>
      <c r="C438" s="117">
        <v>51</v>
      </c>
      <c r="D438" s="117"/>
      <c r="E438" s="117" t="s">
        <v>775</v>
      </c>
      <c r="F438" s="117" t="s">
        <v>776</v>
      </c>
      <c r="G438" s="117" t="s">
        <v>825</v>
      </c>
      <c r="H438" s="117" t="s">
        <v>826</v>
      </c>
      <c r="I438" s="120" t="s">
        <v>301</v>
      </c>
      <c r="J438" s="84">
        <v>1700</v>
      </c>
      <c r="K438" s="73">
        <v>38624</v>
      </c>
      <c r="L438" s="72">
        <v>4300</v>
      </c>
      <c r="M438" s="73">
        <v>97696</v>
      </c>
      <c r="N438" s="72">
        <v>2700</v>
      </c>
      <c r="O438" s="73">
        <v>61344</v>
      </c>
      <c r="P438" s="72">
        <v>400</v>
      </c>
      <c r="Q438" s="73">
        <v>9088</v>
      </c>
      <c r="R438" s="72">
        <v>3600</v>
      </c>
      <c r="S438" s="73">
        <v>81792</v>
      </c>
      <c r="T438" s="72">
        <v>2400</v>
      </c>
      <c r="U438" s="73">
        <v>54528</v>
      </c>
      <c r="V438" s="72">
        <v>3200</v>
      </c>
      <c r="W438" s="73">
        <v>72704</v>
      </c>
      <c r="X438" s="72">
        <v>0</v>
      </c>
      <c r="Y438" s="73">
        <v>0</v>
      </c>
      <c r="Z438" s="72">
        <v>2000</v>
      </c>
      <c r="AA438" s="73">
        <v>45440</v>
      </c>
      <c r="AB438" s="72">
        <v>2700</v>
      </c>
      <c r="AC438" s="73">
        <v>61344</v>
      </c>
      <c r="AD438" s="72">
        <v>0</v>
      </c>
      <c r="AE438" s="73">
        <v>0</v>
      </c>
      <c r="AF438" s="72">
        <v>0</v>
      </c>
      <c r="AG438" s="88">
        <v>0</v>
      </c>
      <c r="AH438"/>
    </row>
    <row r="439" spans="1:34">
      <c r="B439" s="114">
        <v>420</v>
      </c>
      <c r="C439" s="117">
        <v>51</v>
      </c>
      <c r="D439" s="117"/>
      <c r="E439" s="117" t="s">
        <v>775</v>
      </c>
      <c r="F439" s="117" t="s">
        <v>776</v>
      </c>
      <c r="G439" s="117" t="s">
        <v>786</v>
      </c>
      <c r="H439" s="117" t="s">
        <v>787</v>
      </c>
      <c r="I439" s="120" t="s">
        <v>258</v>
      </c>
      <c r="J439" s="84">
        <v>2000</v>
      </c>
      <c r="K439" s="73">
        <v>4160</v>
      </c>
      <c r="L439" s="72">
        <v>6000</v>
      </c>
      <c r="M439" s="73">
        <v>12480</v>
      </c>
      <c r="N439" s="72">
        <v>9000</v>
      </c>
      <c r="O439" s="73">
        <v>18720</v>
      </c>
      <c r="P439" s="72">
        <v>10000</v>
      </c>
      <c r="Q439" s="73">
        <v>20800</v>
      </c>
      <c r="R439" s="72">
        <v>7000</v>
      </c>
      <c r="S439" s="73">
        <v>14560</v>
      </c>
      <c r="T439" s="72">
        <v>0</v>
      </c>
      <c r="U439" s="73">
        <v>0</v>
      </c>
      <c r="V439" s="72">
        <v>8000</v>
      </c>
      <c r="W439" s="73">
        <v>16640</v>
      </c>
      <c r="X439" s="72">
        <v>5000</v>
      </c>
      <c r="Y439" s="73">
        <v>10400</v>
      </c>
      <c r="Z439" s="72">
        <v>4000</v>
      </c>
      <c r="AA439" s="73">
        <v>8320</v>
      </c>
      <c r="AB439" s="72">
        <v>4000</v>
      </c>
      <c r="AC439" s="73">
        <v>8320</v>
      </c>
      <c r="AD439" s="72">
        <v>0</v>
      </c>
      <c r="AE439" s="73">
        <v>0</v>
      </c>
      <c r="AF439" s="72">
        <v>0</v>
      </c>
      <c r="AG439" s="88">
        <v>0</v>
      </c>
      <c r="AH439"/>
    </row>
    <row r="440" spans="1:34">
      <c r="B440" s="114">
        <v>421</v>
      </c>
      <c r="C440" s="117">
        <v>51</v>
      </c>
      <c r="D440" s="117"/>
      <c r="E440" s="117" t="s">
        <v>775</v>
      </c>
      <c r="F440" s="117" t="s">
        <v>776</v>
      </c>
      <c r="G440" s="117" t="s">
        <v>788</v>
      </c>
      <c r="H440" s="117" t="s">
        <v>87</v>
      </c>
      <c r="I440" s="121" t="s">
        <v>209</v>
      </c>
      <c r="J440" s="84">
        <v>2700</v>
      </c>
      <c r="K440" s="73">
        <v>53838</v>
      </c>
      <c r="L440" s="72">
        <v>6120</v>
      </c>
      <c r="M440" s="73">
        <v>122032.8</v>
      </c>
      <c r="N440" s="72">
        <v>9120</v>
      </c>
      <c r="O440" s="73">
        <v>181852.8</v>
      </c>
      <c r="P440" s="72">
        <v>4580</v>
      </c>
      <c r="Q440" s="73">
        <v>91325.2</v>
      </c>
      <c r="R440" s="72">
        <v>4800</v>
      </c>
      <c r="S440" s="73">
        <v>95712</v>
      </c>
      <c r="T440" s="72">
        <v>7200</v>
      </c>
      <c r="U440" s="73">
        <v>143568</v>
      </c>
      <c r="V440" s="72">
        <v>7200</v>
      </c>
      <c r="W440" s="73">
        <v>143568</v>
      </c>
      <c r="X440" s="72">
        <v>7200</v>
      </c>
      <c r="Y440" s="73">
        <v>143568</v>
      </c>
      <c r="Z440" s="72">
        <v>4200</v>
      </c>
      <c r="AA440" s="73">
        <v>83748</v>
      </c>
      <c r="AB440" s="72">
        <v>3660</v>
      </c>
      <c r="AC440" s="73">
        <v>72980.39999999999</v>
      </c>
      <c r="AD440" s="72">
        <v>0</v>
      </c>
      <c r="AE440" s="73">
        <v>0</v>
      </c>
      <c r="AF440" s="72">
        <v>0</v>
      </c>
      <c r="AG440" s="88">
        <v>0</v>
      </c>
      <c r="AH440"/>
    </row>
    <row r="441" spans="1:34">
      <c r="B441" s="114">
        <v>422</v>
      </c>
      <c r="C441" s="117">
        <v>51</v>
      </c>
      <c r="D441" s="117"/>
      <c r="E441" s="117" t="s">
        <v>775</v>
      </c>
      <c r="F441" s="117" t="s">
        <v>776</v>
      </c>
      <c r="G441" s="117" t="s">
        <v>807</v>
      </c>
      <c r="H441" s="117" t="s">
        <v>808</v>
      </c>
      <c r="I441" s="120" t="s">
        <v>339</v>
      </c>
      <c r="J441" s="84">
        <v>0</v>
      </c>
      <c r="K441" s="73">
        <v>0</v>
      </c>
      <c r="L441" s="72">
        <v>0</v>
      </c>
      <c r="M441" s="73">
        <v>0</v>
      </c>
      <c r="N441" s="72">
        <v>0</v>
      </c>
      <c r="O441" s="73">
        <v>0</v>
      </c>
      <c r="P441" s="72">
        <v>0</v>
      </c>
      <c r="Q441" s="73">
        <v>0</v>
      </c>
      <c r="R441" s="72">
        <v>0</v>
      </c>
      <c r="S441" s="73">
        <v>0</v>
      </c>
      <c r="T441" s="72">
        <v>0</v>
      </c>
      <c r="U441" s="73">
        <v>0</v>
      </c>
      <c r="V441" s="72">
        <v>0</v>
      </c>
      <c r="W441" s="73">
        <v>0</v>
      </c>
      <c r="X441" s="72">
        <v>0</v>
      </c>
      <c r="Y441" s="73">
        <v>0</v>
      </c>
      <c r="Z441" s="72">
        <v>0</v>
      </c>
      <c r="AA441" s="73">
        <v>0</v>
      </c>
      <c r="AB441" s="72">
        <v>3</v>
      </c>
      <c r="AC441" s="73">
        <v>54.09</v>
      </c>
      <c r="AD441" s="72">
        <v>0</v>
      </c>
      <c r="AE441" s="73">
        <v>0</v>
      </c>
      <c r="AF441" s="72">
        <v>0</v>
      </c>
      <c r="AG441" s="88">
        <v>0</v>
      </c>
      <c r="AH441"/>
    </row>
    <row r="442" spans="1:34">
      <c r="B442" s="114">
        <v>423</v>
      </c>
      <c r="C442" s="117">
        <v>51</v>
      </c>
      <c r="D442" s="117"/>
      <c r="E442" s="117" t="s">
        <v>775</v>
      </c>
      <c r="F442" s="117" t="s">
        <v>776</v>
      </c>
      <c r="G442" s="117" t="s">
        <v>827</v>
      </c>
      <c r="H442" s="117" t="s">
        <v>828</v>
      </c>
      <c r="I442" s="120" t="s">
        <v>548</v>
      </c>
      <c r="J442" s="84">
        <v>512</v>
      </c>
      <c r="K442" s="73">
        <v>41932.8</v>
      </c>
      <c r="L442" s="72">
        <v>864</v>
      </c>
      <c r="M442" s="73">
        <v>70761.60000000001</v>
      </c>
      <c r="N442" s="72">
        <v>1216</v>
      </c>
      <c r="O442" s="73">
        <v>99590.39999999999</v>
      </c>
      <c r="P442" s="72">
        <v>616</v>
      </c>
      <c r="Q442" s="73">
        <v>50450.4</v>
      </c>
      <c r="R442" s="72">
        <v>1080</v>
      </c>
      <c r="S442" s="73">
        <v>88452</v>
      </c>
      <c r="T442" s="72">
        <v>856</v>
      </c>
      <c r="U442" s="73">
        <v>70106.39999999999</v>
      </c>
      <c r="V442" s="72">
        <v>776</v>
      </c>
      <c r="W442" s="73">
        <v>63554.4</v>
      </c>
      <c r="X442" s="72">
        <v>944</v>
      </c>
      <c r="Y442" s="73">
        <v>77313.60000000001</v>
      </c>
      <c r="Z442" s="72">
        <v>352</v>
      </c>
      <c r="AA442" s="73">
        <v>28828.8</v>
      </c>
      <c r="AB442" s="72">
        <v>360</v>
      </c>
      <c r="AC442" s="73">
        <v>29484</v>
      </c>
      <c r="AD442" s="72">
        <v>0</v>
      </c>
      <c r="AE442" s="73">
        <v>0</v>
      </c>
      <c r="AF442" s="72">
        <v>0</v>
      </c>
      <c r="AG442" s="88">
        <v>0</v>
      </c>
      <c r="AH442"/>
    </row>
    <row r="443" spans="1:34">
      <c r="B443" s="114">
        <v>424</v>
      </c>
      <c r="C443" s="117">
        <v>51</v>
      </c>
      <c r="D443" s="117"/>
      <c r="E443" s="117" t="s">
        <v>775</v>
      </c>
      <c r="F443" s="117" t="s">
        <v>776</v>
      </c>
      <c r="G443" s="117" t="s">
        <v>800</v>
      </c>
      <c r="H443" s="117" t="s">
        <v>801</v>
      </c>
      <c r="I443" s="120" t="s">
        <v>802</v>
      </c>
      <c r="J443" s="84">
        <v>1200</v>
      </c>
      <c r="K443" s="73">
        <v>3828</v>
      </c>
      <c r="L443" s="72">
        <v>2400</v>
      </c>
      <c r="M443" s="73">
        <v>7656</v>
      </c>
      <c r="N443" s="72">
        <v>3000</v>
      </c>
      <c r="O443" s="73">
        <v>9570</v>
      </c>
      <c r="P443" s="72">
        <v>0</v>
      </c>
      <c r="Q443" s="73">
        <v>0</v>
      </c>
      <c r="R443" s="72">
        <v>1200</v>
      </c>
      <c r="S443" s="73">
        <v>3828</v>
      </c>
      <c r="T443" s="72">
        <v>0</v>
      </c>
      <c r="U443" s="73">
        <v>0</v>
      </c>
      <c r="V443" s="72">
        <v>0</v>
      </c>
      <c r="W443" s="73">
        <v>0</v>
      </c>
      <c r="X443" s="72">
        <v>1200</v>
      </c>
      <c r="Y443" s="73">
        <v>3828</v>
      </c>
      <c r="Z443" s="72">
        <v>0</v>
      </c>
      <c r="AA443" s="73">
        <v>0</v>
      </c>
      <c r="AB443" s="72">
        <v>1200</v>
      </c>
      <c r="AC443" s="73">
        <v>3828</v>
      </c>
      <c r="AD443" s="72">
        <v>0</v>
      </c>
      <c r="AE443" s="73">
        <v>0</v>
      </c>
      <c r="AF443" s="72">
        <v>0</v>
      </c>
      <c r="AG443" s="88">
        <v>0</v>
      </c>
      <c r="AH443"/>
    </row>
    <row r="444" spans="1:34">
      <c r="B444" s="114">
        <v>425</v>
      </c>
      <c r="C444" s="117">
        <v>51</v>
      </c>
      <c r="D444" s="117"/>
      <c r="E444" s="117" t="s">
        <v>775</v>
      </c>
      <c r="F444" s="117" t="s">
        <v>776</v>
      </c>
      <c r="G444" s="117" t="s">
        <v>810</v>
      </c>
      <c r="H444" s="117" t="s">
        <v>451</v>
      </c>
      <c r="I444" s="120" t="s">
        <v>811</v>
      </c>
      <c r="J444" s="84">
        <v>5400</v>
      </c>
      <c r="K444" s="73">
        <v>94662</v>
      </c>
      <c r="L444" s="72">
        <v>4560</v>
      </c>
      <c r="M444" s="73">
        <v>79936.8</v>
      </c>
      <c r="N444" s="72">
        <v>5680</v>
      </c>
      <c r="O444" s="73">
        <v>99570.39999999999</v>
      </c>
      <c r="P444" s="72">
        <v>4980</v>
      </c>
      <c r="Q444" s="73">
        <v>87299.39999999999</v>
      </c>
      <c r="R444" s="72">
        <v>5100</v>
      </c>
      <c r="S444" s="73">
        <v>89403</v>
      </c>
      <c r="T444" s="72">
        <v>1200</v>
      </c>
      <c r="U444" s="73">
        <v>21036</v>
      </c>
      <c r="V444" s="72">
        <v>7800</v>
      </c>
      <c r="W444" s="73">
        <v>136734</v>
      </c>
      <c r="X444" s="72">
        <v>7200</v>
      </c>
      <c r="Y444" s="73">
        <v>126216</v>
      </c>
      <c r="Z444" s="72">
        <v>6360</v>
      </c>
      <c r="AA444" s="73">
        <v>111490.8</v>
      </c>
      <c r="AB444" s="72">
        <v>3420</v>
      </c>
      <c r="AC444" s="73">
        <v>59952.6</v>
      </c>
      <c r="AD444" s="72">
        <v>0</v>
      </c>
      <c r="AE444" s="73">
        <v>0</v>
      </c>
      <c r="AF444" s="72">
        <v>0</v>
      </c>
      <c r="AG444" s="88">
        <v>0</v>
      </c>
      <c r="AH444"/>
    </row>
    <row r="445" spans="1:34">
      <c r="B445" s="114">
        <v>426</v>
      </c>
      <c r="C445" s="117">
        <v>51</v>
      </c>
      <c r="D445" s="117"/>
      <c r="E445" s="117" t="s">
        <v>844</v>
      </c>
      <c r="F445" s="117" t="s">
        <v>845</v>
      </c>
      <c r="G445" s="117" t="s">
        <v>846</v>
      </c>
      <c r="H445" s="117" t="s">
        <v>847</v>
      </c>
      <c r="I445" s="120" t="s">
        <v>240</v>
      </c>
      <c r="J445" s="84">
        <v>3600</v>
      </c>
      <c r="K445" s="73">
        <v>93132</v>
      </c>
      <c r="L445" s="72">
        <v>9600</v>
      </c>
      <c r="M445" s="73">
        <v>248352</v>
      </c>
      <c r="N445" s="72">
        <v>6000</v>
      </c>
      <c r="O445" s="73">
        <v>155220</v>
      </c>
      <c r="P445" s="72">
        <v>7500</v>
      </c>
      <c r="Q445" s="73">
        <v>188025</v>
      </c>
      <c r="R445" s="72">
        <v>8760</v>
      </c>
      <c r="S445" s="73">
        <v>219613.2</v>
      </c>
      <c r="T445" s="72">
        <v>4800</v>
      </c>
      <c r="U445" s="73">
        <v>120336</v>
      </c>
      <c r="V445" s="72">
        <v>7200</v>
      </c>
      <c r="W445" s="73">
        <v>180504</v>
      </c>
      <c r="X445" s="72">
        <v>3600</v>
      </c>
      <c r="Y445" s="73">
        <v>90252</v>
      </c>
      <c r="Z445" s="72">
        <v>7200</v>
      </c>
      <c r="AA445" s="73">
        <v>180504</v>
      </c>
      <c r="AB445" s="72">
        <v>1200</v>
      </c>
      <c r="AC445" s="73">
        <v>30084</v>
      </c>
      <c r="AD445" s="72">
        <v>0</v>
      </c>
      <c r="AE445" s="73">
        <v>0</v>
      </c>
      <c r="AF445" s="72">
        <v>0</v>
      </c>
      <c r="AG445" s="88">
        <v>0</v>
      </c>
      <c r="AH445"/>
    </row>
    <row r="446" spans="1:34">
      <c r="B446" s="114">
        <v>427</v>
      </c>
      <c r="C446" s="117">
        <v>51</v>
      </c>
      <c r="D446" s="117"/>
      <c r="E446" s="117" t="s">
        <v>844</v>
      </c>
      <c r="F446" s="117" t="s">
        <v>845</v>
      </c>
      <c r="G446" s="117" t="s">
        <v>850</v>
      </c>
      <c r="H446" s="117" t="s">
        <v>851</v>
      </c>
      <c r="I446" s="121">
        <v>3</v>
      </c>
      <c r="J446" s="84">
        <v>0</v>
      </c>
      <c r="K446" s="73">
        <v>0</v>
      </c>
      <c r="L446" s="72">
        <v>300</v>
      </c>
      <c r="M446" s="73">
        <v>7014</v>
      </c>
      <c r="N446" s="72">
        <v>0</v>
      </c>
      <c r="O446" s="73">
        <v>0</v>
      </c>
      <c r="P446" s="72">
        <v>500</v>
      </c>
      <c r="Q446" s="73">
        <v>11460</v>
      </c>
      <c r="R446" s="72">
        <v>1000</v>
      </c>
      <c r="S446" s="73">
        <v>22920</v>
      </c>
      <c r="T446" s="72">
        <v>0</v>
      </c>
      <c r="U446" s="73">
        <v>0</v>
      </c>
      <c r="V446" s="72">
        <v>600</v>
      </c>
      <c r="W446" s="73">
        <v>13356</v>
      </c>
      <c r="X446" s="72">
        <v>0</v>
      </c>
      <c r="Y446" s="73">
        <v>0</v>
      </c>
      <c r="Z446" s="72">
        <v>0</v>
      </c>
      <c r="AA446" s="73">
        <v>0</v>
      </c>
      <c r="AB446" s="72">
        <v>100</v>
      </c>
      <c r="AC446" s="73">
        <v>2226</v>
      </c>
      <c r="AD446" s="72">
        <v>0</v>
      </c>
      <c r="AE446" s="73">
        <v>0</v>
      </c>
      <c r="AF446" s="72">
        <v>0</v>
      </c>
      <c r="AG446" s="88">
        <v>0</v>
      </c>
      <c r="AH446"/>
    </row>
    <row r="447" spans="1:34">
      <c r="B447" s="114">
        <v>428</v>
      </c>
      <c r="C447" s="117">
        <v>51</v>
      </c>
      <c r="D447" s="117"/>
      <c r="E447" s="117" t="s">
        <v>844</v>
      </c>
      <c r="F447" s="117" t="s">
        <v>845</v>
      </c>
      <c r="G447" s="117" t="s">
        <v>848</v>
      </c>
      <c r="H447" s="117" t="s">
        <v>849</v>
      </c>
      <c r="I447" s="120" t="s">
        <v>517</v>
      </c>
      <c r="J447" s="84">
        <v>21600</v>
      </c>
      <c r="K447" s="73">
        <v>572616</v>
      </c>
      <c r="L447" s="72">
        <v>26400</v>
      </c>
      <c r="M447" s="73">
        <v>699864</v>
      </c>
      <c r="N447" s="72">
        <v>27600</v>
      </c>
      <c r="O447" s="73">
        <v>729684</v>
      </c>
      <c r="P447" s="72">
        <v>20400</v>
      </c>
      <c r="Q447" s="73">
        <v>523872</v>
      </c>
      <c r="R447" s="72">
        <v>34800</v>
      </c>
      <c r="S447" s="73">
        <v>893664</v>
      </c>
      <c r="T447" s="72">
        <v>27900</v>
      </c>
      <c r="U447" s="73">
        <v>716472</v>
      </c>
      <c r="V447" s="72">
        <v>30000</v>
      </c>
      <c r="W447" s="73">
        <v>770400</v>
      </c>
      <c r="X447" s="72">
        <v>31200</v>
      </c>
      <c r="Y447" s="73">
        <v>801216</v>
      </c>
      <c r="Z447" s="72">
        <v>13200</v>
      </c>
      <c r="AA447" s="73">
        <v>338976</v>
      </c>
      <c r="AB447" s="72">
        <v>14400</v>
      </c>
      <c r="AC447" s="73">
        <v>369792</v>
      </c>
      <c r="AD447" s="72">
        <v>0</v>
      </c>
      <c r="AE447" s="73">
        <v>0</v>
      </c>
      <c r="AF447" s="72">
        <v>0</v>
      </c>
      <c r="AG447" s="88">
        <v>0</v>
      </c>
      <c r="AH447"/>
    </row>
    <row r="448" spans="1:34">
      <c r="B448" s="114">
        <v>429</v>
      </c>
      <c r="C448" s="117">
        <v>51</v>
      </c>
      <c r="D448" s="117"/>
      <c r="E448" s="117" t="s">
        <v>852</v>
      </c>
      <c r="F448" s="117" t="s">
        <v>853</v>
      </c>
      <c r="G448" s="117" t="s">
        <v>859</v>
      </c>
      <c r="H448" s="117" t="s">
        <v>336</v>
      </c>
      <c r="I448" s="120" t="s">
        <v>857</v>
      </c>
      <c r="J448" s="84">
        <v>3600</v>
      </c>
      <c r="K448" s="73">
        <v>65952</v>
      </c>
      <c r="L448" s="72">
        <v>6600</v>
      </c>
      <c r="M448" s="73">
        <v>120912</v>
      </c>
      <c r="N448" s="72">
        <v>6000</v>
      </c>
      <c r="O448" s="73">
        <v>109920</v>
      </c>
      <c r="P448" s="72">
        <v>4800</v>
      </c>
      <c r="Q448" s="73">
        <v>87936</v>
      </c>
      <c r="R448" s="72">
        <v>7200</v>
      </c>
      <c r="S448" s="73">
        <v>131904</v>
      </c>
      <c r="T448" s="72">
        <v>6600</v>
      </c>
      <c r="U448" s="73">
        <v>120912</v>
      </c>
      <c r="V448" s="72">
        <v>6000</v>
      </c>
      <c r="W448" s="73">
        <v>109920</v>
      </c>
      <c r="X448" s="72">
        <v>6600</v>
      </c>
      <c r="Y448" s="73">
        <v>120912</v>
      </c>
      <c r="Z448" s="72">
        <v>6000</v>
      </c>
      <c r="AA448" s="73">
        <v>109920</v>
      </c>
      <c r="AB448" s="72">
        <v>4200</v>
      </c>
      <c r="AC448" s="73">
        <v>76944</v>
      </c>
      <c r="AD448" s="72">
        <v>0</v>
      </c>
      <c r="AE448" s="73">
        <v>0</v>
      </c>
      <c r="AF448" s="72">
        <v>0</v>
      </c>
      <c r="AG448" s="88">
        <v>0</v>
      </c>
      <c r="AH448"/>
    </row>
    <row r="449" spans="1:34">
      <c r="B449" s="114">
        <v>430</v>
      </c>
      <c r="C449" s="117">
        <v>51</v>
      </c>
      <c r="D449" s="117"/>
      <c r="E449" s="117" t="s">
        <v>852</v>
      </c>
      <c r="F449" s="117" t="s">
        <v>853</v>
      </c>
      <c r="G449" s="117" t="s">
        <v>856</v>
      </c>
      <c r="H449" s="117" t="s">
        <v>257</v>
      </c>
      <c r="I449" s="120" t="s">
        <v>857</v>
      </c>
      <c r="J449" s="84">
        <v>14400</v>
      </c>
      <c r="K449" s="73">
        <v>291600</v>
      </c>
      <c r="L449" s="72">
        <v>21600</v>
      </c>
      <c r="M449" s="73">
        <v>437400</v>
      </c>
      <c r="N449" s="72">
        <v>19200</v>
      </c>
      <c r="O449" s="73">
        <v>388800</v>
      </c>
      <c r="P449" s="72">
        <v>0</v>
      </c>
      <c r="Q449" s="73">
        <v>0</v>
      </c>
      <c r="R449" s="72">
        <v>0</v>
      </c>
      <c r="S449" s="73">
        <v>0</v>
      </c>
      <c r="T449" s="72">
        <v>0</v>
      </c>
      <c r="U449" s="73">
        <v>0</v>
      </c>
      <c r="V449" s="72">
        <v>0</v>
      </c>
      <c r="W449" s="73">
        <v>0</v>
      </c>
      <c r="X449" s="72">
        <v>0</v>
      </c>
      <c r="Y449" s="73">
        <v>0</v>
      </c>
      <c r="Z449" s="72">
        <v>0</v>
      </c>
      <c r="AA449" s="73">
        <v>0</v>
      </c>
      <c r="AB449" s="72">
        <v>0</v>
      </c>
      <c r="AC449" s="73">
        <v>0</v>
      </c>
      <c r="AD449" s="72">
        <v>0</v>
      </c>
      <c r="AE449" s="73">
        <v>0</v>
      </c>
      <c r="AF449" s="72">
        <v>0</v>
      </c>
      <c r="AG449" s="88">
        <v>0</v>
      </c>
      <c r="AH449"/>
    </row>
    <row r="450" spans="1:34">
      <c r="B450" s="114">
        <v>431</v>
      </c>
      <c r="C450" s="117">
        <v>51</v>
      </c>
      <c r="D450" s="117"/>
      <c r="E450" s="117" t="s">
        <v>852</v>
      </c>
      <c r="F450" s="117" t="s">
        <v>853</v>
      </c>
      <c r="G450" s="117" t="s">
        <v>858</v>
      </c>
      <c r="H450" s="117" t="s">
        <v>336</v>
      </c>
      <c r="I450" s="120" t="s">
        <v>857</v>
      </c>
      <c r="J450" s="84">
        <v>0</v>
      </c>
      <c r="K450" s="73">
        <v>0</v>
      </c>
      <c r="L450" s="72">
        <v>0</v>
      </c>
      <c r="M450" s="73">
        <v>0</v>
      </c>
      <c r="N450" s="72">
        <v>0</v>
      </c>
      <c r="O450" s="73">
        <v>0</v>
      </c>
      <c r="P450" s="72">
        <v>0</v>
      </c>
      <c r="Q450" s="73">
        <v>0</v>
      </c>
      <c r="R450" s="72">
        <v>0</v>
      </c>
      <c r="S450" s="73">
        <v>0</v>
      </c>
      <c r="T450" s="72">
        <v>1</v>
      </c>
      <c r="U450" s="73">
        <v>110</v>
      </c>
      <c r="V450" s="72">
        <v>0</v>
      </c>
      <c r="W450" s="73">
        <v>0</v>
      </c>
      <c r="X450" s="72">
        <v>0</v>
      </c>
      <c r="Y450" s="73">
        <v>0</v>
      </c>
      <c r="Z450" s="72">
        <v>0</v>
      </c>
      <c r="AA450" s="73">
        <v>0</v>
      </c>
      <c r="AB450" s="72">
        <v>0</v>
      </c>
      <c r="AC450" s="73">
        <v>0</v>
      </c>
      <c r="AD450" s="72">
        <v>0</v>
      </c>
      <c r="AE450" s="73">
        <v>0</v>
      </c>
      <c r="AF450" s="72">
        <v>0</v>
      </c>
      <c r="AG450" s="88">
        <v>0</v>
      </c>
      <c r="AH450"/>
    </row>
    <row r="451" spans="1:34">
      <c r="B451" s="114">
        <v>432</v>
      </c>
      <c r="C451" s="117">
        <v>51</v>
      </c>
      <c r="D451" s="117"/>
      <c r="E451" s="117" t="s">
        <v>852</v>
      </c>
      <c r="F451" s="117" t="s">
        <v>853</v>
      </c>
      <c r="G451" s="117" t="s">
        <v>860</v>
      </c>
      <c r="H451" s="117" t="s">
        <v>336</v>
      </c>
      <c r="I451" s="120" t="s">
        <v>861</v>
      </c>
      <c r="J451" s="84">
        <v>1800</v>
      </c>
      <c r="K451" s="73">
        <v>32976</v>
      </c>
      <c r="L451" s="72">
        <v>4200</v>
      </c>
      <c r="M451" s="73">
        <v>76944</v>
      </c>
      <c r="N451" s="72">
        <v>1200</v>
      </c>
      <c r="O451" s="73">
        <v>21984</v>
      </c>
      <c r="P451" s="72">
        <v>2400</v>
      </c>
      <c r="Q451" s="73">
        <v>43968</v>
      </c>
      <c r="R451" s="72">
        <v>3600</v>
      </c>
      <c r="S451" s="73">
        <v>65952</v>
      </c>
      <c r="T451" s="72">
        <v>2400</v>
      </c>
      <c r="U451" s="73">
        <v>43968</v>
      </c>
      <c r="V451" s="72">
        <v>0</v>
      </c>
      <c r="W451" s="73">
        <v>0</v>
      </c>
      <c r="X451" s="72">
        <v>0</v>
      </c>
      <c r="Y451" s="73">
        <v>0</v>
      </c>
      <c r="Z451" s="72">
        <v>4200</v>
      </c>
      <c r="AA451" s="73">
        <v>76944</v>
      </c>
      <c r="AB451" s="72">
        <v>3000</v>
      </c>
      <c r="AC451" s="73">
        <v>55530</v>
      </c>
      <c r="AD451" s="72">
        <v>0</v>
      </c>
      <c r="AE451" s="73">
        <v>0</v>
      </c>
      <c r="AF451" s="72">
        <v>0</v>
      </c>
      <c r="AG451" s="88">
        <v>0</v>
      </c>
      <c r="AH451"/>
    </row>
    <row r="452" spans="1:34">
      <c r="B452" s="114">
        <v>433</v>
      </c>
      <c r="C452" s="117">
        <v>51</v>
      </c>
      <c r="D452" s="117"/>
      <c r="E452" s="117" t="s">
        <v>862</v>
      </c>
      <c r="F452" s="117" t="s">
        <v>863</v>
      </c>
      <c r="G452" s="117" t="s">
        <v>864</v>
      </c>
      <c r="H452" s="117" t="s">
        <v>865</v>
      </c>
      <c r="I452" s="120" t="s">
        <v>225</v>
      </c>
      <c r="J452" s="84">
        <v>14000</v>
      </c>
      <c r="K452" s="73">
        <v>10640</v>
      </c>
      <c r="L452" s="72">
        <v>15000</v>
      </c>
      <c r="M452" s="73">
        <v>11400</v>
      </c>
      <c r="N452" s="72">
        <v>10000</v>
      </c>
      <c r="O452" s="73">
        <v>7600</v>
      </c>
      <c r="P452" s="72">
        <v>10000</v>
      </c>
      <c r="Q452" s="73">
        <v>7600</v>
      </c>
      <c r="R452" s="72">
        <v>10000</v>
      </c>
      <c r="S452" s="73">
        <v>7600</v>
      </c>
      <c r="T452" s="72">
        <v>20000</v>
      </c>
      <c r="U452" s="73">
        <v>15200</v>
      </c>
      <c r="V452" s="72">
        <v>20000</v>
      </c>
      <c r="W452" s="73">
        <v>15200</v>
      </c>
      <c r="X452" s="72">
        <v>20000</v>
      </c>
      <c r="Y452" s="73">
        <v>15200</v>
      </c>
      <c r="Z452" s="72">
        <v>10000</v>
      </c>
      <c r="AA452" s="73">
        <v>7600</v>
      </c>
      <c r="AB452" s="72">
        <v>0</v>
      </c>
      <c r="AC452" s="73">
        <v>0</v>
      </c>
      <c r="AD452" s="72">
        <v>0</v>
      </c>
      <c r="AE452" s="73">
        <v>0</v>
      </c>
      <c r="AF452" s="72">
        <v>0</v>
      </c>
      <c r="AG452" s="88">
        <v>0</v>
      </c>
      <c r="AH452"/>
    </row>
    <row r="453" spans="1:34">
      <c r="B453" s="114">
        <v>434</v>
      </c>
      <c r="C453" s="117">
        <v>51</v>
      </c>
      <c r="D453" s="117"/>
      <c r="E453" s="117" t="s">
        <v>866</v>
      </c>
      <c r="F453" s="117" t="s">
        <v>867</v>
      </c>
      <c r="G453" s="117" t="s">
        <v>873</v>
      </c>
      <c r="H453" s="117" t="s">
        <v>874</v>
      </c>
      <c r="I453" s="121" t="s">
        <v>209</v>
      </c>
      <c r="J453" s="84">
        <v>0</v>
      </c>
      <c r="K453" s="73">
        <v>0</v>
      </c>
      <c r="L453" s="72">
        <v>0</v>
      </c>
      <c r="M453" s="73">
        <v>0</v>
      </c>
      <c r="N453" s="72">
        <v>0</v>
      </c>
      <c r="O453" s="73">
        <v>0</v>
      </c>
      <c r="P453" s="72">
        <v>0</v>
      </c>
      <c r="Q453" s="73">
        <v>0</v>
      </c>
      <c r="R453" s="72">
        <v>0</v>
      </c>
      <c r="S453" s="73">
        <v>0</v>
      </c>
      <c r="T453" s="72">
        <v>0</v>
      </c>
      <c r="U453" s="73">
        <v>0</v>
      </c>
      <c r="V453" s="72">
        <v>0</v>
      </c>
      <c r="W453" s="73">
        <v>0</v>
      </c>
      <c r="X453" s="72">
        <v>0</v>
      </c>
      <c r="Y453" s="73">
        <v>0</v>
      </c>
      <c r="Z453" s="72">
        <v>0</v>
      </c>
      <c r="AA453" s="73">
        <v>0</v>
      </c>
      <c r="AB453" s="72">
        <v>300</v>
      </c>
      <c r="AC453" s="73">
        <v>4089</v>
      </c>
      <c r="AD453" s="72">
        <v>0</v>
      </c>
      <c r="AE453" s="73">
        <v>0</v>
      </c>
      <c r="AF453" s="72">
        <v>0</v>
      </c>
      <c r="AG453" s="88">
        <v>0</v>
      </c>
      <c r="AH453"/>
    </row>
    <row r="454" spans="1:34">
      <c r="B454" s="114">
        <v>435</v>
      </c>
      <c r="C454" s="117">
        <v>51</v>
      </c>
      <c r="D454" s="117"/>
      <c r="E454" s="117" t="s">
        <v>866</v>
      </c>
      <c r="F454" s="117" t="s">
        <v>867</v>
      </c>
      <c r="G454" s="117" t="s">
        <v>870</v>
      </c>
      <c r="H454" s="117" t="s">
        <v>869</v>
      </c>
      <c r="I454" s="120" t="s">
        <v>351</v>
      </c>
      <c r="J454" s="84">
        <v>43800</v>
      </c>
      <c r="K454" s="73">
        <v>106872</v>
      </c>
      <c r="L454" s="72">
        <v>49200</v>
      </c>
      <c r="M454" s="73">
        <v>120048</v>
      </c>
      <c r="N454" s="72">
        <v>51000</v>
      </c>
      <c r="O454" s="73">
        <v>121380</v>
      </c>
      <c r="P454" s="72">
        <v>42000</v>
      </c>
      <c r="Q454" s="73">
        <v>99960</v>
      </c>
      <c r="R454" s="72">
        <v>33000</v>
      </c>
      <c r="S454" s="73">
        <v>78540</v>
      </c>
      <c r="T454" s="72">
        <v>48000</v>
      </c>
      <c r="U454" s="73">
        <v>114240</v>
      </c>
      <c r="V454" s="72">
        <v>45600</v>
      </c>
      <c r="W454" s="73">
        <v>108528</v>
      </c>
      <c r="X454" s="72">
        <v>51600</v>
      </c>
      <c r="Y454" s="73">
        <v>122808</v>
      </c>
      <c r="Z454" s="72">
        <v>31200</v>
      </c>
      <c r="AA454" s="73">
        <v>73932</v>
      </c>
      <c r="AB454" s="72">
        <v>21600</v>
      </c>
      <c r="AC454" s="73">
        <v>50760</v>
      </c>
      <c r="AD454" s="72">
        <v>0</v>
      </c>
      <c r="AE454" s="73">
        <v>0</v>
      </c>
      <c r="AF454" s="72">
        <v>0</v>
      </c>
      <c r="AG454" s="88">
        <v>0</v>
      </c>
      <c r="AH454"/>
    </row>
    <row r="455" spans="1:34">
      <c r="B455" s="114">
        <v>436</v>
      </c>
      <c r="C455" s="117">
        <v>51</v>
      </c>
      <c r="D455" s="117"/>
      <c r="E455" s="117" t="s">
        <v>866</v>
      </c>
      <c r="F455" s="117" t="s">
        <v>867</v>
      </c>
      <c r="G455" s="117" t="s">
        <v>875</v>
      </c>
      <c r="H455" s="117" t="s">
        <v>869</v>
      </c>
      <c r="I455" s="120" t="s">
        <v>351</v>
      </c>
      <c r="J455" s="84">
        <v>0</v>
      </c>
      <c r="K455" s="73">
        <v>0</v>
      </c>
      <c r="L455" s="72">
        <v>1200</v>
      </c>
      <c r="M455" s="73">
        <v>1032</v>
      </c>
      <c r="N455" s="72">
        <v>63600</v>
      </c>
      <c r="O455" s="73">
        <v>54696</v>
      </c>
      <c r="P455" s="72">
        <v>60000</v>
      </c>
      <c r="Q455" s="73">
        <v>51600</v>
      </c>
      <c r="R455" s="72">
        <v>42000</v>
      </c>
      <c r="S455" s="73">
        <v>36120</v>
      </c>
      <c r="T455" s="72">
        <v>57600</v>
      </c>
      <c r="U455" s="73">
        <v>49536</v>
      </c>
      <c r="V455" s="72">
        <v>66000</v>
      </c>
      <c r="W455" s="73">
        <v>56760</v>
      </c>
      <c r="X455" s="72">
        <v>64800</v>
      </c>
      <c r="Y455" s="73">
        <v>55728</v>
      </c>
      <c r="Z455" s="72">
        <v>44400</v>
      </c>
      <c r="AA455" s="73">
        <v>38028</v>
      </c>
      <c r="AB455" s="72">
        <v>30000</v>
      </c>
      <c r="AC455" s="73">
        <v>25500</v>
      </c>
      <c r="AD455" s="72">
        <v>0</v>
      </c>
      <c r="AE455" s="73">
        <v>0</v>
      </c>
      <c r="AF455" s="72">
        <v>0</v>
      </c>
      <c r="AG455" s="88">
        <v>0</v>
      </c>
      <c r="AH455"/>
    </row>
    <row r="456" spans="1:34">
      <c r="B456" s="114">
        <v>437</v>
      </c>
      <c r="C456" s="117">
        <v>51</v>
      </c>
      <c r="D456" s="117"/>
      <c r="E456" s="117" t="s">
        <v>866</v>
      </c>
      <c r="F456" s="117" t="s">
        <v>867</v>
      </c>
      <c r="G456" s="117" t="s">
        <v>871</v>
      </c>
      <c r="H456" s="117" t="s">
        <v>872</v>
      </c>
      <c r="I456" s="120" t="s">
        <v>301</v>
      </c>
      <c r="J456" s="84">
        <v>10200</v>
      </c>
      <c r="K456" s="73">
        <v>17136</v>
      </c>
      <c r="L456" s="72">
        <v>14400</v>
      </c>
      <c r="M456" s="73">
        <v>24192</v>
      </c>
      <c r="N456" s="72">
        <v>16800</v>
      </c>
      <c r="O456" s="73">
        <v>27048</v>
      </c>
      <c r="P456" s="72">
        <v>10800</v>
      </c>
      <c r="Q456" s="73">
        <v>17388</v>
      </c>
      <c r="R456" s="72">
        <v>19200</v>
      </c>
      <c r="S456" s="73">
        <v>30912</v>
      </c>
      <c r="T456" s="72">
        <v>20400</v>
      </c>
      <c r="U456" s="73">
        <v>32844</v>
      </c>
      <c r="V456" s="72">
        <v>21600</v>
      </c>
      <c r="W456" s="73">
        <v>34776</v>
      </c>
      <c r="X456" s="72">
        <v>20400</v>
      </c>
      <c r="Y456" s="73">
        <v>32844</v>
      </c>
      <c r="Z456" s="72">
        <v>10800</v>
      </c>
      <c r="AA456" s="73">
        <v>17244</v>
      </c>
      <c r="AB456" s="72">
        <v>10200</v>
      </c>
      <c r="AC456" s="73">
        <v>16014</v>
      </c>
      <c r="AD456" s="72">
        <v>0</v>
      </c>
      <c r="AE456" s="73">
        <v>0</v>
      </c>
      <c r="AF456" s="72">
        <v>0</v>
      </c>
      <c r="AG456" s="88">
        <v>0</v>
      </c>
      <c r="AH456"/>
    </row>
    <row r="457" spans="1:34">
      <c r="B457" s="114">
        <v>438</v>
      </c>
      <c r="C457" s="117">
        <v>51</v>
      </c>
      <c r="D457" s="117"/>
      <c r="E457" s="117" t="s">
        <v>866</v>
      </c>
      <c r="F457" s="117" t="s">
        <v>867</v>
      </c>
      <c r="G457" s="117" t="s">
        <v>868</v>
      </c>
      <c r="H457" s="117" t="s">
        <v>869</v>
      </c>
      <c r="I457" s="120" t="s">
        <v>351</v>
      </c>
      <c r="J457" s="84">
        <v>14400</v>
      </c>
      <c r="K457" s="73">
        <v>55152</v>
      </c>
      <c r="L457" s="72">
        <v>14400</v>
      </c>
      <c r="M457" s="73">
        <v>55152</v>
      </c>
      <c r="N457" s="72">
        <v>18000</v>
      </c>
      <c r="O457" s="73">
        <v>67140</v>
      </c>
      <c r="P457" s="72">
        <v>7500</v>
      </c>
      <c r="Q457" s="73">
        <v>27975</v>
      </c>
      <c r="R457" s="72">
        <v>14400</v>
      </c>
      <c r="S457" s="73">
        <v>53712</v>
      </c>
      <c r="T457" s="72">
        <v>16500</v>
      </c>
      <c r="U457" s="73">
        <v>61545</v>
      </c>
      <c r="V457" s="72">
        <v>18000</v>
      </c>
      <c r="W457" s="73">
        <v>67140</v>
      </c>
      <c r="X457" s="72">
        <v>16800</v>
      </c>
      <c r="Y457" s="73">
        <v>62664</v>
      </c>
      <c r="Z457" s="72">
        <v>11100</v>
      </c>
      <c r="AA457" s="73">
        <v>41193</v>
      </c>
      <c r="AB457" s="72">
        <v>7200</v>
      </c>
      <c r="AC457" s="73">
        <v>26496</v>
      </c>
      <c r="AD457" s="72">
        <v>0</v>
      </c>
      <c r="AE457" s="73">
        <v>0</v>
      </c>
      <c r="AF457" s="72">
        <v>0</v>
      </c>
      <c r="AG457" s="88">
        <v>0</v>
      </c>
      <c r="AH457"/>
    </row>
    <row r="458" spans="1:34">
      <c r="B458" s="114">
        <v>439</v>
      </c>
      <c r="C458" s="117">
        <v>51</v>
      </c>
      <c r="D458" s="117"/>
      <c r="E458" s="117" t="s">
        <v>876</v>
      </c>
      <c r="F458" s="117" t="s">
        <v>877</v>
      </c>
      <c r="G458" s="117" t="s">
        <v>879</v>
      </c>
      <c r="H458" s="117" t="s">
        <v>880</v>
      </c>
      <c r="I458" s="120" t="s">
        <v>351</v>
      </c>
      <c r="J458" s="84">
        <v>18000</v>
      </c>
      <c r="K458" s="73">
        <v>16200</v>
      </c>
      <c r="L458" s="72">
        <v>18000</v>
      </c>
      <c r="M458" s="73">
        <v>16200</v>
      </c>
      <c r="N458" s="72">
        <v>12000</v>
      </c>
      <c r="O458" s="73">
        <v>10800</v>
      </c>
      <c r="P458" s="72">
        <v>14000</v>
      </c>
      <c r="Q458" s="73">
        <v>12600</v>
      </c>
      <c r="R458" s="72">
        <v>16000</v>
      </c>
      <c r="S458" s="73">
        <v>14400</v>
      </c>
      <c r="T458" s="72">
        <v>18000</v>
      </c>
      <c r="U458" s="73">
        <v>16200</v>
      </c>
      <c r="V458" s="72">
        <v>14000</v>
      </c>
      <c r="W458" s="73">
        <v>12600</v>
      </c>
      <c r="X458" s="72">
        <v>14000</v>
      </c>
      <c r="Y458" s="73">
        <v>12600</v>
      </c>
      <c r="Z458" s="72">
        <v>12000</v>
      </c>
      <c r="AA458" s="73">
        <v>10800</v>
      </c>
      <c r="AB458" s="72">
        <v>6000</v>
      </c>
      <c r="AC458" s="73">
        <v>5400</v>
      </c>
      <c r="AD458" s="72">
        <v>0</v>
      </c>
      <c r="AE458" s="73">
        <v>0</v>
      </c>
      <c r="AF458" s="72">
        <v>0</v>
      </c>
      <c r="AG458" s="88">
        <v>0</v>
      </c>
      <c r="AH458"/>
    </row>
    <row r="459" spans="1:34">
      <c r="B459" s="114">
        <v>440</v>
      </c>
      <c r="C459" s="117">
        <v>51</v>
      </c>
      <c r="D459" s="117"/>
      <c r="E459" s="117" t="s">
        <v>876</v>
      </c>
      <c r="F459" s="117" t="s">
        <v>877</v>
      </c>
      <c r="G459" s="117" t="s">
        <v>878</v>
      </c>
      <c r="H459" s="117" t="s">
        <v>322</v>
      </c>
      <c r="I459" s="120" t="s">
        <v>293</v>
      </c>
      <c r="J459" s="84">
        <v>54000</v>
      </c>
      <c r="K459" s="73">
        <v>102600</v>
      </c>
      <c r="L459" s="72">
        <v>57000</v>
      </c>
      <c r="M459" s="73">
        <v>108300</v>
      </c>
      <c r="N459" s="72">
        <v>54000</v>
      </c>
      <c r="O459" s="73">
        <v>102600</v>
      </c>
      <c r="P459" s="72">
        <v>54000</v>
      </c>
      <c r="Q459" s="73">
        <v>102600</v>
      </c>
      <c r="R459" s="72">
        <v>60000</v>
      </c>
      <c r="S459" s="73">
        <v>114000</v>
      </c>
      <c r="T459" s="72">
        <v>60000</v>
      </c>
      <c r="U459" s="73">
        <v>114000</v>
      </c>
      <c r="V459" s="72">
        <v>72000</v>
      </c>
      <c r="W459" s="73">
        <v>136800</v>
      </c>
      <c r="X459" s="72">
        <v>66000</v>
      </c>
      <c r="Y459" s="73">
        <v>125400</v>
      </c>
      <c r="Z459" s="72">
        <v>36000</v>
      </c>
      <c r="AA459" s="73">
        <v>68400</v>
      </c>
      <c r="AB459" s="72">
        <v>24000</v>
      </c>
      <c r="AC459" s="73">
        <v>45600</v>
      </c>
      <c r="AD459" s="72">
        <v>0</v>
      </c>
      <c r="AE459" s="73">
        <v>0</v>
      </c>
      <c r="AF459" s="72">
        <v>0</v>
      </c>
      <c r="AG459" s="88">
        <v>0</v>
      </c>
      <c r="AH459"/>
    </row>
    <row r="460" spans="1:34">
      <c r="B460" s="114">
        <v>441</v>
      </c>
      <c r="C460" s="117">
        <v>51</v>
      </c>
      <c r="D460" s="117"/>
      <c r="E460" s="117" t="s">
        <v>881</v>
      </c>
      <c r="F460" s="117" t="s">
        <v>882</v>
      </c>
      <c r="G460" s="117" t="s">
        <v>883</v>
      </c>
      <c r="H460" s="117" t="s">
        <v>25</v>
      </c>
      <c r="I460" s="120" t="s">
        <v>884</v>
      </c>
      <c r="J460" s="84">
        <v>1740</v>
      </c>
      <c r="K460" s="73">
        <v>222859.2</v>
      </c>
      <c r="L460" s="72">
        <v>2724</v>
      </c>
      <c r="M460" s="73">
        <v>348889.92</v>
      </c>
      <c r="N460" s="72">
        <v>2700</v>
      </c>
      <c r="O460" s="73">
        <v>345816</v>
      </c>
      <c r="P460" s="72">
        <v>2520</v>
      </c>
      <c r="Q460" s="73">
        <v>325054.8</v>
      </c>
      <c r="R460" s="72">
        <v>2820</v>
      </c>
      <c r="S460" s="73">
        <v>363751.8</v>
      </c>
      <c r="T460" s="72">
        <v>1440</v>
      </c>
      <c r="U460" s="73">
        <v>185745.6</v>
      </c>
      <c r="V460" s="72">
        <v>1440</v>
      </c>
      <c r="W460" s="73">
        <v>186048</v>
      </c>
      <c r="X460" s="72">
        <v>0</v>
      </c>
      <c r="Y460" s="73">
        <v>0</v>
      </c>
      <c r="Z460" s="72">
        <v>2640</v>
      </c>
      <c r="AA460" s="73">
        <v>341088</v>
      </c>
      <c r="AB460" s="72">
        <v>1932</v>
      </c>
      <c r="AC460" s="73">
        <v>248841.6</v>
      </c>
      <c r="AD460" s="72">
        <v>0</v>
      </c>
      <c r="AE460" s="73">
        <v>0</v>
      </c>
      <c r="AF460" s="72">
        <v>0</v>
      </c>
      <c r="AG460" s="88">
        <v>0</v>
      </c>
      <c r="AH460"/>
    </row>
    <row r="461" spans="1:34">
      <c r="B461" s="114">
        <v>442</v>
      </c>
      <c r="C461" s="117">
        <v>51</v>
      </c>
      <c r="D461" s="117"/>
      <c r="E461" s="117" t="s">
        <v>881</v>
      </c>
      <c r="F461" s="117" t="s">
        <v>882</v>
      </c>
      <c r="G461" s="117" t="s">
        <v>885</v>
      </c>
      <c r="H461" s="117" t="s">
        <v>886</v>
      </c>
      <c r="I461" s="120" t="s">
        <v>266</v>
      </c>
      <c r="J461" s="84">
        <v>10050</v>
      </c>
      <c r="K461" s="73">
        <v>4601292</v>
      </c>
      <c r="L461" s="72">
        <v>23220</v>
      </c>
      <c r="M461" s="73">
        <v>10631044.8</v>
      </c>
      <c r="N461" s="72">
        <v>17400</v>
      </c>
      <c r="O461" s="73">
        <v>7966416</v>
      </c>
      <c r="P461" s="72">
        <v>16126</v>
      </c>
      <c r="Q461" s="73">
        <v>7423604.1</v>
      </c>
      <c r="R461" s="72">
        <v>17160</v>
      </c>
      <c r="S461" s="73">
        <v>7899606</v>
      </c>
      <c r="T461" s="72">
        <v>21120</v>
      </c>
      <c r="U461" s="73">
        <v>9724028.4</v>
      </c>
      <c r="V461" s="72">
        <v>14700</v>
      </c>
      <c r="W461" s="73">
        <v>6775524</v>
      </c>
      <c r="X461" s="72">
        <v>17040</v>
      </c>
      <c r="Y461" s="73">
        <v>7854076.8</v>
      </c>
      <c r="Z461" s="72">
        <v>14280</v>
      </c>
      <c r="AA461" s="73">
        <v>6581937.6</v>
      </c>
      <c r="AB461" s="72">
        <v>12602</v>
      </c>
      <c r="AC461" s="73">
        <v>5794651.64</v>
      </c>
      <c r="AD461" s="72">
        <v>0</v>
      </c>
      <c r="AE461" s="73">
        <v>0</v>
      </c>
      <c r="AF461" s="72">
        <v>0</v>
      </c>
      <c r="AG461" s="88">
        <v>0</v>
      </c>
      <c r="AH461"/>
    </row>
    <row r="462" spans="1:34">
      <c r="B462" s="114">
        <v>443</v>
      </c>
      <c r="C462" s="117">
        <v>51</v>
      </c>
      <c r="D462" s="117"/>
      <c r="E462" s="117" t="s">
        <v>881</v>
      </c>
      <c r="F462" s="117" t="s">
        <v>882</v>
      </c>
      <c r="G462" s="117" t="s">
        <v>888</v>
      </c>
      <c r="H462" s="117" t="s">
        <v>889</v>
      </c>
      <c r="I462" s="120" t="s">
        <v>258</v>
      </c>
      <c r="J462" s="84">
        <v>2100</v>
      </c>
      <c r="K462" s="73">
        <v>971775</v>
      </c>
      <c r="L462" s="72">
        <v>6600</v>
      </c>
      <c r="M462" s="73">
        <v>3054150</v>
      </c>
      <c r="N462" s="72">
        <v>6075</v>
      </c>
      <c r="O462" s="73">
        <v>2811206.25</v>
      </c>
      <c r="P462" s="72">
        <v>6565</v>
      </c>
      <c r="Q462" s="73">
        <v>3056073.15</v>
      </c>
      <c r="R462" s="72">
        <v>5955</v>
      </c>
      <c r="S462" s="73">
        <v>2772112.05</v>
      </c>
      <c r="T462" s="72">
        <v>4425</v>
      </c>
      <c r="U462" s="73">
        <v>2060067.75</v>
      </c>
      <c r="V462" s="72">
        <v>5400</v>
      </c>
      <c r="W462" s="73">
        <v>2517102</v>
      </c>
      <c r="X462" s="72">
        <v>7160</v>
      </c>
      <c r="Y462" s="73">
        <v>3337490.8</v>
      </c>
      <c r="Z462" s="72">
        <v>0</v>
      </c>
      <c r="AA462" s="73">
        <v>0</v>
      </c>
      <c r="AB462" s="72">
        <v>1650</v>
      </c>
      <c r="AC462" s="73">
        <v>767118</v>
      </c>
      <c r="AD462" s="72">
        <v>0</v>
      </c>
      <c r="AE462" s="73">
        <v>0</v>
      </c>
      <c r="AF462" s="72">
        <v>0</v>
      </c>
      <c r="AG462" s="88">
        <v>0</v>
      </c>
      <c r="AH462"/>
    </row>
    <row r="463" spans="1:34">
      <c r="B463" s="114">
        <v>444</v>
      </c>
      <c r="C463" s="117">
        <v>51</v>
      </c>
      <c r="D463" s="117"/>
      <c r="E463" s="117" t="s">
        <v>881</v>
      </c>
      <c r="F463" s="117" t="s">
        <v>882</v>
      </c>
      <c r="G463" s="117" t="s">
        <v>887</v>
      </c>
      <c r="H463" s="117" t="s">
        <v>886</v>
      </c>
      <c r="I463" s="120" t="s">
        <v>266</v>
      </c>
      <c r="J463" s="84">
        <v>480</v>
      </c>
      <c r="K463" s="73">
        <v>226886.4</v>
      </c>
      <c r="L463" s="72">
        <v>240</v>
      </c>
      <c r="M463" s="73">
        <v>113443.2</v>
      </c>
      <c r="N463" s="72">
        <v>1020</v>
      </c>
      <c r="O463" s="73">
        <v>482133.6</v>
      </c>
      <c r="P463" s="72">
        <v>2760</v>
      </c>
      <c r="Q463" s="73">
        <v>1311524.4</v>
      </c>
      <c r="R463" s="72">
        <v>3220</v>
      </c>
      <c r="S463" s="73">
        <v>1530111.8</v>
      </c>
      <c r="T463" s="72">
        <v>2324</v>
      </c>
      <c r="U463" s="73">
        <v>1104341.56</v>
      </c>
      <c r="V463" s="72">
        <v>2800</v>
      </c>
      <c r="W463" s="73">
        <v>1332128</v>
      </c>
      <c r="X463" s="72">
        <v>2160</v>
      </c>
      <c r="Y463" s="73">
        <v>1027641.6</v>
      </c>
      <c r="Z463" s="72">
        <v>1866</v>
      </c>
      <c r="AA463" s="73">
        <v>887768.16</v>
      </c>
      <c r="AB463" s="72">
        <v>1476</v>
      </c>
      <c r="AC463" s="73">
        <v>700598.16</v>
      </c>
      <c r="AD463" s="72">
        <v>0</v>
      </c>
      <c r="AE463" s="73">
        <v>0</v>
      </c>
      <c r="AF463" s="72">
        <v>0</v>
      </c>
      <c r="AG463" s="88">
        <v>0</v>
      </c>
      <c r="AH463"/>
    </row>
    <row r="464" spans="1:34">
      <c r="B464" s="114">
        <v>445</v>
      </c>
      <c r="C464" s="117">
        <v>51</v>
      </c>
      <c r="D464" s="117"/>
      <c r="E464" s="117" t="s">
        <v>890</v>
      </c>
      <c r="F464" s="117" t="s">
        <v>891</v>
      </c>
      <c r="G464" s="117" t="s">
        <v>892</v>
      </c>
      <c r="H464" s="117" t="s">
        <v>880</v>
      </c>
      <c r="I464" s="120" t="s">
        <v>893</v>
      </c>
      <c r="J464" s="84">
        <v>15000</v>
      </c>
      <c r="K464" s="73">
        <v>13800</v>
      </c>
      <c r="L464" s="72">
        <v>10000</v>
      </c>
      <c r="M464" s="73">
        <v>9200</v>
      </c>
      <c r="N464" s="72">
        <v>10000</v>
      </c>
      <c r="O464" s="73">
        <v>9200</v>
      </c>
      <c r="P464" s="72">
        <v>10000</v>
      </c>
      <c r="Q464" s="73">
        <v>9200</v>
      </c>
      <c r="R464" s="72">
        <v>10000</v>
      </c>
      <c r="S464" s="73">
        <v>9200</v>
      </c>
      <c r="T464" s="72">
        <v>20000</v>
      </c>
      <c r="U464" s="73">
        <v>18400</v>
      </c>
      <c r="V464" s="72">
        <v>20000</v>
      </c>
      <c r="W464" s="73">
        <v>18400</v>
      </c>
      <c r="X464" s="72">
        <v>20000</v>
      </c>
      <c r="Y464" s="73">
        <v>18400</v>
      </c>
      <c r="Z464" s="72">
        <v>10000</v>
      </c>
      <c r="AA464" s="73">
        <v>9200</v>
      </c>
      <c r="AB464" s="72">
        <v>0</v>
      </c>
      <c r="AC464" s="73">
        <v>0</v>
      </c>
      <c r="AD464" s="72">
        <v>0</v>
      </c>
      <c r="AE464" s="73">
        <v>0</v>
      </c>
      <c r="AF464" s="72">
        <v>0</v>
      </c>
      <c r="AG464" s="88">
        <v>0</v>
      </c>
      <c r="AH464"/>
    </row>
    <row r="465" spans="1:34">
      <c r="B465" s="114">
        <v>446</v>
      </c>
      <c r="C465" s="117">
        <v>51</v>
      </c>
      <c r="D465" s="117"/>
      <c r="E465" s="117" t="s">
        <v>894</v>
      </c>
      <c r="F465" s="117" t="s">
        <v>895</v>
      </c>
      <c r="G465" s="117" t="s">
        <v>896</v>
      </c>
      <c r="H465" s="117" t="s">
        <v>897</v>
      </c>
      <c r="I465" s="120" t="s">
        <v>240</v>
      </c>
      <c r="J465" s="84">
        <v>12000</v>
      </c>
      <c r="K465" s="73">
        <v>111600</v>
      </c>
      <c r="L465" s="72">
        <v>14000</v>
      </c>
      <c r="M465" s="73">
        <v>130200</v>
      </c>
      <c r="N465" s="72">
        <v>16800</v>
      </c>
      <c r="O465" s="73">
        <v>156240</v>
      </c>
      <c r="P465" s="72">
        <v>11600</v>
      </c>
      <c r="Q465" s="73">
        <v>107880</v>
      </c>
      <c r="R465" s="72">
        <v>15600</v>
      </c>
      <c r="S465" s="73">
        <v>145080</v>
      </c>
      <c r="T465" s="72">
        <v>12800</v>
      </c>
      <c r="U465" s="73">
        <v>119040</v>
      </c>
      <c r="V465" s="72">
        <v>12400</v>
      </c>
      <c r="W465" s="73">
        <v>115320</v>
      </c>
      <c r="X465" s="72">
        <v>10400</v>
      </c>
      <c r="Y465" s="73">
        <v>96720</v>
      </c>
      <c r="Z465" s="72">
        <v>11200</v>
      </c>
      <c r="AA465" s="73">
        <v>104160</v>
      </c>
      <c r="AB465" s="72">
        <v>6000</v>
      </c>
      <c r="AC465" s="73">
        <v>55800</v>
      </c>
      <c r="AD465" s="72">
        <v>0</v>
      </c>
      <c r="AE465" s="73">
        <v>0</v>
      </c>
      <c r="AF465" s="72">
        <v>0</v>
      </c>
      <c r="AG465" s="88">
        <v>0</v>
      </c>
      <c r="AH465"/>
    </row>
    <row r="466" spans="1:34">
      <c r="B466" s="114">
        <v>447</v>
      </c>
      <c r="C466" s="117">
        <v>51</v>
      </c>
      <c r="D466" s="117"/>
      <c r="E466" s="117" t="s">
        <v>894</v>
      </c>
      <c r="F466" s="117" t="s">
        <v>895</v>
      </c>
      <c r="G466" s="117" t="s">
        <v>898</v>
      </c>
      <c r="H466" s="117" t="s">
        <v>899</v>
      </c>
      <c r="I466" s="120" t="s">
        <v>339</v>
      </c>
      <c r="J466" s="84">
        <v>0</v>
      </c>
      <c r="K466" s="73">
        <v>0</v>
      </c>
      <c r="L466" s="72">
        <v>2000</v>
      </c>
      <c r="M466" s="73">
        <v>15400</v>
      </c>
      <c r="N466" s="72">
        <v>0</v>
      </c>
      <c r="O466" s="73">
        <v>0</v>
      </c>
      <c r="P466" s="72">
        <v>1000</v>
      </c>
      <c r="Q466" s="73">
        <v>7700</v>
      </c>
      <c r="R466" s="72">
        <v>2500</v>
      </c>
      <c r="S466" s="73">
        <v>19250</v>
      </c>
      <c r="T466" s="72">
        <v>1000</v>
      </c>
      <c r="U466" s="73">
        <v>7700</v>
      </c>
      <c r="V466" s="72">
        <v>0</v>
      </c>
      <c r="W466" s="73">
        <v>0</v>
      </c>
      <c r="X466" s="72">
        <v>0</v>
      </c>
      <c r="Y466" s="73">
        <v>0</v>
      </c>
      <c r="Z466" s="72">
        <v>0</v>
      </c>
      <c r="AA466" s="73">
        <v>0</v>
      </c>
      <c r="AB466" s="72">
        <v>500</v>
      </c>
      <c r="AC466" s="73">
        <v>3850</v>
      </c>
      <c r="AD466" s="72">
        <v>0</v>
      </c>
      <c r="AE466" s="73">
        <v>0</v>
      </c>
      <c r="AF466" s="72">
        <v>0</v>
      </c>
      <c r="AG466" s="88">
        <v>0</v>
      </c>
      <c r="AH466"/>
    </row>
    <row r="467" spans="1:34">
      <c r="B467" s="114">
        <v>448</v>
      </c>
      <c r="C467" s="117">
        <v>51</v>
      </c>
      <c r="D467" s="117"/>
      <c r="E467" s="117" t="s">
        <v>900</v>
      </c>
      <c r="F467" s="117" t="s">
        <v>901</v>
      </c>
      <c r="G467" s="117" t="s">
        <v>902</v>
      </c>
      <c r="H467" s="117" t="s">
        <v>508</v>
      </c>
      <c r="I467" s="120" t="s">
        <v>290</v>
      </c>
      <c r="J467" s="84">
        <v>9000</v>
      </c>
      <c r="K467" s="73">
        <v>41670</v>
      </c>
      <c r="L467" s="72">
        <v>6000</v>
      </c>
      <c r="M467" s="73">
        <v>27780</v>
      </c>
      <c r="N467" s="72">
        <v>10000</v>
      </c>
      <c r="O467" s="73">
        <v>46300</v>
      </c>
      <c r="P467" s="72">
        <v>8000</v>
      </c>
      <c r="Q467" s="73">
        <v>37040</v>
      </c>
      <c r="R467" s="72">
        <v>11000</v>
      </c>
      <c r="S467" s="73">
        <v>50930</v>
      </c>
      <c r="T467" s="72">
        <v>14000</v>
      </c>
      <c r="U467" s="73">
        <v>64820</v>
      </c>
      <c r="V467" s="72">
        <v>12000</v>
      </c>
      <c r="W467" s="73">
        <v>55560</v>
      </c>
      <c r="X467" s="72">
        <v>10000</v>
      </c>
      <c r="Y467" s="73">
        <v>46300</v>
      </c>
      <c r="Z467" s="72">
        <v>8000</v>
      </c>
      <c r="AA467" s="73">
        <v>37040</v>
      </c>
      <c r="AB467" s="72">
        <v>13400</v>
      </c>
      <c r="AC467" s="73">
        <v>62042</v>
      </c>
      <c r="AD467" s="72">
        <v>0</v>
      </c>
      <c r="AE467" s="73">
        <v>0</v>
      </c>
      <c r="AF467" s="72">
        <v>0</v>
      </c>
      <c r="AG467" s="88">
        <v>0</v>
      </c>
      <c r="AH467"/>
    </row>
    <row r="468" spans="1:34">
      <c r="B468" s="114">
        <v>449</v>
      </c>
      <c r="C468" s="117">
        <v>51</v>
      </c>
      <c r="D468" s="117"/>
      <c r="E468" s="117" t="s">
        <v>903</v>
      </c>
      <c r="F468" s="117" t="s">
        <v>904</v>
      </c>
      <c r="G468" s="117" t="s">
        <v>905</v>
      </c>
      <c r="H468" s="117" t="s">
        <v>464</v>
      </c>
      <c r="I468" s="120" t="s">
        <v>293</v>
      </c>
      <c r="J468" s="84">
        <v>8100</v>
      </c>
      <c r="K468" s="73">
        <v>12150</v>
      </c>
      <c r="L468" s="72">
        <v>9000</v>
      </c>
      <c r="M468" s="73">
        <v>13500</v>
      </c>
      <c r="N468" s="72">
        <v>11400</v>
      </c>
      <c r="O468" s="73">
        <v>17100</v>
      </c>
      <c r="P468" s="72">
        <v>7200</v>
      </c>
      <c r="Q468" s="73">
        <v>10800</v>
      </c>
      <c r="R468" s="72">
        <v>11700</v>
      </c>
      <c r="S468" s="73">
        <v>17550</v>
      </c>
      <c r="T468" s="72">
        <v>9900</v>
      </c>
      <c r="U468" s="73">
        <v>14850</v>
      </c>
      <c r="V468" s="72">
        <v>10200</v>
      </c>
      <c r="W468" s="73">
        <v>15300</v>
      </c>
      <c r="X468" s="72">
        <v>11400</v>
      </c>
      <c r="Y468" s="73">
        <v>17100</v>
      </c>
      <c r="Z468" s="72">
        <v>6900</v>
      </c>
      <c r="AA468" s="73">
        <v>10350</v>
      </c>
      <c r="AB468" s="72">
        <v>4500</v>
      </c>
      <c r="AC468" s="73">
        <v>6750</v>
      </c>
      <c r="AD468" s="72">
        <v>0</v>
      </c>
      <c r="AE468" s="73">
        <v>0</v>
      </c>
      <c r="AF468" s="72">
        <v>0</v>
      </c>
      <c r="AG468" s="88">
        <v>0</v>
      </c>
      <c r="AH468"/>
    </row>
    <row r="469" spans="1:34">
      <c r="B469" s="114">
        <v>450</v>
      </c>
      <c r="C469" s="117">
        <v>51</v>
      </c>
      <c r="D469" s="117"/>
      <c r="E469" s="117" t="s">
        <v>903</v>
      </c>
      <c r="F469" s="117" t="s">
        <v>904</v>
      </c>
      <c r="G469" s="117" t="s">
        <v>906</v>
      </c>
      <c r="H469" s="117" t="s">
        <v>464</v>
      </c>
      <c r="I469" s="120" t="s">
        <v>290</v>
      </c>
      <c r="J469" s="84">
        <v>0</v>
      </c>
      <c r="K469" s="73">
        <v>0</v>
      </c>
      <c r="L469" s="72">
        <v>0</v>
      </c>
      <c r="M469" s="73">
        <v>0</v>
      </c>
      <c r="N469" s="72">
        <v>0</v>
      </c>
      <c r="O469" s="73">
        <v>0</v>
      </c>
      <c r="P469" s="72">
        <v>420</v>
      </c>
      <c r="Q469" s="73">
        <v>630</v>
      </c>
      <c r="R469" s="72">
        <v>0</v>
      </c>
      <c r="S469" s="73">
        <v>0</v>
      </c>
      <c r="T469" s="72">
        <v>420</v>
      </c>
      <c r="U469" s="73">
        <v>630</v>
      </c>
      <c r="V469" s="72">
        <v>0</v>
      </c>
      <c r="W469" s="73">
        <v>0</v>
      </c>
      <c r="X469" s="72">
        <v>600</v>
      </c>
      <c r="Y469" s="73">
        <v>900</v>
      </c>
      <c r="Z469" s="72">
        <v>0</v>
      </c>
      <c r="AA469" s="73">
        <v>0</v>
      </c>
      <c r="AB469" s="72">
        <v>0</v>
      </c>
      <c r="AC469" s="73">
        <v>0</v>
      </c>
      <c r="AD469" s="72">
        <v>0</v>
      </c>
      <c r="AE469" s="73">
        <v>0</v>
      </c>
      <c r="AF469" s="72">
        <v>0</v>
      </c>
      <c r="AG469" s="88">
        <v>0</v>
      </c>
      <c r="AH469"/>
    </row>
    <row r="470" spans="1:34">
      <c r="B470" s="114">
        <v>451</v>
      </c>
      <c r="C470" s="117">
        <v>51</v>
      </c>
      <c r="D470" s="117"/>
      <c r="E470" s="117" t="s">
        <v>907</v>
      </c>
      <c r="F470" s="117" t="s">
        <v>908</v>
      </c>
      <c r="G470" s="117" t="s">
        <v>909</v>
      </c>
      <c r="H470" s="117" t="s">
        <v>87</v>
      </c>
      <c r="I470" s="120" t="s">
        <v>528</v>
      </c>
      <c r="J470" s="84">
        <v>0</v>
      </c>
      <c r="K470" s="73">
        <v>0</v>
      </c>
      <c r="L470" s="72">
        <v>0</v>
      </c>
      <c r="M470" s="73">
        <v>0</v>
      </c>
      <c r="N470" s="72">
        <v>0</v>
      </c>
      <c r="O470" s="73">
        <v>0</v>
      </c>
      <c r="P470" s="72">
        <v>0</v>
      </c>
      <c r="Q470" s="73">
        <v>0</v>
      </c>
      <c r="R470" s="72">
        <v>520</v>
      </c>
      <c r="S470" s="73">
        <v>21782.8</v>
      </c>
      <c r="T470" s="72">
        <v>0</v>
      </c>
      <c r="U470" s="73">
        <v>0</v>
      </c>
      <c r="V470" s="72">
        <v>400</v>
      </c>
      <c r="W470" s="73">
        <v>16756</v>
      </c>
      <c r="X470" s="72">
        <v>0</v>
      </c>
      <c r="Y470" s="73">
        <v>0</v>
      </c>
      <c r="Z470" s="72">
        <v>0</v>
      </c>
      <c r="AA470" s="73">
        <v>0</v>
      </c>
      <c r="AB470" s="72">
        <v>0</v>
      </c>
      <c r="AC470" s="73">
        <v>0</v>
      </c>
      <c r="AD470" s="72">
        <v>0</v>
      </c>
      <c r="AE470" s="73">
        <v>0</v>
      </c>
      <c r="AF470" s="72">
        <v>0</v>
      </c>
      <c r="AG470" s="88">
        <v>0</v>
      </c>
      <c r="AH470"/>
    </row>
    <row r="471" spans="1:34">
      <c r="B471" s="114">
        <v>452</v>
      </c>
      <c r="C471" s="117">
        <v>51</v>
      </c>
      <c r="D471" s="117"/>
      <c r="E471" s="117" t="s">
        <v>910</v>
      </c>
      <c r="F471" s="117" t="s">
        <v>911</v>
      </c>
      <c r="G471" s="117" t="s">
        <v>912</v>
      </c>
      <c r="H471" s="117" t="s">
        <v>913</v>
      </c>
      <c r="I471" s="120" t="s">
        <v>339</v>
      </c>
      <c r="J471" s="84">
        <v>0</v>
      </c>
      <c r="K471" s="73">
        <v>0</v>
      </c>
      <c r="L471" s="72">
        <v>0</v>
      </c>
      <c r="M471" s="73">
        <v>0</v>
      </c>
      <c r="N471" s="72">
        <v>2000</v>
      </c>
      <c r="O471" s="73">
        <v>32000</v>
      </c>
      <c r="P471" s="72">
        <v>0</v>
      </c>
      <c r="Q471" s="73">
        <v>0</v>
      </c>
      <c r="R471" s="72">
        <v>0</v>
      </c>
      <c r="S471" s="73">
        <v>0</v>
      </c>
      <c r="T471" s="72">
        <v>0</v>
      </c>
      <c r="U471" s="73">
        <v>0</v>
      </c>
      <c r="V471" s="72">
        <v>0</v>
      </c>
      <c r="W471" s="73">
        <v>0</v>
      </c>
      <c r="X471" s="72">
        <v>0</v>
      </c>
      <c r="Y471" s="73">
        <v>0</v>
      </c>
      <c r="Z471" s="72">
        <v>0</v>
      </c>
      <c r="AA471" s="73">
        <v>0</v>
      </c>
      <c r="AB471" s="72">
        <v>1500</v>
      </c>
      <c r="AC471" s="73">
        <v>6390</v>
      </c>
      <c r="AD471" s="72">
        <v>0</v>
      </c>
      <c r="AE471" s="73">
        <v>0</v>
      </c>
      <c r="AF471" s="72">
        <v>0</v>
      </c>
      <c r="AG471" s="88">
        <v>0</v>
      </c>
      <c r="AH471"/>
    </row>
    <row r="472" spans="1:34">
      <c r="B472" s="114">
        <v>453</v>
      </c>
      <c r="C472" s="117">
        <v>52</v>
      </c>
      <c r="D472" s="117"/>
      <c r="E472" s="117" t="s">
        <v>914</v>
      </c>
      <c r="F472" s="117" t="s">
        <v>915</v>
      </c>
      <c r="G472" s="117" t="s">
        <v>950</v>
      </c>
      <c r="H472" s="117" t="s">
        <v>920</v>
      </c>
      <c r="I472" s="120" t="s">
        <v>951</v>
      </c>
      <c r="J472" s="84">
        <v>16500</v>
      </c>
      <c r="K472" s="73">
        <v>3215025</v>
      </c>
      <c r="L472" s="72">
        <v>22000</v>
      </c>
      <c r="M472" s="73">
        <v>4286700</v>
      </c>
      <c r="N472" s="72">
        <v>19500</v>
      </c>
      <c r="O472" s="73">
        <v>3799575</v>
      </c>
      <c r="P472" s="72">
        <v>20000</v>
      </c>
      <c r="Q472" s="73">
        <v>3854200</v>
      </c>
      <c r="R472" s="72">
        <v>32500</v>
      </c>
      <c r="S472" s="73">
        <v>6263075</v>
      </c>
      <c r="T472" s="72">
        <v>32500</v>
      </c>
      <c r="U472" s="73">
        <v>6263075</v>
      </c>
      <c r="V472" s="72">
        <v>31000</v>
      </c>
      <c r="W472" s="73">
        <v>5974010</v>
      </c>
      <c r="X472" s="72">
        <v>35000</v>
      </c>
      <c r="Y472" s="73">
        <v>6744850</v>
      </c>
      <c r="Z472" s="72">
        <v>30000</v>
      </c>
      <c r="AA472" s="73">
        <v>5781300</v>
      </c>
      <c r="AB472" s="72">
        <v>21000</v>
      </c>
      <c r="AC472" s="73">
        <v>4049220</v>
      </c>
      <c r="AD472" s="72">
        <v>0</v>
      </c>
      <c r="AE472" s="73">
        <v>0</v>
      </c>
      <c r="AF472" s="72">
        <v>0</v>
      </c>
      <c r="AG472" s="88">
        <v>0</v>
      </c>
      <c r="AH472"/>
    </row>
    <row r="473" spans="1:34">
      <c r="B473" s="114">
        <v>454</v>
      </c>
      <c r="C473" s="117">
        <v>52</v>
      </c>
      <c r="D473" s="117"/>
      <c r="E473" s="117" t="s">
        <v>914</v>
      </c>
      <c r="F473" s="117" t="s">
        <v>915</v>
      </c>
      <c r="G473" s="117" t="s">
        <v>931</v>
      </c>
      <c r="H473" s="117" t="s">
        <v>917</v>
      </c>
      <c r="I473" s="120" t="s">
        <v>932</v>
      </c>
      <c r="J473" s="84">
        <v>0</v>
      </c>
      <c r="K473" s="73">
        <v>0</v>
      </c>
      <c r="L473" s="72">
        <v>0</v>
      </c>
      <c r="M473" s="73">
        <v>0</v>
      </c>
      <c r="N473" s="72">
        <v>0</v>
      </c>
      <c r="O473" s="73">
        <v>0</v>
      </c>
      <c r="P473" s="72">
        <v>500</v>
      </c>
      <c r="Q473" s="73">
        <v>281095</v>
      </c>
      <c r="R473" s="72">
        <v>0</v>
      </c>
      <c r="S473" s="73">
        <v>0</v>
      </c>
      <c r="T473" s="72">
        <v>0</v>
      </c>
      <c r="U473" s="73">
        <v>0</v>
      </c>
      <c r="V473" s="72">
        <v>0</v>
      </c>
      <c r="W473" s="73">
        <v>0</v>
      </c>
      <c r="X473" s="72">
        <v>0</v>
      </c>
      <c r="Y473" s="73">
        <v>0</v>
      </c>
      <c r="Z473" s="72">
        <v>0</v>
      </c>
      <c r="AA473" s="73">
        <v>0</v>
      </c>
      <c r="AB473" s="72">
        <v>0</v>
      </c>
      <c r="AC473" s="73">
        <v>0</v>
      </c>
      <c r="AD473" s="72">
        <v>0</v>
      </c>
      <c r="AE473" s="73">
        <v>0</v>
      </c>
      <c r="AF473" s="72">
        <v>0</v>
      </c>
      <c r="AG473" s="88">
        <v>0</v>
      </c>
      <c r="AH473"/>
    </row>
    <row r="474" spans="1:34">
      <c r="B474" s="114">
        <v>455</v>
      </c>
      <c r="C474" s="117">
        <v>52</v>
      </c>
      <c r="D474" s="117"/>
      <c r="E474" s="117" t="s">
        <v>914</v>
      </c>
      <c r="F474" s="117" t="s">
        <v>915</v>
      </c>
      <c r="G474" s="117" t="s">
        <v>916</v>
      </c>
      <c r="H474" s="117" t="s">
        <v>917</v>
      </c>
      <c r="I474" s="120" t="s">
        <v>918</v>
      </c>
      <c r="J474" s="84">
        <v>5544</v>
      </c>
      <c r="K474" s="73">
        <v>1099098</v>
      </c>
      <c r="L474" s="72">
        <v>3234</v>
      </c>
      <c r="M474" s="73">
        <v>641140.5</v>
      </c>
      <c r="N474" s="72">
        <v>8778</v>
      </c>
      <c r="O474" s="73">
        <v>1740238.5</v>
      </c>
      <c r="P474" s="72">
        <v>0</v>
      </c>
      <c r="Q474" s="73">
        <v>0</v>
      </c>
      <c r="R474" s="72">
        <v>0</v>
      </c>
      <c r="S474" s="73">
        <v>0</v>
      </c>
      <c r="T474" s="72">
        <v>0</v>
      </c>
      <c r="U474" s="73">
        <v>0</v>
      </c>
      <c r="V474" s="72">
        <v>0</v>
      </c>
      <c r="W474" s="73">
        <v>0</v>
      </c>
      <c r="X474" s="72">
        <v>0</v>
      </c>
      <c r="Y474" s="73">
        <v>0</v>
      </c>
      <c r="Z474" s="72">
        <v>0</v>
      </c>
      <c r="AA474" s="73">
        <v>0</v>
      </c>
      <c r="AB474" s="72">
        <v>0</v>
      </c>
      <c r="AC474" s="73">
        <v>0</v>
      </c>
      <c r="AD474" s="72">
        <v>0</v>
      </c>
      <c r="AE474" s="73">
        <v>0</v>
      </c>
      <c r="AF474" s="72">
        <v>0</v>
      </c>
      <c r="AG474" s="88">
        <v>0</v>
      </c>
      <c r="AH474"/>
    </row>
    <row r="475" spans="1:34">
      <c r="B475" s="114">
        <v>456</v>
      </c>
      <c r="C475" s="117">
        <v>52</v>
      </c>
      <c r="D475" s="117"/>
      <c r="E475" s="117" t="s">
        <v>914</v>
      </c>
      <c r="F475" s="117" t="s">
        <v>915</v>
      </c>
      <c r="G475" s="117" t="s">
        <v>933</v>
      </c>
      <c r="H475" s="117" t="s">
        <v>920</v>
      </c>
      <c r="I475" s="120" t="s">
        <v>934</v>
      </c>
      <c r="J475" s="84">
        <v>39520</v>
      </c>
      <c r="K475" s="73">
        <v>6839726.4</v>
      </c>
      <c r="L475" s="72">
        <v>31616</v>
      </c>
      <c r="M475" s="73">
        <v>5471781.12</v>
      </c>
      <c r="N475" s="72">
        <v>17024</v>
      </c>
      <c r="O475" s="73">
        <v>2946343.68</v>
      </c>
      <c r="P475" s="72">
        <v>9120</v>
      </c>
      <c r="Q475" s="73">
        <v>1564809.6</v>
      </c>
      <c r="R475" s="72">
        <v>5472</v>
      </c>
      <c r="S475" s="73">
        <v>938885.76</v>
      </c>
      <c r="T475" s="72">
        <v>81472</v>
      </c>
      <c r="U475" s="73">
        <v>13978965.76</v>
      </c>
      <c r="V475" s="72">
        <v>65664</v>
      </c>
      <c r="W475" s="73">
        <v>11266629.12</v>
      </c>
      <c r="X475" s="72">
        <v>80864</v>
      </c>
      <c r="Y475" s="73">
        <v>13874645.12</v>
      </c>
      <c r="Z475" s="72">
        <v>61408</v>
      </c>
      <c r="AA475" s="73">
        <v>10536384.64</v>
      </c>
      <c r="AB475" s="72">
        <v>38912</v>
      </c>
      <c r="AC475" s="73">
        <v>6708428.8</v>
      </c>
      <c r="AD475" s="72">
        <v>0</v>
      </c>
      <c r="AE475" s="73">
        <v>0</v>
      </c>
      <c r="AF475" s="72">
        <v>0</v>
      </c>
      <c r="AG475" s="88">
        <v>0</v>
      </c>
      <c r="AH475"/>
    </row>
    <row r="476" spans="1:34">
      <c r="B476" s="114">
        <v>457</v>
      </c>
      <c r="C476" s="117">
        <v>51</v>
      </c>
      <c r="D476" s="117"/>
      <c r="E476" s="117" t="s">
        <v>914</v>
      </c>
      <c r="F476" s="117" t="s">
        <v>915</v>
      </c>
      <c r="G476" s="117" t="s">
        <v>935</v>
      </c>
      <c r="H476" s="117" t="s">
        <v>936</v>
      </c>
      <c r="I476" s="120" t="s">
        <v>928</v>
      </c>
      <c r="J476" s="84">
        <v>1800</v>
      </c>
      <c r="K476" s="73">
        <v>898398</v>
      </c>
      <c r="L476" s="72">
        <v>1300</v>
      </c>
      <c r="M476" s="73">
        <v>648843</v>
      </c>
      <c r="N476" s="72">
        <v>0</v>
      </c>
      <c r="O476" s="73">
        <v>0</v>
      </c>
      <c r="P476" s="72">
        <v>0</v>
      </c>
      <c r="Q476" s="73">
        <v>0</v>
      </c>
      <c r="R476" s="72">
        <v>0</v>
      </c>
      <c r="S476" s="73">
        <v>0</v>
      </c>
      <c r="T476" s="72">
        <v>0</v>
      </c>
      <c r="U476" s="73">
        <v>0</v>
      </c>
      <c r="V476" s="72">
        <v>0</v>
      </c>
      <c r="W476" s="73">
        <v>0</v>
      </c>
      <c r="X476" s="72">
        <v>0</v>
      </c>
      <c r="Y476" s="73">
        <v>0</v>
      </c>
      <c r="Z476" s="72">
        <v>0</v>
      </c>
      <c r="AA476" s="73">
        <v>0</v>
      </c>
      <c r="AB476" s="72">
        <v>0</v>
      </c>
      <c r="AC476" s="73">
        <v>0</v>
      </c>
      <c r="AD476" s="72">
        <v>0</v>
      </c>
      <c r="AE476" s="73">
        <v>0</v>
      </c>
      <c r="AF476" s="72">
        <v>0</v>
      </c>
      <c r="AG476" s="88">
        <v>0</v>
      </c>
      <c r="AH476"/>
    </row>
    <row r="477" spans="1:34">
      <c r="B477" s="114">
        <v>458</v>
      </c>
      <c r="C477" s="117">
        <v>52</v>
      </c>
      <c r="D477" s="117"/>
      <c r="E477" s="117" t="s">
        <v>914</v>
      </c>
      <c r="F477" s="117" t="s">
        <v>915</v>
      </c>
      <c r="G477" s="117" t="s">
        <v>941</v>
      </c>
      <c r="H477" s="117" t="s">
        <v>917</v>
      </c>
      <c r="I477" s="120" t="s">
        <v>942</v>
      </c>
      <c r="J477" s="84">
        <v>0</v>
      </c>
      <c r="K477" s="73">
        <v>0</v>
      </c>
      <c r="L477" s="72">
        <v>0</v>
      </c>
      <c r="M477" s="73">
        <v>0</v>
      </c>
      <c r="N477" s="72">
        <v>400</v>
      </c>
      <c r="O477" s="73">
        <v>651152</v>
      </c>
      <c r="P477" s="72">
        <v>0</v>
      </c>
      <c r="Q477" s="73">
        <v>0</v>
      </c>
      <c r="R477" s="72">
        <v>0</v>
      </c>
      <c r="S477" s="73">
        <v>0</v>
      </c>
      <c r="T477" s="72">
        <v>0</v>
      </c>
      <c r="U477" s="73">
        <v>0</v>
      </c>
      <c r="V477" s="72">
        <v>0</v>
      </c>
      <c r="W477" s="73">
        <v>0</v>
      </c>
      <c r="X477" s="72">
        <v>0</v>
      </c>
      <c r="Y477" s="73">
        <v>0</v>
      </c>
      <c r="Z477" s="72">
        <v>0</v>
      </c>
      <c r="AA477" s="73">
        <v>0</v>
      </c>
      <c r="AB477" s="72">
        <v>0</v>
      </c>
      <c r="AC477" s="73">
        <v>0</v>
      </c>
      <c r="AD477" s="72">
        <v>0</v>
      </c>
      <c r="AE477" s="73">
        <v>0</v>
      </c>
      <c r="AF477" s="72">
        <v>0</v>
      </c>
      <c r="AG477" s="88">
        <v>0</v>
      </c>
      <c r="AH477"/>
    </row>
    <row r="478" spans="1:34">
      <c r="B478" s="114">
        <v>459</v>
      </c>
      <c r="C478" s="117">
        <v>52</v>
      </c>
      <c r="D478" s="117"/>
      <c r="E478" s="117" t="s">
        <v>914</v>
      </c>
      <c r="F478" s="117" t="s">
        <v>915</v>
      </c>
      <c r="G478" s="117" t="s">
        <v>952</v>
      </c>
      <c r="H478" s="117" t="s">
        <v>920</v>
      </c>
      <c r="I478" s="120" t="s">
        <v>953</v>
      </c>
      <c r="J478" s="84">
        <v>18850</v>
      </c>
      <c r="K478" s="73">
        <v>2386975.5</v>
      </c>
      <c r="L478" s="72">
        <v>13000</v>
      </c>
      <c r="M478" s="73">
        <v>1646190</v>
      </c>
      <c r="N478" s="72">
        <v>10400</v>
      </c>
      <c r="O478" s="73">
        <v>1316952</v>
      </c>
      <c r="P478" s="72">
        <v>10400</v>
      </c>
      <c r="Q478" s="73">
        <v>1301456</v>
      </c>
      <c r="R478" s="72">
        <v>11700</v>
      </c>
      <c r="S478" s="73">
        <v>1464138</v>
      </c>
      <c r="T478" s="72">
        <v>20150</v>
      </c>
      <c r="U478" s="73">
        <v>2521571</v>
      </c>
      <c r="V478" s="72">
        <v>6500</v>
      </c>
      <c r="W478" s="73">
        <v>813410</v>
      </c>
      <c r="X478" s="72">
        <v>15600</v>
      </c>
      <c r="Y478" s="73">
        <v>1952184</v>
      </c>
      <c r="Z478" s="72">
        <v>16900</v>
      </c>
      <c r="AA478" s="73">
        <v>2114866</v>
      </c>
      <c r="AB478" s="72">
        <v>2600</v>
      </c>
      <c r="AC478" s="73">
        <v>322296</v>
      </c>
      <c r="AD478" s="72">
        <v>0</v>
      </c>
      <c r="AE478" s="73">
        <v>0</v>
      </c>
      <c r="AF478" s="72">
        <v>0</v>
      </c>
      <c r="AG478" s="88">
        <v>0</v>
      </c>
      <c r="AH478"/>
    </row>
    <row r="479" spans="1:34">
      <c r="B479" s="114">
        <v>460</v>
      </c>
      <c r="C479" s="117">
        <v>52</v>
      </c>
      <c r="D479" s="117"/>
      <c r="E479" s="117" t="s">
        <v>914</v>
      </c>
      <c r="F479" s="117" t="s">
        <v>915</v>
      </c>
      <c r="G479" s="117" t="s">
        <v>929</v>
      </c>
      <c r="H479" s="117" t="s">
        <v>920</v>
      </c>
      <c r="I479" s="120" t="s">
        <v>930</v>
      </c>
      <c r="J479" s="84">
        <v>92160</v>
      </c>
      <c r="K479" s="73">
        <v>15704985.6</v>
      </c>
      <c r="L479" s="72">
        <v>104832</v>
      </c>
      <c r="M479" s="73">
        <v>17864421.12</v>
      </c>
      <c r="N479" s="72">
        <v>108288</v>
      </c>
      <c r="O479" s="73">
        <v>18453358.08</v>
      </c>
      <c r="P479" s="72">
        <v>90432</v>
      </c>
      <c r="Q479" s="73">
        <v>15259495.68</v>
      </c>
      <c r="R479" s="72">
        <v>104832</v>
      </c>
      <c r="S479" s="73">
        <v>17689351.68</v>
      </c>
      <c r="T479" s="72">
        <v>95040</v>
      </c>
      <c r="U479" s="73">
        <v>16037049.6</v>
      </c>
      <c r="V479" s="72">
        <v>94464</v>
      </c>
      <c r="W479" s="73">
        <v>15939855.36</v>
      </c>
      <c r="X479" s="72">
        <v>91008</v>
      </c>
      <c r="Y479" s="73">
        <v>15356689.92</v>
      </c>
      <c r="Z479" s="72">
        <v>80640</v>
      </c>
      <c r="AA479" s="73">
        <v>13607193.6</v>
      </c>
      <c r="AB479" s="72">
        <v>45504</v>
      </c>
      <c r="AC479" s="73">
        <v>7686535.68</v>
      </c>
      <c r="AD479" s="72">
        <v>0</v>
      </c>
      <c r="AE479" s="73">
        <v>0</v>
      </c>
      <c r="AF479" s="72">
        <v>0</v>
      </c>
      <c r="AG479" s="88">
        <v>0</v>
      </c>
      <c r="AH479"/>
    </row>
    <row r="480" spans="1:34">
      <c r="B480" s="114">
        <v>461</v>
      </c>
      <c r="C480" s="117">
        <v>51</v>
      </c>
      <c r="D480" s="117"/>
      <c r="E480" s="117" t="s">
        <v>914</v>
      </c>
      <c r="F480" s="117" t="s">
        <v>915</v>
      </c>
      <c r="G480" s="117" t="s">
        <v>926</v>
      </c>
      <c r="H480" s="117" t="s">
        <v>927</v>
      </c>
      <c r="I480" s="120" t="s">
        <v>928</v>
      </c>
      <c r="J480" s="84">
        <v>800</v>
      </c>
      <c r="K480" s="73">
        <v>193560</v>
      </c>
      <c r="L480" s="72">
        <v>2800</v>
      </c>
      <c r="M480" s="73">
        <v>677460</v>
      </c>
      <c r="N480" s="72">
        <v>0</v>
      </c>
      <c r="O480" s="73">
        <v>0</v>
      </c>
      <c r="P480" s="72">
        <v>0</v>
      </c>
      <c r="Q480" s="73">
        <v>0</v>
      </c>
      <c r="R480" s="72">
        <v>0</v>
      </c>
      <c r="S480" s="73">
        <v>0</v>
      </c>
      <c r="T480" s="72">
        <v>0</v>
      </c>
      <c r="U480" s="73">
        <v>0</v>
      </c>
      <c r="V480" s="72">
        <v>0</v>
      </c>
      <c r="W480" s="73">
        <v>0</v>
      </c>
      <c r="X480" s="72">
        <v>0</v>
      </c>
      <c r="Y480" s="73">
        <v>0</v>
      </c>
      <c r="Z480" s="72">
        <v>0</v>
      </c>
      <c r="AA480" s="73">
        <v>0</v>
      </c>
      <c r="AB480" s="72">
        <v>0</v>
      </c>
      <c r="AC480" s="73">
        <v>0</v>
      </c>
      <c r="AD480" s="72">
        <v>0</v>
      </c>
      <c r="AE480" s="73">
        <v>0</v>
      </c>
      <c r="AF480" s="72">
        <v>0</v>
      </c>
      <c r="AG480" s="88">
        <v>0</v>
      </c>
      <c r="AH480"/>
    </row>
    <row r="481" spans="1:34">
      <c r="B481" s="114">
        <v>462</v>
      </c>
      <c r="C481" s="117">
        <v>52</v>
      </c>
      <c r="D481" s="117"/>
      <c r="E481" s="117" t="s">
        <v>914</v>
      </c>
      <c r="F481" s="117" t="s">
        <v>915</v>
      </c>
      <c r="G481" s="117" t="s">
        <v>919</v>
      </c>
      <c r="H481" s="117" t="s">
        <v>920</v>
      </c>
      <c r="I481" s="120" t="s">
        <v>921</v>
      </c>
      <c r="J481" s="84">
        <v>6500</v>
      </c>
      <c r="K481" s="73">
        <v>823485</v>
      </c>
      <c r="L481" s="72">
        <v>9750</v>
      </c>
      <c r="M481" s="73">
        <v>1235227.5</v>
      </c>
      <c r="N481" s="72">
        <v>11700</v>
      </c>
      <c r="O481" s="73">
        <v>1482273</v>
      </c>
      <c r="P481" s="72">
        <v>9750</v>
      </c>
      <c r="Q481" s="73">
        <v>1220700</v>
      </c>
      <c r="R481" s="72">
        <v>13000</v>
      </c>
      <c r="S481" s="73">
        <v>1627600</v>
      </c>
      <c r="T481" s="72">
        <v>10400</v>
      </c>
      <c r="U481" s="73">
        <v>1302080</v>
      </c>
      <c r="V481" s="72">
        <v>8450</v>
      </c>
      <c r="W481" s="73">
        <v>1057940</v>
      </c>
      <c r="X481" s="72">
        <v>7150</v>
      </c>
      <c r="Y481" s="73">
        <v>895180</v>
      </c>
      <c r="Z481" s="72">
        <v>12350</v>
      </c>
      <c r="AA481" s="73">
        <v>1546220</v>
      </c>
      <c r="AB481" s="72">
        <v>7800</v>
      </c>
      <c r="AC481" s="73">
        <v>967356</v>
      </c>
      <c r="AD481" s="72">
        <v>0</v>
      </c>
      <c r="AE481" s="73">
        <v>0</v>
      </c>
      <c r="AF481" s="72">
        <v>0</v>
      </c>
      <c r="AG481" s="88">
        <v>0</v>
      </c>
      <c r="AH481"/>
    </row>
    <row r="482" spans="1:34">
      <c r="B482" s="114">
        <v>463</v>
      </c>
      <c r="C482" s="117">
        <v>52</v>
      </c>
      <c r="D482" s="117"/>
      <c r="E482" s="117" t="s">
        <v>914</v>
      </c>
      <c r="F482" s="117" t="s">
        <v>915</v>
      </c>
      <c r="G482" s="117" t="s">
        <v>924</v>
      </c>
      <c r="H482" s="117" t="s">
        <v>917</v>
      </c>
      <c r="I482" s="120" t="s">
        <v>925</v>
      </c>
      <c r="J482" s="84">
        <v>0</v>
      </c>
      <c r="K482" s="73">
        <v>0</v>
      </c>
      <c r="L482" s="72">
        <v>200</v>
      </c>
      <c r="M482" s="73">
        <v>65116</v>
      </c>
      <c r="N482" s="72">
        <v>0</v>
      </c>
      <c r="O482" s="73">
        <v>0</v>
      </c>
      <c r="P482" s="72">
        <v>0</v>
      </c>
      <c r="Q482" s="73">
        <v>0</v>
      </c>
      <c r="R482" s="72">
        <v>0</v>
      </c>
      <c r="S482" s="73">
        <v>0</v>
      </c>
      <c r="T482" s="72">
        <v>0</v>
      </c>
      <c r="U482" s="73">
        <v>0</v>
      </c>
      <c r="V482" s="72">
        <v>0</v>
      </c>
      <c r="W482" s="73">
        <v>0</v>
      </c>
      <c r="X482" s="72">
        <v>0</v>
      </c>
      <c r="Y482" s="73">
        <v>0</v>
      </c>
      <c r="Z482" s="72">
        <v>0</v>
      </c>
      <c r="AA482" s="73">
        <v>0</v>
      </c>
      <c r="AB482" s="72">
        <v>0</v>
      </c>
      <c r="AC482" s="73">
        <v>0</v>
      </c>
      <c r="AD482" s="72">
        <v>0</v>
      </c>
      <c r="AE482" s="73">
        <v>0</v>
      </c>
      <c r="AF482" s="72">
        <v>0</v>
      </c>
      <c r="AG482" s="88">
        <v>0</v>
      </c>
      <c r="AH482"/>
    </row>
    <row r="483" spans="1:34">
      <c r="B483" s="114">
        <v>464</v>
      </c>
      <c r="C483" s="117">
        <v>52</v>
      </c>
      <c r="D483" s="117"/>
      <c r="E483" s="117" t="s">
        <v>914</v>
      </c>
      <c r="F483" s="117" t="s">
        <v>915</v>
      </c>
      <c r="G483" s="117" t="s">
        <v>922</v>
      </c>
      <c r="H483" s="117" t="s">
        <v>920</v>
      </c>
      <c r="I483" s="120" t="s">
        <v>923</v>
      </c>
      <c r="J483" s="84">
        <v>0</v>
      </c>
      <c r="K483" s="73">
        <v>0</v>
      </c>
      <c r="L483" s="72">
        <v>0</v>
      </c>
      <c r="M483" s="73">
        <v>0</v>
      </c>
      <c r="N483" s="72">
        <v>0</v>
      </c>
      <c r="O483" s="73">
        <v>0</v>
      </c>
      <c r="P483" s="72">
        <v>0</v>
      </c>
      <c r="Q483" s="73">
        <v>0</v>
      </c>
      <c r="R483" s="72">
        <v>0</v>
      </c>
      <c r="S483" s="73">
        <v>0</v>
      </c>
      <c r="T483" s="72">
        <v>0</v>
      </c>
      <c r="U483" s="73">
        <v>0</v>
      </c>
      <c r="V483" s="72">
        <v>0</v>
      </c>
      <c r="W483" s="73">
        <v>0</v>
      </c>
      <c r="X483" s="72">
        <v>0</v>
      </c>
      <c r="Y483" s="73">
        <v>0</v>
      </c>
      <c r="Z483" s="72">
        <v>3040</v>
      </c>
      <c r="AA483" s="73">
        <v>542883.2</v>
      </c>
      <c r="AB483" s="72">
        <v>2432</v>
      </c>
      <c r="AC483" s="73">
        <v>431436.8</v>
      </c>
      <c r="AD483" s="72">
        <v>0</v>
      </c>
      <c r="AE483" s="73">
        <v>0</v>
      </c>
      <c r="AF483" s="72">
        <v>0</v>
      </c>
      <c r="AG483" s="88">
        <v>0</v>
      </c>
      <c r="AH483"/>
    </row>
    <row r="484" spans="1:34">
      <c r="B484" s="114">
        <v>465</v>
      </c>
      <c r="C484" s="117">
        <v>52</v>
      </c>
      <c r="D484" s="117"/>
      <c r="E484" s="117" t="s">
        <v>914</v>
      </c>
      <c r="F484" s="117" t="s">
        <v>915</v>
      </c>
      <c r="G484" s="117" t="s">
        <v>946</v>
      </c>
      <c r="H484" s="117" t="s">
        <v>920</v>
      </c>
      <c r="I484" s="120" t="s">
        <v>947</v>
      </c>
      <c r="J484" s="84">
        <v>11340</v>
      </c>
      <c r="K484" s="73">
        <v>2861762.4</v>
      </c>
      <c r="L484" s="72">
        <v>11844</v>
      </c>
      <c r="M484" s="73">
        <v>2988951.84</v>
      </c>
      <c r="N484" s="72">
        <v>11844</v>
      </c>
      <c r="O484" s="73">
        <v>2988951.84</v>
      </c>
      <c r="P484" s="72">
        <v>9828</v>
      </c>
      <c r="Q484" s="73">
        <v>2450906.64</v>
      </c>
      <c r="R484" s="72">
        <v>14112</v>
      </c>
      <c r="S484" s="73">
        <v>3519250.56</v>
      </c>
      <c r="T484" s="72">
        <v>9324</v>
      </c>
      <c r="U484" s="73">
        <v>2325219.12</v>
      </c>
      <c r="V484" s="72">
        <v>8820</v>
      </c>
      <c r="W484" s="73">
        <v>2199531.6</v>
      </c>
      <c r="X484" s="72">
        <v>8064</v>
      </c>
      <c r="Y484" s="73">
        <v>2011000.32</v>
      </c>
      <c r="Z484" s="72">
        <v>6048</v>
      </c>
      <c r="AA484" s="73">
        <v>1508250.24</v>
      </c>
      <c r="AB484" s="72">
        <v>2268</v>
      </c>
      <c r="AC484" s="73">
        <v>567068.04</v>
      </c>
      <c r="AD484" s="72">
        <v>0</v>
      </c>
      <c r="AE484" s="73">
        <v>0</v>
      </c>
      <c r="AF484" s="72">
        <v>0</v>
      </c>
      <c r="AG484" s="88">
        <v>0</v>
      </c>
      <c r="AH484"/>
    </row>
    <row r="485" spans="1:34">
      <c r="B485" s="114">
        <v>466</v>
      </c>
      <c r="C485" s="117">
        <v>52</v>
      </c>
      <c r="D485" s="117"/>
      <c r="E485" s="117" t="s">
        <v>914</v>
      </c>
      <c r="F485" s="117" t="s">
        <v>915</v>
      </c>
      <c r="G485" s="117" t="s">
        <v>944</v>
      </c>
      <c r="H485" s="117" t="s">
        <v>920</v>
      </c>
      <c r="I485" s="120" t="s">
        <v>945</v>
      </c>
      <c r="J485" s="84">
        <v>17000</v>
      </c>
      <c r="K485" s="73">
        <v>2156620</v>
      </c>
      <c r="L485" s="72">
        <v>21000</v>
      </c>
      <c r="M485" s="73">
        <v>2664060</v>
      </c>
      <c r="N485" s="72">
        <v>32000</v>
      </c>
      <c r="O485" s="73">
        <v>4059520</v>
      </c>
      <c r="P485" s="72">
        <v>31000</v>
      </c>
      <c r="Q485" s="73">
        <v>3895770</v>
      </c>
      <c r="R485" s="72">
        <v>34000</v>
      </c>
      <c r="S485" s="73">
        <v>4272780</v>
      </c>
      <c r="T485" s="72">
        <v>26500</v>
      </c>
      <c r="U485" s="73">
        <v>3330255</v>
      </c>
      <c r="V485" s="72">
        <v>30000</v>
      </c>
      <c r="W485" s="73">
        <v>3770100</v>
      </c>
      <c r="X485" s="72">
        <v>21000</v>
      </c>
      <c r="Y485" s="73">
        <v>2639070</v>
      </c>
      <c r="Z485" s="72">
        <v>13000</v>
      </c>
      <c r="AA485" s="73">
        <v>1633710</v>
      </c>
      <c r="AB485" s="72">
        <v>14500</v>
      </c>
      <c r="AC485" s="73">
        <v>1881085</v>
      </c>
      <c r="AD485" s="72">
        <v>0</v>
      </c>
      <c r="AE485" s="73">
        <v>0</v>
      </c>
      <c r="AF485" s="72">
        <v>0</v>
      </c>
      <c r="AG485" s="88">
        <v>0</v>
      </c>
      <c r="AH485"/>
    </row>
    <row r="486" spans="1:34">
      <c r="B486" s="114">
        <v>467</v>
      </c>
      <c r="C486" s="117">
        <v>52</v>
      </c>
      <c r="D486" s="117"/>
      <c r="E486" s="117" t="s">
        <v>914</v>
      </c>
      <c r="F486" s="117" t="s">
        <v>915</v>
      </c>
      <c r="G486" s="117" t="s">
        <v>952</v>
      </c>
      <c r="H486" s="117" t="s">
        <v>920</v>
      </c>
      <c r="I486" s="120"/>
      <c r="J486" s="84">
        <v>18850</v>
      </c>
      <c r="K486" s="73">
        <v>2386975.5</v>
      </c>
      <c r="L486" s="72">
        <v>13000</v>
      </c>
      <c r="M486" s="73">
        <v>1646190</v>
      </c>
      <c r="N486" s="72">
        <v>10400</v>
      </c>
      <c r="O486" s="73">
        <v>1316952</v>
      </c>
      <c r="P486" s="72">
        <v>10400</v>
      </c>
      <c r="Q486" s="73">
        <v>1301456</v>
      </c>
      <c r="R486" s="72">
        <v>11700</v>
      </c>
      <c r="S486" s="73">
        <v>1464138</v>
      </c>
      <c r="T486" s="72">
        <v>20150</v>
      </c>
      <c r="U486" s="73">
        <v>2521571</v>
      </c>
      <c r="V486" s="72">
        <v>6500</v>
      </c>
      <c r="W486" s="73">
        <v>813410</v>
      </c>
      <c r="X486" s="72">
        <v>15600</v>
      </c>
      <c r="Y486" s="73">
        <v>1952184</v>
      </c>
      <c r="Z486" s="72">
        <v>16900</v>
      </c>
      <c r="AA486" s="73">
        <v>2114866</v>
      </c>
      <c r="AB486" s="72">
        <v>2600</v>
      </c>
      <c r="AC486" s="73">
        <v>322296</v>
      </c>
      <c r="AD486" s="72">
        <v>0</v>
      </c>
      <c r="AE486" s="73">
        <v>0</v>
      </c>
      <c r="AF486" s="72">
        <v>0</v>
      </c>
      <c r="AG486" s="88">
        <v>0</v>
      </c>
      <c r="AH486"/>
    </row>
    <row r="487" spans="1:34">
      <c r="B487" s="114">
        <v>468</v>
      </c>
      <c r="C487" s="117">
        <v>52</v>
      </c>
      <c r="D487" s="117"/>
      <c r="E487" s="117" t="s">
        <v>914</v>
      </c>
      <c r="F487" s="117" t="s">
        <v>915</v>
      </c>
      <c r="G487" s="117" t="s">
        <v>937</v>
      </c>
      <c r="H487" s="117" t="s">
        <v>920</v>
      </c>
      <c r="I487" s="120" t="s">
        <v>938</v>
      </c>
      <c r="J487" s="84">
        <v>48950</v>
      </c>
      <c r="K487" s="73">
        <v>8625969</v>
      </c>
      <c r="L487" s="72">
        <v>61050</v>
      </c>
      <c r="M487" s="73">
        <v>10758231</v>
      </c>
      <c r="N487" s="72">
        <v>52250</v>
      </c>
      <c r="O487" s="73">
        <v>9207495</v>
      </c>
      <c r="P487" s="72">
        <v>43450</v>
      </c>
      <c r="Q487" s="73">
        <v>7568990</v>
      </c>
      <c r="R487" s="72">
        <v>30800</v>
      </c>
      <c r="S487" s="73">
        <v>5365360</v>
      </c>
      <c r="T487" s="72">
        <v>24750</v>
      </c>
      <c r="U487" s="73">
        <v>4311450</v>
      </c>
      <c r="V487" s="72">
        <v>0</v>
      </c>
      <c r="W487" s="73">
        <v>0</v>
      </c>
      <c r="X487" s="72">
        <v>17050</v>
      </c>
      <c r="Y487" s="73">
        <v>2970110</v>
      </c>
      <c r="Z487" s="72">
        <v>29150</v>
      </c>
      <c r="AA487" s="73">
        <v>5077930</v>
      </c>
      <c r="AB487" s="72">
        <v>36300</v>
      </c>
      <c r="AC487" s="73">
        <v>6454140</v>
      </c>
      <c r="AD487" s="72">
        <v>0</v>
      </c>
      <c r="AE487" s="73">
        <v>0</v>
      </c>
      <c r="AF487" s="72">
        <v>0</v>
      </c>
      <c r="AG487" s="88">
        <v>0</v>
      </c>
      <c r="AH487"/>
    </row>
    <row r="488" spans="1:34">
      <c r="B488" s="114">
        <v>469</v>
      </c>
      <c r="C488" s="117">
        <v>52</v>
      </c>
      <c r="D488" s="117"/>
      <c r="E488" s="117" t="s">
        <v>914</v>
      </c>
      <c r="F488" s="117" t="s">
        <v>915</v>
      </c>
      <c r="G488" s="117" t="s">
        <v>943</v>
      </c>
      <c r="H488" s="117" t="s">
        <v>920</v>
      </c>
      <c r="I488" s="120" t="s">
        <v>255</v>
      </c>
      <c r="J488" s="84">
        <v>46800</v>
      </c>
      <c r="K488" s="73">
        <v>5946876</v>
      </c>
      <c r="L488" s="72">
        <v>86400</v>
      </c>
      <c r="M488" s="73">
        <v>10978848</v>
      </c>
      <c r="N488" s="72">
        <v>82800</v>
      </c>
      <c r="O488" s="73">
        <v>10521396</v>
      </c>
      <c r="P488" s="72">
        <v>42300</v>
      </c>
      <c r="Q488" s="73">
        <v>5324724</v>
      </c>
      <c r="R488" s="72">
        <v>45900</v>
      </c>
      <c r="S488" s="73">
        <v>5777892</v>
      </c>
      <c r="T488" s="72">
        <v>80100</v>
      </c>
      <c r="U488" s="73">
        <v>10082988</v>
      </c>
      <c r="V488" s="72">
        <v>91350</v>
      </c>
      <c r="W488" s="73">
        <v>11499138</v>
      </c>
      <c r="X488" s="72">
        <v>114300</v>
      </c>
      <c r="Y488" s="73">
        <v>14388084</v>
      </c>
      <c r="Z488" s="72">
        <v>94500</v>
      </c>
      <c r="AA488" s="73">
        <v>11895660</v>
      </c>
      <c r="AB488" s="72">
        <v>68850</v>
      </c>
      <c r="AC488" s="73">
        <v>8946369</v>
      </c>
      <c r="AD488" s="72">
        <v>0</v>
      </c>
      <c r="AE488" s="73">
        <v>0</v>
      </c>
      <c r="AF488" s="72">
        <v>0</v>
      </c>
      <c r="AG488" s="88">
        <v>0</v>
      </c>
      <c r="AH488"/>
    </row>
    <row r="489" spans="1:34">
      <c r="B489" s="114">
        <v>470</v>
      </c>
      <c r="C489" s="117">
        <v>51</v>
      </c>
      <c r="D489" s="117"/>
      <c r="E489" s="117" t="s">
        <v>954</v>
      </c>
      <c r="F489" s="117" t="s">
        <v>955</v>
      </c>
      <c r="G489" s="117" t="s">
        <v>956</v>
      </c>
      <c r="H489" s="117" t="s">
        <v>957</v>
      </c>
      <c r="I489" s="120" t="s">
        <v>958</v>
      </c>
      <c r="J489" s="84">
        <v>6000</v>
      </c>
      <c r="K489" s="73">
        <v>3600</v>
      </c>
      <c r="L489" s="72">
        <v>4000</v>
      </c>
      <c r="M489" s="73">
        <v>2400</v>
      </c>
      <c r="N489" s="72">
        <v>12000</v>
      </c>
      <c r="O489" s="73">
        <v>7200</v>
      </c>
      <c r="P489" s="72">
        <v>8000</v>
      </c>
      <c r="Q489" s="73">
        <v>4800</v>
      </c>
      <c r="R489" s="72">
        <v>16000</v>
      </c>
      <c r="S489" s="73">
        <v>9600</v>
      </c>
      <c r="T489" s="72">
        <v>16000</v>
      </c>
      <c r="U489" s="73">
        <v>9600</v>
      </c>
      <c r="V489" s="72">
        <v>8000</v>
      </c>
      <c r="W489" s="73">
        <v>4800</v>
      </c>
      <c r="X489" s="72">
        <v>13000</v>
      </c>
      <c r="Y489" s="73">
        <v>7800</v>
      </c>
      <c r="Z489" s="72">
        <v>6000</v>
      </c>
      <c r="AA489" s="73">
        <v>3600</v>
      </c>
      <c r="AB489" s="72">
        <v>10000</v>
      </c>
      <c r="AC489" s="73">
        <v>6000</v>
      </c>
      <c r="AD489" s="72">
        <v>0</v>
      </c>
      <c r="AE489" s="73">
        <v>0</v>
      </c>
      <c r="AF489" s="72">
        <v>0</v>
      </c>
      <c r="AG489" s="88">
        <v>0</v>
      </c>
      <c r="AH489"/>
    </row>
    <row r="490" spans="1:34">
      <c r="B490" s="114">
        <v>471</v>
      </c>
      <c r="C490" s="117">
        <v>51</v>
      </c>
      <c r="D490" s="117"/>
      <c r="E490" s="117" t="s">
        <v>954</v>
      </c>
      <c r="F490" s="117" t="s">
        <v>955</v>
      </c>
      <c r="G490" s="117" t="s">
        <v>960</v>
      </c>
      <c r="H490" s="117" t="s">
        <v>961</v>
      </c>
      <c r="I490" s="120" t="s">
        <v>703</v>
      </c>
      <c r="J490" s="84">
        <v>0</v>
      </c>
      <c r="K490" s="73">
        <v>0</v>
      </c>
      <c r="L490" s="72">
        <v>2000</v>
      </c>
      <c r="M490" s="73">
        <v>1560</v>
      </c>
      <c r="N490" s="72">
        <v>4000</v>
      </c>
      <c r="O490" s="73">
        <v>3120</v>
      </c>
      <c r="P490" s="72">
        <v>0</v>
      </c>
      <c r="Q490" s="73">
        <v>0</v>
      </c>
      <c r="R490" s="72">
        <v>8000</v>
      </c>
      <c r="S490" s="73">
        <v>6240</v>
      </c>
      <c r="T490" s="72">
        <v>12000</v>
      </c>
      <c r="U490" s="73">
        <v>9360</v>
      </c>
      <c r="V490" s="72">
        <v>8000</v>
      </c>
      <c r="W490" s="73">
        <v>6240</v>
      </c>
      <c r="X490" s="72">
        <v>8000</v>
      </c>
      <c r="Y490" s="73">
        <v>6240</v>
      </c>
      <c r="Z490" s="72">
        <v>4000</v>
      </c>
      <c r="AA490" s="73">
        <v>3120</v>
      </c>
      <c r="AB490" s="72">
        <v>2000</v>
      </c>
      <c r="AC490" s="73">
        <v>1560</v>
      </c>
      <c r="AD490" s="72">
        <v>0</v>
      </c>
      <c r="AE490" s="73">
        <v>0</v>
      </c>
      <c r="AF490" s="72">
        <v>0</v>
      </c>
      <c r="AG490" s="88">
        <v>0</v>
      </c>
      <c r="AH490"/>
    </row>
    <row r="491" spans="1:34">
      <c r="B491" s="114">
        <v>472</v>
      </c>
      <c r="C491" s="117">
        <v>51</v>
      </c>
      <c r="D491" s="117"/>
      <c r="E491" s="117" t="s">
        <v>954</v>
      </c>
      <c r="F491" s="117" t="s">
        <v>955</v>
      </c>
      <c r="G491" s="117" t="s">
        <v>959</v>
      </c>
      <c r="H491" s="117" t="s">
        <v>957</v>
      </c>
      <c r="I491" s="120" t="s">
        <v>455</v>
      </c>
      <c r="J491" s="84">
        <v>2000</v>
      </c>
      <c r="K491" s="73">
        <v>1200</v>
      </c>
      <c r="L491" s="72">
        <v>0</v>
      </c>
      <c r="M491" s="73">
        <v>0</v>
      </c>
      <c r="N491" s="72">
        <v>0</v>
      </c>
      <c r="O491" s="73">
        <v>0</v>
      </c>
      <c r="P491" s="72">
        <v>0</v>
      </c>
      <c r="Q491" s="73">
        <v>0</v>
      </c>
      <c r="R491" s="72">
        <v>0</v>
      </c>
      <c r="S491" s="73">
        <v>0</v>
      </c>
      <c r="T491" s="72">
        <v>0</v>
      </c>
      <c r="U491" s="73">
        <v>0</v>
      </c>
      <c r="V491" s="72">
        <v>0</v>
      </c>
      <c r="W491" s="73">
        <v>0</v>
      </c>
      <c r="X491" s="72">
        <v>0</v>
      </c>
      <c r="Y491" s="73">
        <v>0</v>
      </c>
      <c r="Z491" s="72">
        <v>0</v>
      </c>
      <c r="AA491" s="73">
        <v>0</v>
      </c>
      <c r="AB491" s="72">
        <v>1200</v>
      </c>
      <c r="AC491" s="73">
        <v>720</v>
      </c>
      <c r="AD491" s="72">
        <v>0</v>
      </c>
      <c r="AE491" s="73">
        <v>0</v>
      </c>
      <c r="AF491" s="72">
        <v>0</v>
      </c>
      <c r="AG491" s="88">
        <v>0</v>
      </c>
      <c r="AH491"/>
    </row>
    <row r="492" spans="1:34">
      <c r="B492" s="114">
        <v>473</v>
      </c>
      <c r="C492" s="117">
        <v>51</v>
      </c>
      <c r="D492" s="117"/>
      <c r="E492" s="117" t="s">
        <v>962</v>
      </c>
      <c r="F492" s="117" t="s">
        <v>963</v>
      </c>
      <c r="G492" s="117" t="s">
        <v>966</v>
      </c>
      <c r="H492" s="117" t="s">
        <v>368</v>
      </c>
      <c r="I492" s="120" t="s">
        <v>88</v>
      </c>
      <c r="J492" s="84">
        <v>0</v>
      </c>
      <c r="K492" s="73">
        <v>0</v>
      </c>
      <c r="L492" s="72">
        <v>0</v>
      </c>
      <c r="M492" s="73">
        <v>0</v>
      </c>
      <c r="N492" s="72">
        <v>500</v>
      </c>
      <c r="O492" s="73">
        <v>7650</v>
      </c>
      <c r="P492" s="72">
        <v>0</v>
      </c>
      <c r="Q492" s="73">
        <v>0</v>
      </c>
      <c r="R492" s="72">
        <v>0</v>
      </c>
      <c r="S492" s="73">
        <v>0</v>
      </c>
      <c r="T492" s="72">
        <v>0</v>
      </c>
      <c r="U492" s="73">
        <v>0</v>
      </c>
      <c r="V492" s="72">
        <v>0</v>
      </c>
      <c r="W492" s="73">
        <v>0</v>
      </c>
      <c r="X492" s="72">
        <v>0</v>
      </c>
      <c r="Y492" s="73">
        <v>0</v>
      </c>
      <c r="Z492" s="72">
        <v>0</v>
      </c>
      <c r="AA492" s="73">
        <v>0</v>
      </c>
      <c r="AB492" s="72">
        <v>0</v>
      </c>
      <c r="AC492" s="73">
        <v>0</v>
      </c>
      <c r="AD492" s="72">
        <v>0</v>
      </c>
      <c r="AE492" s="73">
        <v>0</v>
      </c>
      <c r="AF492" s="72">
        <v>0</v>
      </c>
      <c r="AG492" s="88">
        <v>0</v>
      </c>
      <c r="AH492"/>
    </row>
    <row r="493" spans="1:34">
      <c r="B493" s="114">
        <v>474</v>
      </c>
      <c r="C493" s="117">
        <v>51</v>
      </c>
      <c r="D493" s="117"/>
      <c r="E493" s="117" t="s">
        <v>962</v>
      </c>
      <c r="F493" s="117" t="s">
        <v>963</v>
      </c>
      <c r="G493" s="117" t="s">
        <v>967</v>
      </c>
      <c r="H493" s="117" t="s">
        <v>562</v>
      </c>
      <c r="I493" s="120" t="s">
        <v>88</v>
      </c>
      <c r="J493" s="84">
        <v>4500</v>
      </c>
      <c r="K493" s="73">
        <v>9000</v>
      </c>
      <c r="L493" s="72">
        <v>4500</v>
      </c>
      <c r="M493" s="73">
        <v>9000</v>
      </c>
      <c r="N493" s="72">
        <v>4500</v>
      </c>
      <c r="O493" s="73">
        <v>9000</v>
      </c>
      <c r="P493" s="72">
        <v>4500</v>
      </c>
      <c r="Q493" s="73">
        <v>9000</v>
      </c>
      <c r="R493" s="72">
        <v>9000</v>
      </c>
      <c r="S493" s="73">
        <v>18000</v>
      </c>
      <c r="T493" s="72">
        <v>4500</v>
      </c>
      <c r="U493" s="73">
        <v>9000</v>
      </c>
      <c r="V493" s="72">
        <v>4500</v>
      </c>
      <c r="W493" s="73">
        <v>9000</v>
      </c>
      <c r="X493" s="72">
        <v>4500</v>
      </c>
      <c r="Y493" s="73">
        <v>9000</v>
      </c>
      <c r="Z493" s="72">
        <v>9000</v>
      </c>
      <c r="AA493" s="73">
        <v>18000</v>
      </c>
      <c r="AB493" s="72">
        <v>4500</v>
      </c>
      <c r="AC493" s="73">
        <v>9000</v>
      </c>
      <c r="AD493" s="72">
        <v>0</v>
      </c>
      <c r="AE493" s="73">
        <v>0</v>
      </c>
      <c r="AF493" s="72">
        <v>0</v>
      </c>
      <c r="AG493" s="88">
        <v>0</v>
      </c>
      <c r="AH493"/>
    </row>
    <row r="494" spans="1:34">
      <c r="B494" s="114">
        <v>475</v>
      </c>
      <c r="C494" s="117">
        <v>51</v>
      </c>
      <c r="D494" s="117"/>
      <c r="E494" s="117" t="s">
        <v>962</v>
      </c>
      <c r="F494" s="117" t="s">
        <v>963</v>
      </c>
      <c r="G494" s="117" t="s">
        <v>989</v>
      </c>
      <c r="H494" s="117" t="s">
        <v>990</v>
      </c>
      <c r="I494" s="120" t="s">
        <v>985</v>
      </c>
      <c r="J494" s="84">
        <v>14250</v>
      </c>
      <c r="K494" s="73">
        <v>213750</v>
      </c>
      <c r="L494" s="72">
        <v>14820</v>
      </c>
      <c r="M494" s="73">
        <v>222300</v>
      </c>
      <c r="N494" s="72">
        <v>12540</v>
      </c>
      <c r="O494" s="73">
        <v>181260</v>
      </c>
      <c r="P494" s="72">
        <v>11970</v>
      </c>
      <c r="Q494" s="73">
        <v>179550</v>
      </c>
      <c r="R494" s="72">
        <v>9690</v>
      </c>
      <c r="S494" s="73">
        <v>145350</v>
      </c>
      <c r="T494" s="72">
        <v>13110</v>
      </c>
      <c r="U494" s="73">
        <v>196650</v>
      </c>
      <c r="V494" s="72">
        <v>11400</v>
      </c>
      <c r="W494" s="73">
        <v>171000</v>
      </c>
      <c r="X494" s="72">
        <v>14820</v>
      </c>
      <c r="Y494" s="73">
        <v>222300</v>
      </c>
      <c r="Z494" s="72">
        <v>9690</v>
      </c>
      <c r="AA494" s="73">
        <v>145350</v>
      </c>
      <c r="AB494" s="72">
        <v>7980</v>
      </c>
      <c r="AC494" s="73">
        <v>119700</v>
      </c>
      <c r="AD494" s="72">
        <v>0</v>
      </c>
      <c r="AE494" s="73">
        <v>0</v>
      </c>
      <c r="AF494" s="72">
        <v>0</v>
      </c>
      <c r="AG494" s="88">
        <v>0</v>
      </c>
      <c r="AH494"/>
    </row>
    <row r="495" spans="1:34">
      <c r="B495" s="114">
        <v>476</v>
      </c>
      <c r="C495" s="117">
        <v>51</v>
      </c>
      <c r="D495" s="117"/>
      <c r="E495" s="117" t="s">
        <v>962</v>
      </c>
      <c r="F495" s="117" t="s">
        <v>963</v>
      </c>
      <c r="G495" s="117" t="s">
        <v>986</v>
      </c>
      <c r="H495" s="117" t="s">
        <v>647</v>
      </c>
      <c r="I495" s="120" t="s">
        <v>88</v>
      </c>
      <c r="J495" s="84">
        <v>3360</v>
      </c>
      <c r="K495" s="73">
        <v>29064</v>
      </c>
      <c r="L495" s="72">
        <v>5040</v>
      </c>
      <c r="M495" s="73">
        <v>43596</v>
      </c>
      <c r="N495" s="72">
        <v>6720</v>
      </c>
      <c r="O495" s="73">
        <v>58128</v>
      </c>
      <c r="P495" s="72">
        <v>5040</v>
      </c>
      <c r="Q495" s="73">
        <v>43596</v>
      </c>
      <c r="R495" s="72">
        <v>5040</v>
      </c>
      <c r="S495" s="73">
        <v>43596</v>
      </c>
      <c r="T495" s="72">
        <v>6719</v>
      </c>
      <c r="U495" s="73">
        <v>58119.35</v>
      </c>
      <c r="V495" s="72">
        <v>5040</v>
      </c>
      <c r="W495" s="73">
        <v>32424</v>
      </c>
      <c r="X495" s="72">
        <v>5040</v>
      </c>
      <c r="Y495" s="73">
        <v>43596</v>
      </c>
      <c r="Z495" s="72">
        <v>5040</v>
      </c>
      <c r="AA495" s="73">
        <v>43596</v>
      </c>
      <c r="AB495" s="72">
        <v>1680</v>
      </c>
      <c r="AC495" s="73">
        <v>14532</v>
      </c>
      <c r="AD495" s="72">
        <v>0</v>
      </c>
      <c r="AE495" s="73">
        <v>0</v>
      </c>
      <c r="AF495" s="72">
        <v>0</v>
      </c>
      <c r="AG495" s="88">
        <v>0</v>
      </c>
      <c r="AH495"/>
    </row>
    <row r="496" spans="1:34">
      <c r="B496" s="114">
        <v>477</v>
      </c>
      <c r="C496" s="117">
        <v>51</v>
      </c>
      <c r="D496" s="117"/>
      <c r="E496" s="117" t="s">
        <v>962</v>
      </c>
      <c r="F496" s="117" t="s">
        <v>963</v>
      </c>
      <c r="G496" s="117" t="s">
        <v>974</v>
      </c>
      <c r="H496" s="117" t="s">
        <v>358</v>
      </c>
      <c r="I496" s="120" t="s">
        <v>351</v>
      </c>
      <c r="J496" s="84">
        <v>0</v>
      </c>
      <c r="K496" s="73">
        <v>0</v>
      </c>
      <c r="L496" s="72">
        <v>0</v>
      </c>
      <c r="M496" s="73">
        <v>0</v>
      </c>
      <c r="N496" s="72">
        <v>0</v>
      </c>
      <c r="O496" s="73">
        <v>0</v>
      </c>
      <c r="P496" s="72">
        <v>0</v>
      </c>
      <c r="Q496" s="73">
        <v>0</v>
      </c>
      <c r="R496" s="72">
        <v>0</v>
      </c>
      <c r="S496" s="73">
        <v>0</v>
      </c>
      <c r="T496" s="72">
        <v>0</v>
      </c>
      <c r="U496" s="73">
        <v>0</v>
      </c>
      <c r="V496" s="72">
        <v>0</v>
      </c>
      <c r="W496" s="73">
        <v>0</v>
      </c>
      <c r="X496" s="72">
        <v>0</v>
      </c>
      <c r="Y496" s="73">
        <v>0</v>
      </c>
      <c r="Z496" s="72">
        <v>0</v>
      </c>
      <c r="AA496" s="73">
        <v>0</v>
      </c>
      <c r="AB496" s="72">
        <v>570</v>
      </c>
      <c r="AC496" s="73">
        <v>5130</v>
      </c>
      <c r="AD496" s="72">
        <v>0</v>
      </c>
      <c r="AE496" s="73">
        <v>0</v>
      </c>
      <c r="AF496" s="72">
        <v>0</v>
      </c>
      <c r="AG496" s="88">
        <v>0</v>
      </c>
      <c r="AH496"/>
    </row>
    <row r="497" spans="1:34">
      <c r="B497" s="114">
        <v>478</v>
      </c>
      <c r="C497" s="117">
        <v>51</v>
      </c>
      <c r="D497" s="117"/>
      <c r="E497" s="117" t="s">
        <v>962</v>
      </c>
      <c r="F497" s="117" t="s">
        <v>963</v>
      </c>
      <c r="G497" s="117" t="s">
        <v>964</v>
      </c>
      <c r="H497" s="117" t="s">
        <v>558</v>
      </c>
      <c r="I497" s="120" t="s">
        <v>965</v>
      </c>
      <c r="J497" s="84">
        <v>12600</v>
      </c>
      <c r="K497" s="73">
        <v>37800</v>
      </c>
      <c r="L497" s="72">
        <v>16200</v>
      </c>
      <c r="M497" s="73">
        <v>48600</v>
      </c>
      <c r="N497" s="72">
        <v>14400</v>
      </c>
      <c r="O497" s="73">
        <v>43200</v>
      </c>
      <c r="P497" s="72">
        <v>14400</v>
      </c>
      <c r="Q497" s="73">
        <v>43200</v>
      </c>
      <c r="R497" s="72">
        <v>10800</v>
      </c>
      <c r="S497" s="73">
        <v>32400</v>
      </c>
      <c r="T497" s="72">
        <v>14400</v>
      </c>
      <c r="U497" s="73">
        <v>43200</v>
      </c>
      <c r="V497" s="72">
        <v>14400</v>
      </c>
      <c r="W497" s="73">
        <v>43200</v>
      </c>
      <c r="X497" s="72">
        <v>16187</v>
      </c>
      <c r="Y497" s="73">
        <v>48561</v>
      </c>
      <c r="Z497" s="72">
        <v>10799</v>
      </c>
      <c r="AA497" s="73">
        <v>32397</v>
      </c>
      <c r="AB497" s="72">
        <v>10800</v>
      </c>
      <c r="AC497" s="73">
        <v>32400</v>
      </c>
      <c r="AD497" s="72">
        <v>0</v>
      </c>
      <c r="AE497" s="73">
        <v>0</v>
      </c>
      <c r="AF497" s="72">
        <v>0</v>
      </c>
      <c r="AG497" s="88">
        <v>0</v>
      </c>
      <c r="AH497"/>
    </row>
    <row r="498" spans="1:34">
      <c r="B498" s="114">
        <v>479</v>
      </c>
      <c r="C498" s="117">
        <v>51</v>
      </c>
      <c r="D498" s="117"/>
      <c r="E498" s="117" t="s">
        <v>962</v>
      </c>
      <c r="F498" s="117" t="s">
        <v>963</v>
      </c>
      <c r="G498" s="117" t="s">
        <v>973</v>
      </c>
      <c r="H498" s="117" t="s">
        <v>364</v>
      </c>
      <c r="I498" s="120" t="s">
        <v>280</v>
      </c>
      <c r="J498" s="84">
        <v>0</v>
      </c>
      <c r="K498" s="73">
        <v>0</v>
      </c>
      <c r="L498" s="72">
        <v>0</v>
      </c>
      <c r="M498" s="73">
        <v>0</v>
      </c>
      <c r="N498" s="72">
        <v>0</v>
      </c>
      <c r="O498" s="73">
        <v>0</v>
      </c>
      <c r="P498" s="72">
        <v>0</v>
      </c>
      <c r="Q498" s="73">
        <v>0</v>
      </c>
      <c r="R498" s="72">
        <v>0</v>
      </c>
      <c r="S498" s="73">
        <v>0</v>
      </c>
      <c r="T498" s="72">
        <v>0</v>
      </c>
      <c r="U498" s="73">
        <v>0</v>
      </c>
      <c r="V498" s="72">
        <v>0</v>
      </c>
      <c r="W498" s="73">
        <v>0</v>
      </c>
      <c r="X498" s="72">
        <v>0</v>
      </c>
      <c r="Y498" s="73">
        <v>0</v>
      </c>
      <c r="Z498" s="72">
        <v>2160</v>
      </c>
      <c r="AA498" s="73">
        <v>32940</v>
      </c>
      <c r="AB498" s="72">
        <v>0</v>
      </c>
      <c r="AC498" s="73">
        <v>0</v>
      </c>
      <c r="AD498" s="72">
        <v>0</v>
      </c>
      <c r="AE498" s="73">
        <v>0</v>
      </c>
      <c r="AF498" s="72">
        <v>0</v>
      </c>
      <c r="AG498" s="88">
        <v>0</v>
      </c>
      <c r="AH498"/>
    </row>
    <row r="499" spans="1:34">
      <c r="B499" s="114">
        <v>480</v>
      </c>
      <c r="C499" s="117">
        <v>51</v>
      </c>
      <c r="D499" s="117"/>
      <c r="E499" s="117" t="s">
        <v>962</v>
      </c>
      <c r="F499" s="117" t="s">
        <v>963</v>
      </c>
      <c r="G499" s="117" t="s">
        <v>970</v>
      </c>
      <c r="H499" s="117" t="s">
        <v>971</v>
      </c>
      <c r="I499" s="120" t="s">
        <v>369</v>
      </c>
      <c r="J499" s="84">
        <v>12000</v>
      </c>
      <c r="K499" s="73">
        <v>210000</v>
      </c>
      <c r="L499" s="72">
        <v>15360</v>
      </c>
      <c r="M499" s="73">
        <v>268800</v>
      </c>
      <c r="N499" s="72">
        <v>10560</v>
      </c>
      <c r="O499" s="73">
        <v>184800</v>
      </c>
      <c r="P499" s="72">
        <v>12000</v>
      </c>
      <c r="Q499" s="73">
        <v>210000</v>
      </c>
      <c r="R499" s="72">
        <v>8640</v>
      </c>
      <c r="S499" s="73">
        <v>151200</v>
      </c>
      <c r="T499" s="72">
        <v>12960</v>
      </c>
      <c r="U499" s="73">
        <v>226800</v>
      </c>
      <c r="V499" s="72">
        <v>12960</v>
      </c>
      <c r="W499" s="73">
        <v>226800</v>
      </c>
      <c r="X499" s="72">
        <v>13920</v>
      </c>
      <c r="Y499" s="73">
        <v>243600</v>
      </c>
      <c r="Z499" s="72">
        <v>7678</v>
      </c>
      <c r="AA499" s="73">
        <v>134365</v>
      </c>
      <c r="AB499" s="72">
        <v>7680</v>
      </c>
      <c r="AC499" s="73">
        <v>134400</v>
      </c>
      <c r="AD499" s="72">
        <v>0</v>
      </c>
      <c r="AE499" s="73">
        <v>0</v>
      </c>
      <c r="AF499" s="72">
        <v>0</v>
      </c>
      <c r="AG499" s="88">
        <v>0</v>
      </c>
      <c r="AH499"/>
    </row>
    <row r="500" spans="1:34">
      <c r="B500" s="114">
        <v>481</v>
      </c>
      <c r="C500" s="117">
        <v>51</v>
      </c>
      <c r="D500" s="117"/>
      <c r="E500" s="117" t="s">
        <v>962</v>
      </c>
      <c r="F500" s="117" t="s">
        <v>963</v>
      </c>
      <c r="G500" s="117" t="s">
        <v>981</v>
      </c>
      <c r="H500" s="117" t="s">
        <v>350</v>
      </c>
      <c r="I500" s="120" t="s">
        <v>982</v>
      </c>
      <c r="J500" s="84">
        <v>0</v>
      </c>
      <c r="K500" s="73">
        <v>0</v>
      </c>
      <c r="L500" s="72">
        <v>0</v>
      </c>
      <c r="M500" s="73">
        <v>0</v>
      </c>
      <c r="N500" s="72">
        <v>0</v>
      </c>
      <c r="O500" s="73">
        <v>0</v>
      </c>
      <c r="P500" s="72">
        <v>0</v>
      </c>
      <c r="Q500" s="73">
        <v>0</v>
      </c>
      <c r="R500" s="72">
        <v>0</v>
      </c>
      <c r="S500" s="73">
        <v>0</v>
      </c>
      <c r="T500" s="72">
        <v>0</v>
      </c>
      <c r="U500" s="73">
        <v>0</v>
      </c>
      <c r="V500" s="72">
        <v>0</v>
      </c>
      <c r="W500" s="73">
        <v>0</v>
      </c>
      <c r="X500" s="72">
        <v>0</v>
      </c>
      <c r="Y500" s="73">
        <v>0</v>
      </c>
      <c r="Z500" s="72">
        <v>0</v>
      </c>
      <c r="AA500" s="73">
        <v>0</v>
      </c>
      <c r="AB500" s="72">
        <v>480</v>
      </c>
      <c r="AC500" s="73">
        <v>6240</v>
      </c>
      <c r="AD500" s="72">
        <v>0</v>
      </c>
      <c r="AE500" s="73">
        <v>0</v>
      </c>
      <c r="AF500" s="72">
        <v>0</v>
      </c>
      <c r="AG500" s="88">
        <v>0</v>
      </c>
      <c r="AH500"/>
    </row>
    <row r="501" spans="1:34">
      <c r="B501" s="114">
        <v>482</v>
      </c>
      <c r="C501" s="117">
        <v>51</v>
      </c>
      <c r="D501" s="117"/>
      <c r="E501" s="117" t="s">
        <v>962</v>
      </c>
      <c r="F501" s="117" t="s">
        <v>963</v>
      </c>
      <c r="G501" s="117" t="s">
        <v>979</v>
      </c>
      <c r="H501" s="117" t="s">
        <v>364</v>
      </c>
      <c r="I501" s="120" t="s">
        <v>280</v>
      </c>
      <c r="J501" s="84">
        <v>6480</v>
      </c>
      <c r="K501" s="73">
        <v>98820</v>
      </c>
      <c r="L501" s="72">
        <v>6480</v>
      </c>
      <c r="M501" s="73">
        <v>98820</v>
      </c>
      <c r="N501" s="72">
        <v>7560</v>
      </c>
      <c r="O501" s="73">
        <v>115290</v>
      </c>
      <c r="P501" s="72">
        <v>8640</v>
      </c>
      <c r="Q501" s="73">
        <v>131760</v>
      </c>
      <c r="R501" s="72">
        <v>7560</v>
      </c>
      <c r="S501" s="73">
        <v>115290</v>
      </c>
      <c r="T501" s="72">
        <v>7560</v>
      </c>
      <c r="U501" s="73">
        <v>115290</v>
      </c>
      <c r="V501" s="72">
        <v>8616</v>
      </c>
      <c r="W501" s="73">
        <v>131394</v>
      </c>
      <c r="X501" s="72">
        <v>7560</v>
      </c>
      <c r="Y501" s="73">
        <v>115290</v>
      </c>
      <c r="Z501" s="72">
        <v>2160</v>
      </c>
      <c r="AA501" s="73">
        <v>32940</v>
      </c>
      <c r="AB501" s="72">
        <v>4320</v>
      </c>
      <c r="AC501" s="73">
        <v>65880</v>
      </c>
      <c r="AD501" s="72">
        <v>0</v>
      </c>
      <c r="AE501" s="73">
        <v>0</v>
      </c>
      <c r="AF501" s="72">
        <v>0</v>
      </c>
      <c r="AG501" s="88">
        <v>0</v>
      </c>
      <c r="AH501"/>
    </row>
    <row r="502" spans="1:34">
      <c r="B502" s="114">
        <v>483</v>
      </c>
      <c r="C502" s="117">
        <v>51</v>
      </c>
      <c r="D502" s="117"/>
      <c r="E502" s="117" t="s">
        <v>962</v>
      </c>
      <c r="F502" s="117" t="s">
        <v>963</v>
      </c>
      <c r="G502" s="117" t="s">
        <v>969</v>
      </c>
      <c r="H502" s="117" t="s">
        <v>155</v>
      </c>
      <c r="I502" s="120" t="s">
        <v>164</v>
      </c>
      <c r="J502" s="84">
        <v>16200</v>
      </c>
      <c r="K502" s="73">
        <v>218700</v>
      </c>
      <c r="L502" s="72">
        <v>19800</v>
      </c>
      <c r="M502" s="73">
        <v>267300</v>
      </c>
      <c r="N502" s="72">
        <v>21600</v>
      </c>
      <c r="O502" s="73">
        <v>291600</v>
      </c>
      <c r="P502" s="72">
        <v>16200</v>
      </c>
      <c r="Q502" s="73">
        <v>218700</v>
      </c>
      <c r="R502" s="72">
        <v>15300</v>
      </c>
      <c r="S502" s="73">
        <v>206550</v>
      </c>
      <c r="T502" s="72">
        <v>18000</v>
      </c>
      <c r="U502" s="73">
        <v>243000</v>
      </c>
      <c r="V502" s="72">
        <v>18000</v>
      </c>
      <c r="W502" s="73">
        <v>243000</v>
      </c>
      <c r="X502" s="72">
        <v>19800</v>
      </c>
      <c r="Y502" s="73">
        <v>267300</v>
      </c>
      <c r="Z502" s="72">
        <v>12600</v>
      </c>
      <c r="AA502" s="73">
        <v>170100</v>
      </c>
      <c r="AB502" s="72">
        <v>8100</v>
      </c>
      <c r="AC502" s="73">
        <v>109350</v>
      </c>
      <c r="AD502" s="72">
        <v>0</v>
      </c>
      <c r="AE502" s="73">
        <v>0</v>
      </c>
      <c r="AF502" s="72">
        <v>0</v>
      </c>
      <c r="AG502" s="88">
        <v>0</v>
      </c>
      <c r="AH502"/>
    </row>
    <row r="503" spans="1:34">
      <c r="B503" s="114">
        <v>484</v>
      </c>
      <c r="C503" s="117">
        <v>51</v>
      </c>
      <c r="D503" s="117"/>
      <c r="E503" s="117" t="s">
        <v>962</v>
      </c>
      <c r="F503" s="117" t="s">
        <v>963</v>
      </c>
      <c r="G503" s="117" t="s">
        <v>987</v>
      </c>
      <c r="H503" s="117" t="s">
        <v>366</v>
      </c>
      <c r="I503" s="120" t="s">
        <v>164</v>
      </c>
      <c r="J503" s="84">
        <v>15000</v>
      </c>
      <c r="K503" s="73">
        <v>525000</v>
      </c>
      <c r="L503" s="72">
        <v>22199</v>
      </c>
      <c r="M503" s="73">
        <v>776965</v>
      </c>
      <c r="N503" s="72">
        <v>19200</v>
      </c>
      <c r="O503" s="73">
        <v>672000</v>
      </c>
      <c r="P503" s="72">
        <v>16200</v>
      </c>
      <c r="Q503" s="73">
        <v>567000</v>
      </c>
      <c r="R503" s="72">
        <v>15000</v>
      </c>
      <c r="S503" s="73">
        <v>525000</v>
      </c>
      <c r="T503" s="72">
        <v>19800</v>
      </c>
      <c r="U503" s="73">
        <v>667200</v>
      </c>
      <c r="V503" s="72">
        <v>18000</v>
      </c>
      <c r="W503" s="73">
        <v>630000</v>
      </c>
      <c r="X503" s="72">
        <v>18000</v>
      </c>
      <c r="Y503" s="73">
        <v>630000</v>
      </c>
      <c r="Z503" s="72">
        <v>10800</v>
      </c>
      <c r="AA503" s="73">
        <v>397200</v>
      </c>
      <c r="AB503" s="72">
        <v>7800</v>
      </c>
      <c r="AC503" s="73">
        <v>304200</v>
      </c>
      <c r="AD503" s="72">
        <v>0</v>
      </c>
      <c r="AE503" s="73">
        <v>0</v>
      </c>
      <c r="AF503" s="72">
        <v>0</v>
      </c>
      <c r="AG503" s="88">
        <v>0</v>
      </c>
      <c r="AH503"/>
    </row>
    <row r="504" spans="1:34">
      <c r="B504" s="114">
        <v>485</v>
      </c>
      <c r="C504" s="117">
        <v>51</v>
      </c>
      <c r="D504" s="117"/>
      <c r="E504" s="117" t="s">
        <v>962</v>
      </c>
      <c r="F504" s="117" t="s">
        <v>963</v>
      </c>
      <c r="G504" s="117" t="s">
        <v>983</v>
      </c>
      <c r="H504" s="117" t="s">
        <v>984</v>
      </c>
      <c r="I504" s="120" t="s">
        <v>985</v>
      </c>
      <c r="J504" s="84">
        <v>0</v>
      </c>
      <c r="K504" s="73">
        <v>0</v>
      </c>
      <c r="L504" s="72">
        <v>0</v>
      </c>
      <c r="M504" s="73">
        <v>0</v>
      </c>
      <c r="N504" s="72">
        <v>0</v>
      </c>
      <c r="O504" s="73">
        <v>0</v>
      </c>
      <c r="P504" s="72">
        <v>0</v>
      </c>
      <c r="Q504" s="73">
        <v>0</v>
      </c>
      <c r="R504" s="72">
        <v>0</v>
      </c>
      <c r="S504" s="73">
        <v>0</v>
      </c>
      <c r="T504" s="72">
        <v>0</v>
      </c>
      <c r="U504" s="73">
        <v>0</v>
      </c>
      <c r="V504" s="72">
        <v>0</v>
      </c>
      <c r="W504" s="73">
        <v>0</v>
      </c>
      <c r="X504" s="72">
        <v>0</v>
      </c>
      <c r="Y504" s="73">
        <v>0</v>
      </c>
      <c r="Z504" s="72">
        <v>0</v>
      </c>
      <c r="AA504" s="73">
        <v>0</v>
      </c>
      <c r="AB504" s="72">
        <v>15</v>
      </c>
      <c r="AC504" s="73">
        <v>240</v>
      </c>
      <c r="AD504" s="72">
        <v>0</v>
      </c>
      <c r="AE504" s="73">
        <v>0</v>
      </c>
      <c r="AF504" s="72">
        <v>0</v>
      </c>
      <c r="AG504" s="88">
        <v>0</v>
      </c>
      <c r="AH504"/>
    </row>
    <row r="505" spans="1:34">
      <c r="B505" s="114">
        <v>486</v>
      </c>
      <c r="C505" s="117">
        <v>51</v>
      </c>
      <c r="D505" s="117"/>
      <c r="E505" s="117" t="s">
        <v>962</v>
      </c>
      <c r="F505" s="117" t="s">
        <v>963</v>
      </c>
      <c r="G505" s="117" t="s">
        <v>972</v>
      </c>
      <c r="H505" s="117" t="s">
        <v>353</v>
      </c>
      <c r="I505" s="120" t="s">
        <v>351</v>
      </c>
      <c r="J505" s="84">
        <v>0</v>
      </c>
      <c r="K505" s="73">
        <v>0</v>
      </c>
      <c r="L505" s="72">
        <v>0</v>
      </c>
      <c r="M505" s="73">
        <v>0</v>
      </c>
      <c r="N505" s="72">
        <v>0</v>
      </c>
      <c r="O505" s="73">
        <v>0</v>
      </c>
      <c r="P505" s="72">
        <v>0</v>
      </c>
      <c r="Q505" s="73">
        <v>0</v>
      </c>
      <c r="R505" s="72">
        <v>0</v>
      </c>
      <c r="S505" s="73">
        <v>0</v>
      </c>
      <c r="T505" s="72">
        <v>0</v>
      </c>
      <c r="U505" s="73">
        <v>0</v>
      </c>
      <c r="V505" s="72">
        <v>0</v>
      </c>
      <c r="W505" s="73">
        <v>0</v>
      </c>
      <c r="X505" s="72">
        <v>0</v>
      </c>
      <c r="Y505" s="73">
        <v>0</v>
      </c>
      <c r="Z505" s="72">
        <v>1260</v>
      </c>
      <c r="AA505" s="73">
        <v>7560</v>
      </c>
      <c r="AB505" s="72">
        <v>0</v>
      </c>
      <c r="AC505" s="73">
        <v>0</v>
      </c>
      <c r="AD505" s="72">
        <v>0</v>
      </c>
      <c r="AE505" s="73">
        <v>0</v>
      </c>
      <c r="AF505" s="72">
        <v>0</v>
      </c>
      <c r="AG505" s="88">
        <v>0</v>
      </c>
      <c r="AH505"/>
    </row>
    <row r="506" spans="1:34">
      <c r="B506" s="114">
        <v>487</v>
      </c>
      <c r="C506" s="117">
        <v>51</v>
      </c>
      <c r="D506" s="117"/>
      <c r="E506" s="117" t="s">
        <v>962</v>
      </c>
      <c r="F506" s="117" t="s">
        <v>963</v>
      </c>
      <c r="G506" s="117" t="s">
        <v>988</v>
      </c>
      <c r="H506" s="117" t="s">
        <v>374</v>
      </c>
      <c r="I506" s="120" t="s">
        <v>266</v>
      </c>
      <c r="J506" s="84">
        <v>14805</v>
      </c>
      <c r="K506" s="73">
        <v>202828.5</v>
      </c>
      <c r="L506" s="72">
        <v>21855</v>
      </c>
      <c r="M506" s="73">
        <v>299413.5</v>
      </c>
      <c r="N506" s="72">
        <v>19740</v>
      </c>
      <c r="O506" s="73">
        <v>270438</v>
      </c>
      <c r="P506" s="72">
        <v>16194</v>
      </c>
      <c r="Q506" s="73">
        <v>221857.8</v>
      </c>
      <c r="R506" s="72">
        <v>14784</v>
      </c>
      <c r="S506" s="73">
        <v>202540.8</v>
      </c>
      <c r="T506" s="72">
        <v>17600</v>
      </c>
      <c r="U506" s="73">
        <v>241120</v>
      </c>
      <c r="V506" s="72">
        <v>18304</v>
      </c>
      <c r="W506" s="73">
        <v>250764.8</v>
      </c>
      <c r="X506" s="72">
        <v>19712</v>
      </c>
      <c r="Y506" s="73">
        <v>270054.4</v>
      </c>
      <c r="Z506" s="72">
        <v>14080</v>
      </c>
      <c r="AA506" s="73">
        <v>192896</v>
      </c>
      <c r="AB506" s="72">
        <v>7744</v>
      </c>
      <c r="AC506" s="73">
        <v>106092.8</v>
      </c>
      <c r="AD506" s="72">
        <v>0</v>
      </c>
      <c r="AE506" s="73">
        <v>0</v>
      </c>
      <c r="AF506" s="72">
        <v>0</v>
      </c>
      <c r="AG506" s="88">
        <v>0</v>
      </c>
      <c r="AH506"/>
    </row>
    <row r="507" spans="1:34">
      <c r="B507" s="114">
        <v>488</v>
      </c>
      <c r="C507" s="117">
        <v>51</v>
      </c>
      <c r="D507" s="117"/>
      <c r="E507" s="117" t="s">
        <v>962</v>
      </c>
      <c r="F507" s="117" t="s">
        <v>963</v>
      </c>
      <c r="G507" s="117" t="s">
        <v>975</v>
      </c>
      <c r="H507" s="117" t="s">
        <v>368</v>
      </c>
      <c r="I507" s="120" t="s">
        <v>976</v>
      </c>
      <c r="J507" s="84">
        <v>13110</v>
      </c>
      <c r="K507" s="73">
        <v>196650</v>
      </c>
      <c r="L507" s="72">
        <v>19380</v>
      </c>
      <c r="M507" s="73">
        <v>290700</v>
      </c>
      <c r="N507" s="72">
        <v>14820</v>
      </c>
      <c r="O507" s="73">
        <v>222300</v>
      </c>
      <c r="P507" s="72">
        <v>14250</v>
      </c>
      <c r="Q507" s="73">
        <v>215175</v>
      </c>
      <c r="R507" s="72">
        <v>11969</v>
      </c>
      <c r="S507" s="73">
        <v>179535</v>
      </c>
      <c r="T507" s="72">
        <v>15390</v>
      </c>
      <c r="U507" s="73">
        <v>230850</v>
      </c>
      <c r="V507" s="72">
        <v>15960</v>
      </c>
      <c r="W507" s="73">
        <v>239400</v>
      </c>
      <c r="X507" s="72">
        <v>14820</v>
      </c>
      <c r="Y507" s="73">
        <v>222300</v>
      </c>
      <c r="Z507" s="72">
        <v>11399</v>
      </c>
      <c r="AA507" s="73">
        <v>170985</v>
      </c>
      <c r="AB507" s="72">
        <v>6840</v>
      </c>
      <c r="AC507" s="73">
        <v>102600</v>
      </c>
      <c r="AD507" s="72">
        <v>0</v>
      </c>
      <c r="AE507" s="73">
        <v>0</v>
      </c>
      <c r="AF507" s="72">
        <v>0</v>
      </c>
      <c r="AG507" s="88">
        <v>0</v>
      </c>
      <c r="AH507"/>
    </row>
    <row r="508" spans="1:34">
      <c r="B508" s="114">
        <v>489</v>
      </c>
      <c r="C508" s="117">
        <v>51</v>
      </c>
      <c r="D508" s="117"/>
      <c r="E508" s="117" t="s">
        <v>962</v>
      </c>
      <c r="F508" s="117" t="s">
        <v>963</v>
      </c>
      <c r="G508" s="117" t="s">
        <v>980</v>
      </c>
      <c r="H508" s="117" t="s">
        <v>353</v>
      </c>
      <c r="I508" s="120" t="s">
        <v>277</v>
      </c>
      <c r="J508" s="84">
        <v>13860</v>
      </c>
      <c r="K508" s="73">
        <v>83160</v>
      </c>
      <c r="L508" s="72">
        <v>16380</v>
      </c>
      <c r="M508" s="73">
        <v>98280</v>
      </c>
      <c r="N508" s="72">
        <v>13860</v>
      </c>
      <c r="O508" s="73">
        <v>83160</v>
      </c>
      <c r="P508" s="72">
        <v>13860</v>
      </c>
      <c r="Q508" s="73">
        <v>83160</v>
      </c>
      <c r="R508" s="72">
        <v>11340</v>
      </c>
      <c r="S508" s="73">
        <v>68040</v>
      </c>
      <c r="T508" s="72">
        <v>12600</v>
      </c>
      <c r="U508" s="73">
        <v>75600</v>
      </c>
      <c r="V508" s="72">
        <v>16380</v>
      </c>
      <c r="W508" s="73">
        <v>98280</v>
      </c>
      <c r="X508" s="72">
        <v>12600</v>
      </c>
      <c r="Y508" s="73">
        <v>75600</v>
      </c>
      <c r="Z508" s="72">
        <v>10080</v>
      </c>
      <c r="AA508" s="73">
        <v>60480</v>
      </c>
      <c r="AB508" s="72">
        <v>12600</v>
      </c>
      <c r="AC508" s="73">
        <v>75600</v>
      </c>
      <c r="AD508" s="72">
        <v>0</v>
      </c>
      <c r="AE508" s="73">
        <v>0</v>
      </c>
      <c r="AF508" s="72">
        <v>0</v>
      </c>
      <c r="AG508" s="88">
        <v>0</v>
      </c>
      <c r="AH508"/>
    </row>
    <row r="509" spans="1:34">
      <c r="B509" s="114">
        <v>490</v>
      </c>
      <c r="C509" s="117">
        <v>51</v>
      </c>
      <c r="D509" s="117"/>
      <c r="E509" s="117" t="s">
        <v>962</v>
      </c>
      <c r="F509" s="117" t="s">
        <v>963</v>
      </c>
      <c r="G509" s="117" t="s">
        <v>977</v>
      </c>
      <c r="H509" s="117" t="s">
        <v>978</v>
      </c>
      <c r="I509" s="120" t="s">
        <v>469</v>
      </c>
      <c r="J509" s="84">
        <v>0</v>
      </c>
      <c r="K509" s="73">
        <v>0</v>
      </c>
      <c r="L509" s="72">
        <v>0</v>
      </c>
      <c r="M509" s="73">
        <v>0</v>
      </c>
      <c r="N509" s="72">
        <v>1027</v>
      </c>
      <c r="O509" s="73">
        <v>5135</v>
      </c>
      <c r="P509" s="72">
        <v>0</v>
      </c>
      <c r="Q509" s="73">
        <v>0</v>
      </c>
      <c r="R509" s="72">
        <v>0</v>
      </c>
      <c r="S509" s="73">
        <v>0</v>
      </c>
      <c r="T509" s="72">
        <v>0</v>
      </c>
      <c r="U509" s="73">
        <v>0</v>
      </c>
      <c r="V509" s="72">
        <v>0</v>
      </c>
      <c r="W509" s="73">
        <v>0</v>
      </c>
      <c r="X509" s="72">
        <v>0</v>
      </c>
      <c r="Y509" s="73">
        <v>0</v>
      </c>
      <c r="Z509" s="72">
        <v>0</v>
      </c>
      <c r="AA509" s="73">
        <v>0</v>
      </c>
      <c r="AB509" s="72">
        <v>0</v>
      </c>
      <c r="AC509" s="73">
        <v>0</v>
      </c>
      <c r="AD509" s="72">
        <v>0</v>
      </c>
      <c r="AE509" s="73">
        <v>0</v>
      </c>
      <c r="AF509" s="72">
        <v>0</v>
      </c>
      <c r="AG509" s="88">
        <v>0</v>
      </c>
      <c r="AH509"/>
    </row>
    <row r="510" spans="1:34">
      <c r="B510" s="114">
        <v>491</v>
      </c>
      <c r="C510" s="117">
        <v>51</v>
      </c>
      <c r="D510" s="117"/>
      <c r="E510" s="117" t="s">
        <v>991</v>
      </c>
      <c r="F510" s="117" t="s">
        <v>992</v>
      </c>
      <c r="G510" s="117" t="s">
        <v>997</v>
      </c>
      <c r="H510" s="117" t="s">
        <v>872</v>
      </c>
      <c r="I510" s="120" t="s">
        <v>258</v>
      </c>
      <c r="J510" s="84">
        <v>12000</v>
      </c>
      <c r="K510" s="73">
        <v>10200</v>
      </c>
      <c r="L510" s="72">
        <v>69000</v>
      </c>
      <c r="M510" s="73">
        <v>58650</v>
      </c>
      <c r="N510" s="72">
        <v>45000</v>
      </c>
      <c r="O510" s="73">
        <v>38250</v>
      </c>
      <c r="P510" s="72">
        <v>52000</v>
      </c>
      <c r="Q510" s="73">
        <v>44200</v>
      </c>
      <c r="R510" s="72">
        <v>60000</v>
      </c>
      <c r="S510" s="73">
        <v>51000</v>
      </c>
      <c r="T510" s="72">
        <v>0</v>
      </c>
      <c r="U510" s="73">
        <v>0</v>
      </c>
      <c r="V510" s="72">
        <v>30000</v>
      </c>
      <c r="W510" s="73">
        <v>25500</v>
      </c>
      <c r="X510" s="72">
        <v>20000</v>
      </c>
      <c r="Y510" s="73">
        <v>17000</v>
      </c>
      <c r="Z510" s="72">
        <v>0</v>
      </c>
      <c r="AA510" s="73">
        <v>0</v>
      </c>
      <c r="AB510" s="72">
        <v>0</v>
      </c>
      <c r="AC510" s="73">
        <v>0</v>
      </c>
      <c r="AD510" s="72">
        <v>0</v>
      </c>
      <c r="AE510" s="73">
        <v>0</v>
      </c>
      <c r="AF510" s="72">
        <v>0</v>
      </c>
      <c r="AG510" s="88">
        <v>0</v>
      </c>
      <c r="AH510"/>
    </row>
    <row r="511" spans="1:34">
      <c r="B511" s="114">
        <v>492</v>
      </c>
      <c r="C511" s="117">
        <v>51</v>
      </c>
      <c r="D511" s="117"/>
      <c r="E511" s="117" t="s">
        <v>991</v>
      </c>
      <c r="F511" s="117" t="s">
        <v>992</v>
      </c>
      <c r="G511" s="117" t="s">
        <v>1019</v>
      </c>
      <c r="H511" s="117" t="s">
        <v>1020</v>
      </c>
      <c r="I511" s="120" t="s">
        <v>1005</v>
      </c>
      <c r="J511" s="84">
        <v>0</v>
      </c>
      <c r="K511" s="73">
        <v>0</v>
      </c>
      <c r="L511" s="72">
        <v>0</v>
      </c>
      <c r="M511" s="73">
        <v>0</v>
      </c>
      <c r="N511" s="72">
        <v>0</v>
      </c>
      <c r="O511" s="73">
        <v>0</v>
      </c>
      <c r="P511" s="72">
        <v>0</v>
      </c>
      <c r="Q511" s="73">
        <v>0</v>
      </c>
      <c r="R511" s="72">
        <v>0</v>
      </c>
      <c r="S511" s="73">
        <v>0</v>
      </c>
      <c r="T511" s="72">
        <v>0</v>
      </c>
      <c r="U511" s="73">
        <v>0</v>
      </c>
      <c r="V511" s="72">
        <v>0</v>
      </c>
      <c r="W511" s="73">
        <v>0</v>
      </c>
      <c r="X511" s="72">
        <v>1000</v>
      </c>
      <c r="Y511" s="73">
        <v>440</v>
      </c>
      <c r="Z511" s="72">
        <v>0</v>
      </c>
      <c r="AA511" s="73">
        <v>0</v>
      </c>
      <c r="AB511" s="72">
        <v>0</v>
      </c>
      <c r="AC511" s="73">
        <v>0</v>
      </c>
      <c r="AD511" s="72">
        <v>0</v>
      </c>
      <c r="AE511" s="73">
        <v>0</v>
      </c>
      <c r="AF511" s="72">
        <v>0</v>
      </c>
      <c r="AG511" s="88">
        <v>0</v>
      </c>
      <c r="AH511"/>
    </row>
    <row r="512" spans="1:34">
      <c r="B512" s="114">
        <v>493</v>
      </c>
      <c r="C512" s="117">
        <v>51</v>
      </c>
      <c r="D512" s="117"/>
      <c r="E512" s="117" t="s">
        <v>991</v>
      </c>
      <c r="F512" s="117" t="s">
        <v>992</v>
      </c>
      <c r="G512" s="117" t="s">
        <v>993</v>
      </c>
      <c r="H512" s="117" t="s">
        <v>994</v>
      </c>
      <c r="I512" s="120" t="s">
        <v>995</v>
      </c>
      <c r="J512" s="84">
        <v>132000</v>
      </c>
      <c r="K512" s="73">
        <v>59400</v>
      </c>
      <c r="L512" s="72">
        <v>273000</v>
      </c>
      <c r="M512" s="73">
        <v>122850</v>
      </c>
      <c r="N512" s="72">
        <v>165000</v>
      </c>
      <c r="O512" s="73">
        <v>74250</v>
      </c>
      <c r="P512" s="72">
        <v>240000</v>
      </c>
      <c r="Q512" s="73">
        <v>108000</v>
      </c>
      <c r="R512" s="72">
        <v>219000</v>
      </c>
      <c r="S512" s="73">
        <v>98550</v>
      </c>
      <c r="T512" s="72">
        <v>192000</v>
      </c>
      <c r="U512" s="73">
        <v>86400</v>
      </c>
      <c r="V512" s="72">
        <v>231000</v>
      </c>
      <c r="W512" s="73">
        <v>103950</v>
      </c>
      <c r="X512" s="72">
        <v>159000</v>
      </c>
      <c r="Y512" s="73">
        <v>71550</v>
      </c>
      <c r="Z512" s="72">
        <v>144000</v>
      </c>
      <c r="AA512" s="73">
        <v>64800</v>
      </c>
      <c r="AB512" s="72">
        <v>120000</v>
      </c>
      <c r="AC512" s="73">
        <v>54000</v>
      </c>
      <c r="AD512" s="72">
        <v>0</v>
      </c>
      <c r="AE512" s="73">
        <v>0</v>
      </c>
      <c r="AF512" s="72">
        <v>0</v>
      </c>
      <c r="AG512" s="88">
        <v>0</v>
      </c>
      <c r="AH512"/>
    </row>
    <row r="513" spans="1:34">
      <c r="B513" s="114">
        <v>494</v>
      </c>
      <c r="C513" s="117">
        <v>51</v>
      </c>
      <c r="D513" s="117"/>
      <c r="E513" s="117" t="s">
        <v>991</v>
      </c>
      <c r="F513" s="117" t="s">
        <v>992</v>
      </c>
      <c r="G513" s="117" t="s">
        <v>998</v>
      </c>
      <c r="H513" s="117" t="s">
        <v>872</v>
      </c>
      <c r="I513" s="120" t="s">
        <v>999</v>
      </c>
      <c r="J513" s="84">
        <v>0</v>
      </c>
      <c r="K513" s="73">
        <v>0</v>
      </c>
      <c r="L513" s="72">
        <v>0</v>
      </c>
      <c r="M513" s="73">
        <v>0</v>
      </c>
      <c r="N513" s="72">
        <v>0</v>
      </c>
      <c r="O513" s="73">
        <v>0</v>
      </c>
      <c r="P513" s="72">
        <v>0</v>
      </c>
      <c r="Q513" s="73">
        <v>0</v>
      </c>
      <c r="R513" s="72">
        <v>0</v>
      </c>
      <c r="S513" s="73">
        <v>0</v>
      </c>
      <c r="T513" s="72">
        <v>0</v>
      </c>
      <c r="U513" s="73">
        <v>0</v>
      </c>
      <c r="V513" s="72">
        <v>0</v>
      </c>
      <c r="W513" s="73">
        <v>0</v>
      </c>
      <c r="X513" s="72">
        <v>0</v>
      </c>
      <c r="Y513" s="73">
        <v>0</v>
      </c>
      <c r="Z513" s="72">
        <v>1000</v>
      </c>
      <c r="AA513" s="73">
        <v>2210</v>
      </c>
      <c r="AB513" s="72">
        <v>0</v>
      </c>
      <c r="AC513" s="73">
        <v>0</v>
      </c>
      <c r="AD513" s="72">
        <v>0</v>
      </c>
      <c r="AE513" s="73">
        <v>0</v>
      </c>
      <c r="AF513" s="72">
        <v>0</v>
      </c>
      <c r="AG513" s="88">
        <v>0</v>
      </c>
      <c r="AH513"/>
    </row>
    <row r="514" spans="1:34">
      <c r="B514" s="114">
        <v>495</v>
      </c>
      <c r="C514" s="117">
        <v>51</v>
      </c>
      <c r="D514" s="117"/>
      <c r="E514" s="117" t="s">
        <v>991</v>
      </c>
      <c r="F514" s="117" t="s">
        <v>992</v>
      </c>
      <c r="G514" s="117" t="s">
        <v>1000</v>
      </c>
      <c r="H514" s="117" t="s">
        <v>994</v>
      </c>
      <c r="I514" s="120" t="s">
        <v>1001</v>
      </c>
      <c r="J514" s="84">
        <v>15000</v>
      </c>
      <c r="K514" s="73">
        <v>6000</v>
      </c>
      <c r="L514" s="72">
        <v>15000</v>
      </c>
      <c r="M514" s="73">
        <v>6000</v>
      </c>
      <c r="N514" s="72">
        <v>21000</v>
      </c>
      <c r="O514" s="73">
        <v>8400</v>
      </c>
      <c r="P514" s="72">
        <v>15000</v>
      </c>
      <c r="Q514" s="73">
        <v>6000</v>
      </c>
      <c r="R514" s="72">
        <v>15000</v>
      </c>
      <c r="S514" s="73">
        <v>6000</v>
      </c>
      <c r="T514" s="72">
        <v>15000</v>
      </c>
      <c r="U514" s="73">
        <v>6000</v>
      </c>
      <c r="V514" s="72">
        <v>18000</v>
      </c>
      <c r="W514" s="73">
        <v>7200</v>
      </c>
      <c r="X514" s="72">
        <v>15000</v>
      </c>
      <c r="Y514" s="73">
        <v>6000</v>
      </c>
      <c r="Z514" s="72">
        <v>15000</v>
      </c>
      <c r="AA514" s="73">
        <v>6000</v>
      </c>
      <c r="AB514" s="72">
        <v>15000</v>
      </c>
      <c r="AC514" s="73">
        <v>6000</v>
      </c>
      <c r="AD514" s="72">
        <v>0</v>
      </c>
      <c r="AE514" s="73">
        <v>0</v>
      </c>
      <c r="AF514" s="72">
        <v>0</v>
      </c>
      <c r="AG514" s="88">
        <v>0</v>
      </c>
      <c r="AH514"/>
    </row>
    <row r="515" spans="1:34">
      <c r="B515" s="114">
        <v>496</v>
      </c>
      <c r="C515" s="117">
        <v>51</v>
      </c>
      <c r="D515" s="117"/>
      <c r="E515" s="117" t="s">
        <v>991</v>
      </c>
      <c r="F515" s="117" t="s">
        <v>992</v>
      </c>
      <c r="G515" s="117" t="s">
        <v>1006</v>
      </c>
      <c r="H515" s="117" t="s">
        <v>1007</v>
      </c>
      <c r="I515" s="120" t="s">
        <v>1008</v>
      </c>
      <c r="J515" s="84">
        <v>9000</v>
      </c>
      <c r="K515" s="73">
        <v>14400</v>
      </c>
      <c r="L515" s="72">
        <v>6000</v>
      </c>
      <c r="M515" s="73">
        <v>9600</v>
      </c>
      <c r="N515" s="72">
        <v>3000</v>
      </c>
      <c r="O515" s="73">
        <v>4800</v>
      </c>
      <c r="P515" s="72">
        <v>3000</v>
      </c>
      <c r="Q515" s="73">
        <v>4800</v>
      </c>
      <c r="R515" s="72">
        <v>0</v>
      </c>
      <c r="S515" s="73">
        <v>0</v>
      </c>
      <c r="T515" s="72">
        <v>12000</v>
      </c>
      <c r="U515" s="73">
        <v>19200</v>
      </c>
      <c r="V515" s="72">
        <v>4000</v>
      </c>
      <c r="W515" s="73">
        <v>6400</v>
      </c>
      <c r="X515" s="72">
        <v>5000</v>
      </c>
      <c r="Y515" s="73">
        <v>8000</v>
      </c>
      <c r="Z515" s="72">
        <v>3000</v>
      </c>
      <c r="AA515" s="73">
        <v>4800</v>
      </c>
      <c r="AB515" s="72">
        <v>0</v>
      </c>
      <c r="AC515" s="73">
        <v>0</v>
      </c>
      <c r="AD515" s="72">
        <v>0</v>
      </c>
      <c r="AE515" s="73">
        <v>0</v>
      </c>
      <c r="AF515" s="72">
        <v>0</v>
      </c>
      <c r="AG515" s="88">
        <v>0</v>
      </c>
      <c r="AH515"/>
    </row>
    <row r="516" spans="1:34">
      <c r="B516" s="114">
        <v>497</v>
      </c>
      <c r="C516" s="117">
        <v>51</v>
      </c>
      <c r="D516" s="117"/>
      <c r="E516" s="117" t="s">
        <v>991</v>
      </c>
      <c r="F516" s="117" t="s">
        <v>992</v>
      </c>
      <c r="G516" s="117" t="s">
        <v>1003</v>
      </c>
      <c r="H516" s="117" t="s">
        <v>1004</v>
      </c>
      <c r="I516" s="120" t="s">
        <v>1005</v>
      </c>
      <c r="J516" s="84">
        <v>0</v>
      </c>
      <c r="K516" s="73">
        <v>0</v>
      </c>
      <c r="L516" s="72">
        <v>0</v>
      </c>
      <c r="M516" s="73">
        <v>0</v>
      </c>
      <c r="N516" s="72">
        <v>0</v>
      </c>
      <c r="O516" s="73">
        <v>0</v>
      </c>
      <c r="P516" s="72">
        <v>0</v>
      </c>
      <c r="Q516" s="73">
        <v>0</v>
      </c>
      <c r="R516" s="72">
        <v>0</v>
      </c>
      <c r="S516" s="73">
        <v>0</v>
      </c>
      <c r="T516" s="72">
        <v>0</v>
      </c>
      <c r="U516" s="73">
        <v>0</v>
      </c>
      <c r="V516" s="72">
        <v>0</v>
      </c>
      <c r="W516" s="73">
        <v>0</v>
      </c>
      <c r="X516" s="72">
        <v>1000</v>
      </c>
      <c r="Y516" s="73">
        <v>1050</v>
      </c>
      <c r="Z516" s="72">
        <v>0</v>
      </c>
      <c r="AA516" s="73">
        <v>0</v>
      </c>
      <c r="AB516" s="72">
        <v>0</v>
      </c>
      <c r="AC516" s="73">
        <v>0</v>
      </c>
      <c r="AD516" s="72">
        <v>0</v>
      </c>
      <c r="AE516" s="73">
        <v>0</v>
      </c>
      <c r="AF516" s="72">
        <v>0</v>
      </c>
      <c r="AG516" s="88">
        <v>0</v>
      </c>
      <c r="AH516"/>
    </row>
    <row r="517" spans="1:34">
      <c r="B517" s="114">
        <v>498</v>
      </c>
      <c r="C517" s="117">
        <v>51</v>
      </c>
      <c r="D517" s="117"/>
      <c r="E517" s="117" t="s">
        <v>991</v>
      </c>
      <c r="F517" s="117" t="s">
        <v>992</v>
      </c>
      <c r="G517" s="117" t="s">
        <v>1009</v>
      </c>
      <c r="H517" s="117" t="s">
        <v>1010</v>
      </c>
      <c r="I517" s="120" t="s">
        <v>528</v>
      </c>
      <c r="J517" s="84">
        <v>1000</v>
      </c>
      <c r="K517" s="73">
        <v>1000</v>
      </c>
      <c r="L517" s="72">
        <v>0</v>
      </c>
      <c r="M517" s="73">
        <v>0</v>
      </c>
      <c r="N517" s="72">
        <v>1000</v>
      </c>
      <c r="O517" s="73">
        <v>1000</v>
      </c>
      <c r="P517" s="72">
        <v>0</v>
      </c>
      <c r="Q517" s="73">
        <v>0</v>
      </c>
      <c r="R517" s="72">
        <v>0</v>
      </c>
      <c r="S517" s="73">
        <v>0</v>
      </c>
      <c r="T517" s="72">
        <v>0</v>
      </c>
      <c r="U517" s="73">
        <v>0</v>
      </c>
      <c r="V517" s="72">
        <v>1000</v>
      </c>
      <c r="W517" s="73">
        <v>1000</v>
      </c>
      <c r="X517" s="72">
        <v>0</v>
      </c>
      <c r="Y517" s="73">
        <v>0</v>
      </c>
      <c r="Z517" s="72">
        <v>0</v>
      </c>
      <c r="AA517" s="73">
        <v>0</v>
      </c>
      <c r="AB517" s="72">
        <v>0</v>
      </c>
      <c r="AC517" s="73">
        <v>0</v>
      </c>
      <c r="AD517" s="72">
        <v>0</v>
      </c>
      <c r="AE517" s="73">
        <v>0</v>
      </c>
      <c r="AF517" s="72">
        <v>0</v>
      </c>
      <c r="AG517" s="88">
        <v>0</v>
      </c>
      <c r="AH517"/>
    </row>
    <row r="518" spans="1:34">
      <c r="B518" s="114">
        <v>499</v>
      </c>
      <c r="C518" s="117">
        <v>51</v>
      </c>
      <c r="D518" s="117"/>
      <c r="E518" s="117" t="s">
        <v>991</v>
      </c>
      <c r="F518" s="117" t="s">
        <v>992</v>
      </c>
      <c r="G518" s="117" t="s">
        <v>996</v>
      </c>
      <c r="H518" s="117" t="s">
        <v>994</v>
      </c>
      <c r="I518" s="120" t="s">
        <v>323</v>
      </c>
      <c r="J518" s="84">
        <v>0</v>
      </c>
      <c r="K518" s="73">
        <v>0</v>
      </c>
      <c r="L518" s="72">
        <v>12000</v>
      </c>
      <c r="M518" s="73">
        <v>6120</v>
      </c>
      <c r="N518" s="72">
        <v>9000</v>
      </c>
      <c r="O518" s="73">
        <v>4590</v>
      </c>
      <c r="P518" s="72">
        <v>27000</v>
      </c>
      <c r="Q518" s="73">
        <v>13770</v>
      </c>
      <c r="R518" s="72">
        <v>30000</v>
      </c>
      <c r="S518" s="73">
        <v>15300</v>
      </c>
      <c r="T518" s="72">
        <v>39000</v>
      </c>
      <c r="U518" s="73">
        <v>19890</v>
      </c>
      <c r="V518" s="72">
        <v>54000</v>
      </c>
      <c r="W518" s="73">
        <v>27540</v>
      </c>
      <c r="X518" s="72">
        <v>27000</v>
      </c>
      <c r="Y518" s="73">
        <v>13770</v>
      </c>
      <c r="Z518" s="72">
        <v>24000</v>
      </c>
      <c r="AA518" s="73">
        <v>12240</v>
      </c>
      <c r="AB518" s="72">
        <v>18000</v>
      </c>
      <c r="AC518" s="73">
        <v>9180</v>
      </c>
      <c r="AD518" s="72">
        <v>0</v>
      </c>
      <c r="AE518" s="73">
        <v>0</v>
      </c>
      <c r="AF518" s="72">
        <v>0</v>
      </c>
      <c r="AG518" s="88">
        <v>0</v>
      </c>
      <c r="AH518"/>
    </row>
    <row r="519" spans="1:34">
      <c r="B519" s="114">
        <v>500</v>
      </c>
      <c r="C519" s="117">
        <v>51</v>
      </c>
      <c r="D519" s="117"/>
      <c r="E519" s="117" t="s">
        <v>991</v>
      </c>
      <c r="F519" s="117" t="s">
        <v>992</v>
      </c>
      <c r="G519" s="117" t="s">
        <v>1002</v>
      </c>
      <c r="H519" s="117" t="s">
        <v>872</v>
      </c>
      <c r="I519" s="120" t="s">
        <v>999</v>
      </c>
      <c r="J519" s="84">
        <v>0</v>
      </c>
      <c r="K519" s="73">
        <v>0</v>
      </c>
      <c r="L519" s="72">
        <v>0</v>
      </c>
      <c r="M519" s="73">
        <v>0</v>
      </c>
      <c r="N519" s="72">
        <v>0</v>
      </c>
      <c r="O519" s="73">
        <v>0</v>
      </c>
      <c r="P519" s="72">
        <v>0</v>
      </c>
      <c r="Q519" s="73">
        <v>0</v>
      </c>
      <c r="R519" s="72">
        <v>0</v>
      </c>
      <c r="S519" s="73">
        <v>0</v>
      </c>
      <c r="T519" s="72">
        <v>0</v>
      </c>
      <c r="U519" s="73">
        <v>0</v>
      </c>
      <c r="V519" s="72">
        <v>0</v>
      </c>
      <c r="W519" s="73">
        <v>0</v>
      </c>
      <c r="X519" s="72">
        <v>0</v>
      </c>
      <c r="Y519" s="73">
        <v>0</v>
      </c>
      <c r="Z519" s="72">
        <v>1000</v>
      </c>
      <c r="AA519" s="73">
        <v>1520</v>
      </c>
      <c r="AB519" s="72">
        <v>500</v>
      </c>
      <c r="AC519" s="73">
        <v>760</v>
      </c>
      <c r="AD519" s="72">
        <v>0</v>
      </c>
      <c r="AE519" s="73">
        <v>0</v>
      </c>
      <c r="AF519" s="72">
        <v>0</v>
      </c>
      <c r="AG519" s="88">
        <v>0</v>
      </c>
      <c r="AH519"/>
    </row>
    <row r="520" spans="1:34">
      <c r="B520" s="114">
        <v>501</v>
      </c>
      <c r="C520" s="117">
        <v>51</v>
      </c>
      <c r="D520" s="117"/>
      <c r="E520" s="117" t="s">
        <v>991</v>
      </c>
      <c r="F520" s="117" t="s">
        <v>992</v>
      </c>
      <c r="G520" s="117" t="s">
        <v>1014</v>
      </c>
      <c r="H520" s="117" t="s">
        <v>872</v>
      </c>
      <c r="I520" s="120" t="s">
        <v>164</v>
      </c>
      <c r="J520" s="84">
        <v>105000</v>
      </c>
      <c r="K520" s="73">
        <v>112350</v>
      </c>
      <c r="L520" s="72">
        <v>163500</v>
      </c>
      <c r="M520" s="73">
        <v>174945</v>
      </c>
      <c r="N520" s="72">
        <v>102000</v>
      </c>
      <c r="O520" s="73">
        <v>109140</v>
      </c>
      <c r="P520" s="72">
        <v>114000</v>
      </c>
      <c r="Q520" s="73">
        <v>121980</v>
      </c>
      <c r="R520" s="72">
        <v>72000</v>
      </c>
      <c r="S520" s="73">
        <v>77040</v>
      </c>
      <c r="T520" s="72">
        <v>108000</v>
      </c>
      <c r="U520" s="73">
        <v>115560</v>
      </c>
      <c r="V520" s="72">
        <v>138000</v>
      </c>
      <c r="W520" s="73">
        <v>147660</v>
      </c>
      <c r="X520" s="72">
        <v>102000</v>
      </c>
      <c r="Y520" s="73">
        <v>109140</v>
      </c>
      <c r="Z520" s="72">
        <v>75000</v>
      </c>
      <c r="AA520" s="73">
        <v>80250</v>
      </c>
      <c r="AB520" s="72">
        <v>51000</v>
      </c>
      <c r="AC520" s="73">
        <v>54570</v>
      </c>
      <c r="AD520" s="72">
        <v>0</v>
      </c>
      <c r="AE520" s="73">
        <v>0</v>
      </c>
      <c r="AF520" s="72">
        <v>0</v>
      </c>
      <c r="AG520" s="88">
        <v>0</v>
      </c>
      <c r="AH520"/>
    </row>
    <row r="521" spans="1:34">
      <c r="B521" s="114">
        <v>502</v>
      </c>
      <c r="C521" s="117">
        <v>51</v>
      </c>
      <c r="D521" s="117"/>
      <c r="E521" s="117" t="s">
        <v>991</v>
      </c>
      <c r="F521" s="117" t="s">
        <v>992</v>
      </c>
      <c r="G521" s="117" t="s">
        <v>1021</v>
      </c>
      <c r="H521" s="117" t="s">
        <v>1007</v>
      </c>
      <c r="I521" s="120" t="s">
        <v>323</v>
      </c>
      <c r="J521" s="84">
        <v>0</v>
      </c>
      <c r="K521" s="73">
        <v>0</v>
      </c>
      <c r="L521" s="72">
        <v>3000</v>
      </c>
      <c r="M521" s="73">
        <v>3930</v>
      </c>
      <c r="N521" s="72">
        <v>3000</v>
      </c>
      <c r="O521" s="73">
        <v>3930</v>
      </c>
      <c r="P521" s="72">
        <v>12000</v>
      </c>
      <c r="Q521" s="73">
        <v>15720</v>
      </c>
      <c r="R521" s="72">
        <v>12000</v>
      </c>
      <c r="S521" s="73">
        <v>15720</v>
      </c>
      <c r="T521" s="72">
        <v>21000</v>
      </c>
      <c r="U521" s="73">
        <v>27510</v>
      </c>
      <c r="V521" s="72">
        <v>15000</v>
      </c>
      <c r="W521" s="73">
        <v>19650</v>
      </c>
      <c r="X521" s="72">
        <v>12000</v>
      </c>
      <c r="Y521" s="73">
        <v>15720</v>
      </c>
      <c r="Z521" s="72">
        <v>9000</v>
      </c>
      <c r="AA521" s="73">
        <v>11790</v>
      </c>
      <c r="AB521" s="72">
        <v>3000</v>
      </c>
      <c r="AC521" s="73">
        <v>3930</v>
      </c>
      <c r="AD521" s="72">
        <v>0</v>
      </c>
      <c r="AE521" s="73">
        <v>0</v>
      </c>
      <c r="AF521" s="72">
        <v>0</v>
      </c>
      <c r="AG521" s="88">
        <v>0</v>
      </c>
      <c r="AH521"/>
    </row>
    <row r="522" spans="1:34">
      <c r="B522" s="114">
        <v>503</v>
      </c>
      <c r="C522" s="117">
        <v>51</v>
      </c>
      <c r="D522" s="117"/>
      <c r="E522" s="117" t="s">
        <v>991</v>
      </c>
      <c r="F522" s="117" t="s">
        <v>992</v>
      </c>
      <c r="G522" s="117" t="s">
        <v>1018</v>
      </c>
      <c r="H522" s="117" t="s">
        <v>994</v>
      </c>
      <c r="I522" s="120" t="s">
        <v>88</v>
      </c>
      <c r="J522" s="84">
        <v>0</v>
      </c>
      <c r="K522" s="73">
        <v>0</v>
      </c>
      <c r="L522" s="72">
        <v>500</v>
      </c>
      <c r="M522" s="73">
        <v>250</v>
      </c>
      <c r="N522" s="72">
        <v>0</v>
      </c>
      <c r="O522" s="73">
        <v>0</v>
      </c>
      <c r="P522" s="72">
        <v>0</v>
      </c>
      <c r="Q522" s="73">
        <v>0</v>
      </c>
      <c r="R522" s="72">
        <v>0</v>
      </c>
      <c r="S522" s="73">
        <v>0</v>
      </c>
      <c r="T522" s="72">
        <v>0</v>
      </c>
      <c r="U522" s="73">
        <v>0</v>
      </c>
      <c r="V522" s="72">
        <v>0</v>
      </c>
      <c r="W522" s="73">
        <v>0</v>
      </c>
      <c r="X522" s="72">
        <v>0</v>
      </c>
      <c r="Y522" s="73">
        <v>0</v>
      </c>
      <c r="Z522" s="72">
        <v>0</v>
      </c>
      <c r="AA522" s="73">
        <v>0</v>
      </c>
      <c r="AB522" s="72">
        <v>0</v>
      </c>
      <c r="AC522" s="73">
        <v>0</v>
      </c>
      <c r="AD522" s="72">
        <v>0</v>
      </c>
      <c r="AE522" s="73">
        <v>0</v>
      </c>
      <c r="AF522" s="72">
        <v>0</v>
      </c>
      <c r="AG522" s="88">
        <v>0</v>
      </c>
      <c r="AH522"/>
    </row>
    <row r="523" spans="1:34">
      <c r="B523" s="114">
        <v>504</v>
      </c>
      <c r="C523" s="117">
        <v>51</v>
      </c>
      <c r="D523" s="117"/>
      <c r="E523" s="117" t="s">
        <v>991</v>
      </c>
      <c r="F523" s="117" t="s">
        <v>992</v>
      </c>
      <c r="G523" s="117" t="s">
        <v>1015</v>
      </c>
      <c r="H523" s="117" t="s">
        <v>1016</v>
      </c>
      <c r="I523" s="120" t="s">
        <v>1017</v>
      </c>
      <c r="J523" s="84">
        <v>24000</v>
      </c>
      <c r="K523" s="73">
        <v>11400</v>
      </c>
      <c r="L523" s="72">
        <v>27000</v>
      </c>
      <c r="M523" s="73">
        <v>12825</v>
      </c>
      <c r="N523" s="72">
        <v>42000</v>
      </c>
      <c r="O523" s="73">
        <v>19950</v>
      </c>
      <c r="P523" s="72">
        <v>0</v>
      </c>
      <c r="Q523" s="73">
        <v>0</v>
      </c>
      <c r="R523" s="72">
        <v>0</v>
      </c>
      <c r="S523" s="73">
        <v>0</v>
      </c>
      <c r="T523" s="72">
        <v>84000</v>
      </c>
      <c r="U523" s="73">
        <v>39900</v>
      </c>
      <c r="V523" s="72">
        <v>48000</v>
      </c>
      <c r="W523" s="73">
        <v>22800</v>
      </c>
      <c r="X523" s="72">
        <v>45000</v>
      </c>
      <c r="Y523" s="73">
        <v>21375</v>
      </c>
      <c r="Z523" s="72">
        <v>18000</v>
      </c>
      <c r="AA523" s="73">
        <v>8550</v>
      </c>
      <c r="AB523" s="72">
        <v>15000</v>
      </c>
      <c r="AC523" s="73">
        <v>7125</v>
      </c>
      <c r="AD523" s="72">
        <v>0</v>
      </c>
      <c r="AE523" s="73">
        <v>0</v>
      </c>
      <c r="AF523" s="72">
        <v>0</v>
      </c>
      <c r="AG523" s="88">
        <v>0</v>
      </c>
      <c r="AH523"/>
    </row>
    <row r="524" spans="1:34">
      <c r="B524" s="114">
        <v>505</v>
      </c>
      <c r="C524" s="117">
        <v>51</v>
      </c>
      <c r="D524" s="117"/>
      <c r="E524" s="117" t="s">
        <v>991</v>
      </c>
      <c r="F524" s="117" t="s">
        <v>992</v>
      </c>
      <c r="G524" s="117" t="s">
        <v>1012</v>
      </c>
      <c r="H524" s="117" t="s">
        <v>1013</v>
      </c>
      <c r="I524" s="120" t="s">
        <v>164</v>
      </c>
      <c r="J524" s="84">
        <v>60000</v>
      </c>
      <c r="K524" s="73">
        <v>95400</v>
      </c>
      <c r="L524" s="72">
        <v>84000</v>
      </c>
      <c r="M524" s="73">
        <v>133560</v>
      </c>
      <c r="N524" s="72">
        <v>78000</v>
      </c>
      <c r="O524" s="73">
        <v>124020</v>
      </c>
      <c r="P524" s="72">
        <v>66000</v>
      </c>
      <c r="Q524" s="73">
        <v>104940</v>
      </c>
      <c r="R524" s="72">
        <v>76000</v>
      </c>
      <c r="S524" s="73">
        <v>120840</v>
      </c>
      <c r="T524" s="72">
        <v>72000</v>
      </c>
      <c r="U524" s="73">
        <v>114480</v>
      </c>
      <c r="V524" s="72">
        <v>78000</v>
      </c>
      <c r="W524" s="73">
        <v>124020</v>
      </c>
      <c r="X524" s="72">
        <v>70000</v>
      </c>
      <c r="Y524" s="73">
        <v>111300</v>
      </c>
      <c r="Z524" s="72">
        <v>66000</v>
      </c>
      <c r="AA524" s="73">
        <v>104940</v>
      </c>
      <c r="AB524" s="72">
        <v>30000</v>
      </c>
      <c r="AC524" s="73">
        <v>47700</v>
      </c>
      <c r="AD524" s="72">
        <v>0</v>
      </c>
      <c r="AE524" s="73">
        <v>0</v>
      </c>
      <c r="AF524" s="72">
        <v>0</v>
      </c>
      <c r="AG524" s="88">
        <v>0</v>
      </c>
      <c r="AH524"/>
    </row>
    <row r="525" spans="1:34">
      <c r="B525" s="114">
        <v>506</v>
      </c>
      <c r="C525" s="117">
        <v>51</v>
      </c>
      <c r="D525" s="117"/>
      <c r="E525" s="117" t="s">
        <v>991</v>
      </c>
      <c r="F525" s="117" t="s">
        <v>992</v>
      </c>
      <c r="G525" s="117" t="s">
        <v>1011</v>
      </c>
      <c r="H525" s="117" t="s">
        <v>1010</v>
      </c>
      <c r="I525" s="120" t="s">
        <v>528</v>
      </c>
      <c r="J525" s="84">
        <v>1000</v>
      </c>
      <c r="K525" s="73">
        <v>1190</v>
      </c>
      <c r="L525" s="72">
        <v>0</v>
      </c>
      <c r="M525" s="73">
        <v>0</v>
      </c>
      <c r="N525" s="72">
        <v>1000</v>
      </c>
      <c r="O525" s="73">
        <v>1190</v>
      </c>
      <c r="P525" s="72">
        <v>0</v>
      </c>
      <c r="Q525" s="73">
        <v>0</v>
      </c>
      <c r="R525" s="72">
        <v>0</v>
      </c>
      <c r="S525" s="73">
        <v>0</v>
      </c>
      <c r="T525" s="72">
        <v>0</v>
      </c>
      <c r="U525" s="73">
        <v>0</v>
      </c>
      <c r="V525" s="72">
        <v>1000</v>
      </c>
      <c r="W525" s="73">
        <v>1190</v>
      </c>
      <c r="X525" s="72">
        <v>0</v>
      </c>
      <c r="Y525" s="73">
        <v>0</v>
      </c>
      <c r="Z525" s="72">
        <v>0</v>
      </c>
      <c r="AA525" s="73">
        <v>0</v>
      </c>
      <c r="AB525" s="72">
        <v>0</v>
      </c>
      <c r="AC525" s="73">
        <v>0</v>
      </c>
      <c r="AD525" s="72">
        <v>0</v>
      </c>
      <c r="AE525" s="73">
        <v>0</v>
      </c>
      <c r="AF525" s="72">
        <v>0</v>
      </c>
      <c r="AG525" s="88">
        <v>0</v>
      </c>
      <c r="AH525"/>
    </row>
    <row r="526" spans="1:34">
      <c r="B526" s="114">
        <v>507</v>
      </c>
      <c r="C526" s="117">
        <v>51</v>
      </c>
      <c r="D526" s="117"/>
      <c r="E526" s="117" t="s">
        <v>1022</v>
      </c>
      <c r="F526" s="117" t="s">
        <v>1023</v>
      </c>
      <c r="G526" s="117" t="s">
        <v>1024</v>
      </c>
      <c r="H526" s="117" t="s">
        <v>362</v>
      </c>
      <c r="I526" s="120" t="s">
        <v>280</v>
      </c>
      <c r="J526" s="84">
        <v>15600</v>
      </c>
      <c r="K526" s="73">
        <v>113817.6</v>
      </c>
      <c r="L526" s="72">
        <v>23399</v>
      </c>
      <c r="M526" s="73">
        <v>171280.68</v>
      </c>
      <c r="N526" s="72">
        <v>21839</v>
      </c>
      <c r="O526" s="73">
        <v>159861.48</v>
      </c>
      <c r="P526" s="72">
        <v>15598</v>
      </c>
      <c r="Q526" s="73">
        <v>114177.36</v>
      </c>
      <c r="R526" s="72">
        <v>23400</v>
      </c>
      <c r="S526" s="73">
        <v>171288</v>
      </c>
      <c r="T526" s="72">
        <v>18711</v>
      </c>
      <c r="U526" s="73">
        <v>136964.52</v>
      </c>
      <c r="V526" s="72">
        <v>20279</v>
      </c>
      <c r="W526" s="73">
        <v>148442.28</v>
      </c>
      <c r="X526" s="72">
        <v>18717</v>
      </c>
      <c r="Y526" s="73">
        <v>137008.44</v>
      </c>
      <c r="Z526" s="72">
        <v>15601</v>
      </c>
      <c r="AA526" s="73">
        <v>114199.32</v>
      </c>
      <c r="AB526" s="72">
        <v>7800</v>
      </c>
      <c r="AC526" s="73">
        <v>57096</v>
      </c>
      <c r="AD526" s="72">
        <v>0</v>
      </c>
      <c r="AE526" s="73">
        <v>0</v>
      </c>
      <c r="AF526" s="72">
        <v>0</v>
      </c>
      <c r="AG526" s="88">
        <v>0</v>
      </c>
      <c r="AH526"/>
    </row>
    <row r="527" spans="1:34">
      <c r="B527" s="114">
        <v>508</v>
      </c>
      <c r="C527" s="117">
        <v>51</v>
      </c>
      <c r="D527" s="117"/>
      <c r="E527" s="117" t="s">
        <v>1025</v>
      </c>
      <c r="F527" s="117" t="s">
        <v>1026</v>
      </c>
      <c r="G527" s="117" t="s">
        <v>261</v>
      </c>
      <c r="H527" s="117" t="s">
        <v>261</v>
      </c>
      <c r="I527" s="120" t="s">
        <v>88</v>
      </c>
      <c r="J527" s="84">
        <v>12103</v>
      </c>
      <c r="K527" s="73">
        <v>762489</v>
      </c>
      <c r="L527" s="72">
        <v>30481</v>
      </c>
      <c r="M527" s="73">
        <v>1981265</v>
      </c>
      <c r="N527" s="72">
        <v>24877</v>
      </c>
      <c r="O527" s="73">
        <v>1641882</v>
      </c>
      <c r="P527" s="72">
        <v>0</v>
      </c>
      <c r="Q527" s="73">
        <v>0</v>
      </c>
      <c r="R527" s="72">
        <v>50148</v>
      </c>
      <c r="S527" s="73">
        <v>3372453</v>
      </c>
      <c r="T527" s="72">
        <v>0</v>
      </c>
      <c r="U527" s="73">
        <v>0</v>
      </c>
      <c r="V527" s="72">
        <v>0</v>
      </c>
      <c r="W527" s="73">
        <v>0</v>
      </c>
      <c r="X527" s="72">
        <v>0</v>
      </c>
      <c r="Y527" s="73">
        <v>0</v>
      </c>
      <c r="Z527" s="72">
        <v>12000</v>
      </c>
      <c r="AA527" s="73">
        <v>801000</v>
      </c>
      <c r="AB527" s="72">
        <v>12000</v>
      </c>
      <c r="AC527" s="73">
        <v>816000</v>
      </c>
      <c r="AD527" s="72">
        <v>0</v>
      </c>
      <c r="AE527" s="73">
        <v>0</v>
      </c>
      <c r="AF527" s="72">
        <v>0</v>
      </c>
      <c r="AG527" s="88">
        <v>0</v>
      </c>
      <c r="AH527"/>
    </row>
    <row r="528" spans="1:34">
      <c r="B528" s="114">
        <v>509</v>
      </c>
      <c r="C528" s="117">
        <v>51</v>
      </c>
      <c r="D528" s="117"/>
      <c r="E528" s="117" t="s">
        <v>1027</v>
      </c>
      <c r="F528" s="117" t="s">
        <v>1028</v>
      </c>
      <c r="G528" s="117" t="s">
        <v>1029</v>
      </c>
      <c r="H528" s="117" t="s">
        <v>872</v>
      </c>
      <c r="I528" s="120" t="s">
        <v>258</v>
      </c>
      <c r="J528" s="84">
        <v>20000</v>
      </c>
      <c r="K528" s="73">
        <v>13600</v>
      </c>
      <c r="L528" s="72">
        <v>10000</v>
      </c>
      <c r="M528" s="73">
        <v>6800</v>
      </c>
      <c r="N528" s="72">
        <v>20000</v>
      </c>
      <c r="O528" s="73">
        <v>13600</v>
      </c>
      <c r="P528" s="72">
        <v>30000</v>
      </c>
      <c r="Q528" s="73">
        <v>20400</v>
      </c>
      <c r="R528" s="72">
        <v>20000</v>
      </c>
      <c r="S528" s="73">
        <v>13600</v>
      </c>
      <c r="T528" s="72">
        <v>0</v>
      </c>
      <c r="U528" s="73">
        <v>0</v>
      </c>
      <c r="V528" s="72">
        <v>20000</v>
      </c>
      <c r="W528" s="73">
        <v>13600</v>
      </c>
      <c r="X528" s="72">
        <v>0</v>
      </c>
      <c r="Y528" s="73">
        <v>0</v>
      </c>
      <c r="Z528" s="72">
        <v>0</v>
      </c>
      <c r="AA528" s="73">
        <v>0</v>
      </c>
      <c r="AB528" s="72">
        <v>10000</v>
      </c>
      <c r="AC528" s="73">
        <v>6800</v>
      </c>
      <c r="AD528" s="72">
        <v>0</v>
      </c>
      <c r="AE528" s="73">
        <v>0</v>
      </c>
      <c r="AF528" s="72">
        <v>0</v>
      </c>
      <c r="AG528" s="88">
        <v>0</v>
      </c>
      <c r="AH528"/>
    </row>
    <row r="529" spans="1:34">
      <c r="B529" s="114">
        <v>510</v>
      </c>
      <c r="C529" s="117">
        <v>51</v>
      </c>
      <c r="D529" s="117"/>
      <c r="E529" s="117" t="s">
        <v>1030</v>
      </c>
      <c r="F529" s="117" t="s">
        <v>1031</v>
      </c>
      <c r="G529" s="117" t="s">
        <v>1047</v>
      </c>
      <c r="H529" s="117" t="s">
        <v>752</v>
      </c>
      <c r="I529" s="120" t="s">
        <v>673</v>
      </c>
      <c r="J529" s="84">
        <v>1725</v>
      </c>
      <c r="K529" s="73">
        <v>67965</v>
      </c>
      <c r="L529" s="72">
        <v>1141</v>
      </c>
      <c r="M529" s="73">
        <v>44955.4</v>
      </c>
      <c r="N529" s="72">
        <v>1726</v>
      </c>
      <c r="O529" s="73">
        <v>68004.39999999999</v>
      </c>
      <c r="P529" s="72">
        <v>1139</v>
      </c>
      <c r="Q529" s="73">
        <v>44876.6</v>
      </c>
      <c r="R529" s="72">
        <v>1160</v>
      </c>
      <c r="S529" s="73">
        <v>45704</v>
      </c>
      <c r="T529" s="72">
        <v>1722</v>
      </c>
      <c r="U529" s="73">
        <v>67846.8</v>
      </c>
      <c r="V529" s="72">
        <v>1129</v>
      </c>
      <c r="W529" s="73">
        <v>44482.6</v>
      </c>
      <c r="X529" s="72">
        <v>1766</v>
      </c>
      <c r="Y529" s="73">
        <v>69580.39999999999</v>
      </c>
      <c r="Z529" s="72">
        <v>1705</v>
      </c>
      <c r="AA529" s="73">
        <v>67177</v>
      </c>
      <c r="AB529" s="72">
        <v>600</v>
      </c>
      <c r="AC529" s="73">
        <v>23640</v>
      </c>
      <c r="AD529" s="72">
        <v>0</v>
      </c>
      <c r="AE529" s="73">
        <v>0</v>
      </c>
      <c r="AF529" s="72">
        <v>0</v>
      </c>
      <c r="AG529" s="88">
        <v>0</v>
      </c>
      <c r="AH529"/>
    </row>
    <row r="530" spans="1:34">
      <c r="B530" s="114">
        <v>511</v>
      </c>
      <c r="C530" s="117">
        <v>51</v>
      </c>
      <c r="D530" s="117"/>
      <c r="E530" s="117" t="s">
        <v>1030</v>
      </c>
      <c r="F530" s="117" t="s">
        <v>1031</v>
      </c>
      <c r="G530" s="117" t="s">
        <v>1046</v>
      </c>
      <c r="H530" s="117" t="s">
        <v>676</v>
      </c>
      <c r="I530" s="120" t="s">
        <v>673</v>
      </c>
      <c r="J530" s="84">
        <v>578</v>
      </c>
      <c r="K530" s="73">
        <v>13097.48</v>
      </c>
      <c r="L530" s="72">
        <v>1714</v>
      </c>
      <c r="M530" s="73">
        <v>38839.24</v>
      </c>
      <c r="N530" s="72">
        <v>1169</v>
      </c>
      <c r="O530" s="73">
        <v>26489.54</v>
      </c>
      <c r="P530" s="72">
        <v>578</v>
      </c>
      <c r="Q530" s="73">
        <v>13097.48</v>
      </c>
      <c r="R530" s="72">
        <v>2034</v>
      </c>
      <c r="S530" s="73">
        <v>46090.44</v>
      </c>
      <c r="T530" s="72">
        <v>1163</v>
      </c>
      <c r="U530" s="73">
        <v>26353.58</v>
      </c>
      <c r="V530" s="72">
        <v>1616</v>
      </c>
      <c r="W530" s="73">
        <v>36618.56</v>
      </c>
      <c r="X530" s="72">
        <v>1821</v>
      </c>
      <c r="Y530" s="73">
        <v>41263.86</v>
      </c>
      <c r="Z530" s="72">
        <v>1204</v>
      </c>
      <c r="AA530" s="73">
        <v>27282.64</v>
      </c>
      <c r="AB530" s="72">
        <v>0</v>
      </c>
      <c r="AC530" s="73">
        <v>0</v>
      </c>
      <c r="AD530" s="72">
        <v>0</v>
      </c>
      <c r="AE530" s="73">
        <v>0</v>
      </c>
      <c r="AF530" s="72">
        <v>0</v>
      </c>
      <c r="AG530" s="88">
        <v>0</v>
      </c>
      <c r="AH530"/>
    </row>
    <row r="531" spans="1:34">
      <c r="B531" s="114">
        <v>512</v>
      </c>
      <c r="C531" s="117">
        <v>51</v>
      </c>
      <c r="D531" s="117"/>
      <c r="E531" s="117" t="s">
        <v>1030</v>
      </c>
      <c r="F531" s="117" t="s">
        <v>1031</v>
      </c>
      <c r="G531" s="117" t="s">
        <v>1044</v>
      </c>
      <c r="H531" s="117" t="s">
        <v>190</v>
      </c>
      <c r="I531" s="120" t="s">
        <v>680</v>
      </c>
      <c r="J531" s="84">
        <v>1708</v>
      </c>
      <c r="K531" s="73">
        <v>61402.6</v>
      </c>
      <c r="L531" s="72">
        <v>1736</v>
      </c>
      <c r="M531" s="73">
        <v>62409.2</v>
      </c>
      <c r="N531" s="72">
        <v>1750</v>
      </c>
      <c r="O531" s="73">
        <v>62912.5</v>
      </c>
      <c r="P531" s="72">
        <v>1160</v>
      </c>
      <c r="Q531" s="73">
        <v>41702</v>
      </c>
      <c r="R531" s="72">
        <v>585</v>
      </c>
      <c r="S531" s="73">
        <v>21030.75</v>
      </c>
      <c r="T531" s="72">
        <v>1739</v>
      </c>
      <c r="U531" s="73">
        <v>62517.05</v>
      </c>
      <c r="V531" s="72">
        <v>1244</v>
      </c>
      <c r="W531" s="73">
        <v>44721.8</v>
      </c>
      <c r="X531" s="72">
        <v>1873</v>
      </c>
      <c r="Y531" s="73">
        <v>67334.35000000001</v>
      </c>
      <c r="Z531" s="72">
        <v>1570</v>
      </c>
      <c r="AA531" s="73">
        <v>56441.5</v>
      </c>
      <c r="AB531" s="72">
        <v>2000</v>
      </c>
      <c r="AC531" s="73">
        <v>71900</v>
      </c>
      <c r="AD531" s="72">
        <v>0</v>
      </c>
      <c r="AE531" s="73">
        <v>0</v>
      </c>
      <c r="AF531" s="72">
        <v>0</v>
      </c>
      <c r="AG531" s="88">
        <v>0</v>
      </c>
      <c r="AH531"/>
    </row>
    <row r="532" spans="1:34">
      <c r="B532" s="114">
        <v>513</v>
      </c>
      <c r="C532" s="117">
        <v>51</v>
      </c>
      <c r="D532" s="117"/>
      <c r="E532" s="117" t="s">
        <v>1030</v>
      </c>
      <c r="F532" s="117" t="s">
        <v>1031</v>
      </c>
      <c r="G532" s="117" t="s">
        <v>1045</v>
      </c>
      <c r="H532" s="117" t="s">
        <v>683</v>
      </c>
      <c r="I532" s="120" t="s">
        <v>673</v>
      </c>
      <c r="J532" s="84">
        <v>1748</v>
      </c>
      <c r="K532" s="73">
        <v>61984.08</v>
      </c>
      <c r="L532" s="72">
        <v>1742</v>
      </c>
      <c r="M532" s="73">
        <v>61771.32</v>
      </c>
      <c r="N532" s="72">
        <v>1167</v>
      </c>
      <c r="O532" s="73">
        <v>41381.82</v>
      </c>
      <c r="P532" s="72">
        <v>1517</v>
      </c>
      <c r="Q532" s="73">
        <v>53792.82</v>
      </c>
      <c r="R532" s="72">
        <v>1161</v>
      </c>
      <c r="S532" s="73">
        <v>41169.06</v>
      </c>
      <c r="T532" s="72">
        <v>1172</v>
      </c>
      <c r="U532" s="73">
        <v>41559.12</v>
      </c>
      <c r="V532" s="72">
        <v>2210</v>
      </c>
      <c r="W532" s="73">
        <v>78366.60000000001</v>
      </c>
      <c r="X532" s="72">
        <v>1170</v>
      </c>
      <c r="Y532" s="73">
        <v>41488.2</v>
      </c>
      <c r="Z532" s="72">
        <v>1754</v>
      </c>
      <c r="AA532" s="73">
        <v>62196.84</v>
      </c>
      <c r="AB532" s="72">
        <v>1800</v>
      </c>
      <c r="AC532" s="73">
        <v>63828</v>
      </c>
      <c r="AD532" s="72">
        <v>0</v>
      </c>
      <c r="AE532" s="73">
        <v>0</v>
      </c>
      <c r="AF532" s="72">
        <v>0</v>
      </c>
      <c r="AG532" s="88">
        <v>0</v>
      </c>
      <c r="AH532"/>
    </row>
    <row r="533" spans="1:34">
      <c r="B533" s="114">
        <v>514</v>
      </c>
      <c r="C533" s="117">
        <v>51</v>
      </c>
      <c r="D533" s="117"/>
      <c r="E533" s="117" t="s">
        <v>1030</v>
      </c>
      <c r="F533" s="117" t="s">
        <v>1031</v>
      </c>
      <c r="G533" s="117" t="s">
        <v>1036</v>
      </c>
      <c r="H533" s="117" t="s">
        <v>738</v>
      </c>
      <c r="I533" s="120" t="s">
        <v>680</v>
      </c>
      <c r="J533" s="84">
        <v>1700</v>
      </c>
      <c r="K533" s="73">
        <v>38522</v>
      </c>
      <c r="L533" s="72">
        <v>1703</v>
      </c>
      <c r="M533" s="73">
        <v>38589.98</v>
      </c>
      <c r="N533" s="72">
        <v>2325</v>
      </c>
      <c r="O533" s="73">
        <v>52684.5</v>
      </c>
      <c r="P533" s="72">
        <v>1164</v>
      </c>
      <c r="Q533" s="73">
        <v>26376.24</v>
      </c>
      <c r="R533" s="72">
        <v>1751</v>
      </c>
      <c r="S533" s="73">
        <v>39677.66</v>
      </c>
      <c r="T533" s="72">
        <v>1162</v>
      </c>
      <c r="U533" s="73">
        <v>26330.92</v>
      </c>
      <c r="V533" s="72">
        <v>1726</v>
      </c>
      <c r="W533" s="73">
        <v>39111.16</v>
      </c>
      <c r="X533" s="72">
        <v>2322</v>
      </c>
      <c r="Y533" s="73">
        <v>52616.52</v>
      </c>
      <c r="Z533" s="72">
        <v>1151</v>
      </c>
      <c r="AA533" s="73">
        <v>26081.66</v>
      </c>
      <c r="AB533" s="72">
        <v>600</v>
      </c>
      <c r="AC533" s="73">
        <v>13596</v>
      </c>
      <c r="AD533" s="72">
        <v>0</v>
      </c>
      <c r="AE533" s="73">
        <v>0</v>
      </c>
      <c r="AF533" s="72">
        <v>0</v>
      </c>
      <c r="AG533" s="88">
        <v>0</v>
      </c>
      <c r="AH533"/>
    </row>
    <row r="534" spans="1:34">
      <c r="B534" s="114">
        <v>515</v>
      </c>
      <c r="C534" s="117">
        <v>51</v>
      </c>
      <c r="D534" s="117"/>
      <c r="E534" s="117" t="s">
        <v>1030</v>
      </c>
      <c r="F534" s="117" t="s">
        <v>1031</v>
      </c>
      <c r="G534" s="117" t="s">
        <v>1037</v>
      </c>
      <c r="H534" s="117" t="s">
        <v>672</v>
      </c>
      <c r="I534" s="120" t="s">
        <v>680</v>
      </c>
      <c r="J534" s="84">
        <v>0</v>
      </c>
      <c r="K534" s="73">
        <v>0</v>
      </c>
      <c r="L534" s="72">
        <v>0</v>
      </c>
      <c r="M534" s="73">
        <v>0</v>
      </c>
      <c r="N534" s="72">
        <v>0</v>
      </c>
      <c r="O534" s="73">
        <v>0</v>
      </c>
      <c r="P534" s="72">
        <v>276</v>
      </c>
      <c r="Q534" s="73">
        <v>4893.48</v>
      </c>
      <c r="R534" s="72">
        <v>0</v>
      </c>
      <c r="S534" s="73">
        <v>0</v>
      </c>
      <c r="T534" s="72">
        <v>0</v>
      </c>
      <c r="U534" s="73">
        <v>0</v>
      </c>
      <c r="V534" s="72">
        <v>0</v>
      </c>
      <c r="W534" s="73">
        <v>0</v>
      </c>
      <c r="X534" s="72">
        <v>281</v>
      </c>
      <c r="Y534" s="73">
        <v>4982.13</v>
      </c>
      <c r="Z534" s="72">
        <v>538</v>
      </c>
      <c r="AA534" s="73">
        <v>9538.74</v>
      </c>
      <c r="AB534" s="72">
        <v>0</v>
      </c>
      <c r="AC534" s="73">
        <v>0</v>
      </c>
      <c r="AD534" s="72">
        <v>0</v>
      </c>
      <c r="AE534" s="73">
        <v>0</v>
      </c>
      <c r="AF534" s="72">
        <v>0</v>
      </c>
      <c r="AG534" s="88">
        <v>0</v>
      </c>
      <c r="AH534"/>
    </row>
    <row r="535" spans="1:34">
      <c r="B535" s="114">
        <v>516</v>
      </c>
      <c r="C535" s="117">
        <v>51</v>
      </c>
      <c r="D535" s="117"/>
      <c r="E535" s="117" t="s">
        <v>1030</v>
      </c>
      <c r="F535" s="117" t="s">
        <v>1031</v>
      </c>
      <c r="G535" s="117" t="s">
        <v>1032</v>
      </c>
      <c r="H535" s="117" t="s">
        <v>747</v>
      </c>
      <c r="I535" s="120" t="s">
        <v>680</v>
      </c>
      <c r="J535" s="84">
        <v>3526</v>
      </c>
      <c r="K535" s="73">
        <v>31275.62</v>
      </c>
      <c r="L535" s="72">
        <v>4694</v>
      </c>
      <c r="M535" s="73">
        <v>41635.78</v>
      </c>
      <c r="N535" s="72">
        <v>4106</v>
      </c>
      <c r="O535" s="73">
        <v>36420.22</v>
      </c>
      <c r="P535" s="72">
        <v>3558</v>
      </c>
      <c r="Q535" s="73">
        <v>31559.46</v>
      </c>
      <c r="R535" s="72">
        <v>4128</v>
      </c>
      <c r="S535" s="73">
        <v>36615.36</v>
      </c>
      <c r="T535" s="72">
        <v>3494</v>
      </c>
      <c r="U535" s="73">
        <v>30991.78</v>
      </c>
      <c r="V535" s="72">
        <v>3550</v>
      </c>
      <c r="W535" s="73">
        <v>31488.5</v>
      </c>
      <c r="X535" s="72">
        <v>4641</v>
      </c>
      <c r="Y535" s="73">
        <v>41165.67</v>
      </c>
      <c r="Z535" s="72">
        <v>3939</v>
      </c>
      <c r="AA535" s="73">
        <v>34938.93</v>
      </c>
      <c r="AB535" s="72">
        <v>3700</v>
      </c>
      <c r="AC535" s="73">
        <v>32819</v>
      </c>
      <c r="AD535" s="72">
        <v>0</v>
      </c>
      <c r="AE535" s="73">
        <v>0</v>
      </c>
      <c r="AF535" s="72">
        <v>0</v>
      </c>
      <c r="AG535" s="88">
        <v>0</v>
      </c>
      <c r="AH535"/>
    </row>
    <row r="536" spans="1:34">
      <c r="B536" s="114">
        <v>517</v>
      </c>
      <c r="C536" s="117">
        <v>51</v>
      </c>
      <c r="D536" s="117"/>
      <c r="E536" s="117" t="s">
        <v>1030</v>
      </c>
      <c r="F536" s="117" t="s">
        <v>1031</v>
      </c>
      <c r="G536" s="117" t="s">
        <v>1041</v>
      </c>
      <c r="H536" s="117" t="s">
        <v>678</v>
      </c>
      <c r="I536" s="120" t="s">
        <v>673</v>
      </c>
      <c r="J536" s="84">
        <v>581</v>
      </c>
      <c r="K536" s="73">
        <v>20602.26</v>
      </c>
      <c r="L536" s="72">
        <v>2793</v>
      </c>
      <c r="M536" s="73">
        <v>99039.78</v>
      </c>
      <c r="N536" s="72">
        <v>1055</v>
      </c>
      <c r="O536" s="73">
        <v>37410.3</v>
      </c>
      <c r="P536" s="72">
        <v>1608</v>
      </c>
      <c r="Q536" s="73">
        <v>57019.68</v>
      </c>
      <c r="R536" s="72">
        <v>1173</v>
      </c>
      <c r="S536" s="73">
        <v>41594.58</v>
      </c>
      <c r="T536" s="72">
        <v>1137</v>
      </c>
      <c r="U536" s="73">
        <v>40318.02</v>
      </c>
      <c r="V536" s="72">
        <v>1745</v>
      </c>
      <c r="W536" s="73">
        <v>61877.7</v>
      </c>
      <c r="X536" s="72">
        <v>1746</v>
      </c>
      <c r="Y536" s="73">
        <v>61913.16</v>
      </c>
      <c r="Z536" s="72">
        <v>1142</v>
      </c>
      <c r="AA536" s="73">
        <v>40495.32</v>
      </c>
      <c r="AB536" s="72">
        <v>1800</v>
      </c>
      <c r="AC536" s="73">
        <v>63828</v>
      </c>
      <c r="AD536" s="72">
        <v>0</v>
      </c>
      <c r="AE536" s="73">
        <v>0</v>
      </c>
      <c r="AF536" s="72">
        <v>0</v>
      </c>
      <c r="AG536" s="88">
        <v>0</v>
      </c>
      <c r="AH536"/>
    </row>
    <row r="537" spans="1:34">
      <c r="B537" s="114">
        <v>518</v>
      </c>
      <c r="C537" s="117">
        <v>51</v>
      </c>
      <c r="D537" s="117"/>
      <c r="E537" s="117" t="s">
        <v>1030</v>
      </c>
      <c r="F537" s="117" t="s">
        <v>1031</v>
      </c>
      <c r="G537" s="117" t="s">
        <v>1042</v>
      </c>
      <c r="H537" s="117" t="s">
        <v>672</v>
      </c>
      <c r="I537" s="120" t="s">
        <v>673</v>
      </c>
      <c r="J537" s="84">
        <v>0</v>
      </c>
      <c r="K537" s="73">
        <v>0</v>
      </c>
      <c r="L537" s="72">
        <v>0</v>
      </c>
      <c r="M537" s="73">
        <v>0</v>
      </c>
      <c r="N537" s="72">
        <v>0</v>
      </c>
      <c r="O537" s="73">
        <v>0</v>
      </c>
      <c r="P537" s="72">
        <v>287</v>
      </c>
      <c r="Q537" s="73">
        <v>6219.29</v>
      </c>
      <c r="R537" s="72">
        <v>0</v>
      </c>
      <c r="S537" s="73">
        <v>0</v>
      </c>
      <c r="T537" s="72">
        <v>0</v>
      </c>
      <c r="U537" s="73">
        <v>0</v>
      </c>
      <c r="V537" s="72">
        <v>0</v>
      </c>
      <c r="W537" s="73">
        <v>0</v>
      </c>
      <c r="X537" s="72">
        <v>0</v>
      </c>
      <c r="Y537" s="73">
        <v>0</v>
      </c>
      <c r="Z537" s="72">
        <v>285</v>
      </c>
      <c r="AA537" s="73">
        <v>6175.95</v>
      </c>
      <c r="AB537" s="72">
        <v>0</v>
      </c>
      <c r="AC537" s="73">
        <v>0</v>
      </c>
      <c r="AD537" s="72">
        <v>0</v>
      </c>
      <c r="AE537" s="73">
        <v>0</v>
      </c>
      <c r="AF537" s="72">
        <v>0</v>
      </c>
      <c r="AG537" s="88">
        <v>0</v>
      </c>
      <c r="AH537"/>
    </row>
    <row r="538" spans="1:34">
      <c r="B538" s="114">
        <v>519</v>
      </c>
      <c r="C538" s="117">
        <v>51</v>
      </c>
      <c r="D538" s="117"/>
      <c r="E538" s="117" t="s">
        <v>1030</v>
      </c>
      <c r="F538" s="117" t="s">
        <v>1031</v>
      </c>
      <c r="G538" s="117" t="s">
        <v>1035</v>
      </c>
      <c r="H538" s="117" t="s">
        <v>728</v>
      </c>
      <c r="I538" s="120" t="s">
        <v>729</v>
      </c>
      <c r="J538" s="84">
        <v>1202</v>
      </c>
      <c r="K538" s="73">
        <v>39077.02</v>
      </c>
      <c r="L538" s="72">
        <v>2065</v>
      </c>
      <c r="M538" s="73">
        <v>67133.14999999999</v>
      </c>
      <c r="N538" s="72">
        <v>1733</v>
      </c>
      <c r="O538" s="73">
        <v>56339.83</v>
      </c>
      <c r="P538" s="72">
        <v>1160</v>
      </c>
      <c r="Q538" s="73">
        <v>37711.6</v>
      </c>
      <c r="R538" s="72">
        <v>584</v>
      </c>
      <c r="S538" s="73">
        <v>18985.84</v>
      </c>
      <c r="T538" s="72">
        <v>1161</v>
      </c>
      <c r="U538" s="73">
        <v>37744.11</v>
      </c>
      <c r="V538" s="72">
        <v>1744</v>
      </c>
      <c r="W538" s="73">
        <v>56697.44</v>
      </c>
      <c r="X538" s="72">
        <v>1153</v>
      </c>
      <c r="Y538" s="73">
        <v>37484.03</v>
      </c>
      <c r="Z538" s="72">
        <v>1111</v>
      </c>
      <c r="AA538" s="73">
        <v>36118.61</v>
      </c>
      <c r="AB538" s="72">
        <v>600</v>
      </c>
      <c r="AC538" s="73">
        <v>19506</v>
      </c>
      <c r="AD538" s="72">
        <v>0</v>
      </c>
      <c r="AE538" s="73">
        <v>0</v>
      </c>
      <c r="AF538" s="72">
        <v>0</v>
      </c>
      <c r="AG538" s="88">
        <v>0</v>
      </c>
      <c r="AH538"/>
    </row>
    <row r="539" spans="1:34">
      <c r="B539" s="114">
        <v>520</v>
      </c>
      <c r="C539" s="117">
        <v>51</v>
      </c>
      <c r="D539" s="117"/>
      <c r="E539" s="117" t="s">
        <v>1030</v>
      </c>
      <c r="F539" s="117" t="s">
        <v>1031</v>
      </c>
      <c r="G539" s="117" t="s">
        <v>1043</v>
      </c>
      <c r="H539" s="117" t="s">
        <v>669</v>
      </c>
      <c r="I539" s="120" t="s">
        <v>188</v>
      </c>
      <c r="J539" s="84">
        <v>1703</v>
      </c>
      <c r="K539" s="73">
        <v>30194.19</v>
      </c>
      <c r="L539" s="72">
        <v>1679</v>
      </c>
      <c r="M539" s="73">
        <v>29768.67</v>
      </c>
      <c r="N539" s="72">
        <v>1728</v>
      </c>
      <c r="O539" s="73">
        <v>30637.44</v>
      </c>
      <c r="P539" s="72">
        <v>1677</v>
      </c>
      <c r="Q539" s="73">
        <v>29733.21</v>
      </c>
      <c r="R539" s="72">
        <v>1156</v>
      </c>
      <c r="S539" s="73">
        <v>20495.88</v>
      </c>
      <c r="T539" s="72">
        <v>843</v>
      </c>
      <c r="U539" s="73">
        <v>14946.39</v>
      </c>
      <c r="V539" s="72">
        <v>1747</v>
      </c>
      <c r="W539" s="73">
        <v>30974.31</v>
      </c>
      <c r="X539" s="72">
        <v>2733</v>
      </c>
      <c r="Y539" s="73">
        <v>48456.09</v>
      </c>
      <c r="Z539" s="72">
        <v>1109</v>
      </c>
      <c r="AA539" s="73">
        <v>19662.57</v>
      </c>
      <c r="AB539" s="72">
        <v>2300</v>
      </c>
      <c r="AC539" s="73">
        <v>40779</v>
      </c>
      <c r="AD539" s="72">
        <v>0</v>
      </c>
      <c r="AE539" s="73">
        <v>0</v>
      </c>
      <c r="AF539" s="72">
        <v>0</v>
      </c>
      <c r="AG539" s="88">
        <v>0</v>
      </c>
      <c r="AH539"/>
    </row>
    <row r="540" spans="1:34">
      <c r="B540" s="114">
        <v>521</v>
      </c>
      <c r="C540" s="117">
        <v>51</v>
      </c>
      <c r="D540" s="117"/>
      <c r="E540" s="117" t="s">
        <v>1030</v>
      </c>
      <c r="F540" s="117" t="s">
        <v>1031</v>
      </c>
      <c r="G540" s="117" t="s">
        <v>1033</v>
      </c>
      <c r="H540" s="117" t="s">
        <v>416</v>
      </c>
      <c r="I540" s="120" t="s">
        <v>729</v>
      </c>
      <c r="J540" s="84">
        <v>1727</v>
      </c>
      <c r="K540" s="73">
        <v>23815.33</v>
      </c>
      <c r="L540" s="72">
        <v>1160</v>
      </c>
      <c r="M540" s="73">
        <v>15996.4</v>
      </c>
      <c r="N540" s="72">
        <v>1757</v>
      </c>
      <c r="O540" s="73">
        <v>24229.03</v>
      </c>
      <c r="P540" s="72">
        <v>1154</v>
      </c>
      <c r="Q540" s="73">
        <v>15913.66</v>
      </c>
      <c r="R540" s="72">
        <v>0</v>
      </c>
      <c r="S540" s="73">
        <v>0</v>
      </c>
      <c r="T540" s="72">
        <v>1172</v>
      </c>
      <c r="U540" s="73">
        <v>16161.88</v>
      </c>
      <c r="V540" s="72">
        <v>1236</v>
      </c>
      <c r="W540" s="73">
        <v>17044.44</v>
      </c>
      <c r="X540" s="72">
        <v>1163</v>
      </c>
      <c r="Y540" s="73">
        <v>16037.77</v>
      </c>
      <c r="Z540" s="72">
        <v>1749</v>
      </c>
      <c r="AA540" s="73">
        <v>24118.71</v>
      </c>
      <c r="AB540" s="72">
        <v>600</v>
      </c>
      <c r="AC540" s="73">
        <v>8274</v>
      </c>
      <c r="AD540" s="72">
        <v>0</v>
      </c>
      <c r="AE540" s="73">
        <v>0</v>
      </c>
      <c r="AF540" s="72">
        <v>0</v>
      </c>
      <c r="AG540" s="88">
        <v>0</v>
      </c>
      <c r="AH540"/>
    </row>
    <row r="541" spans="1:34">
      <c r="B541" s="114">
        <v>522</v>
      </c>
      <c r="C541" s="117">
        <v>51</v>
      </c>
      <c r="D541" s="117"/>
      <c r="E541" s="117" t="s">
        <v>1030</v>
      </c>
      <c r="F541" s="117" t="s">
        <v>1031</v>
      </c>
      <c r="G541" s="117" t="s">
        <v>1038</v>
      </c>
      <c r="H541" s="117" t="s">
        <v>678</v>
      </c>
      <c r="I541" s="120" t="s">
        <v>680</v>
      </c>
      <c r="J541" s="84">
        <v>0</v>
      </c>
      <c r="K541" s="73">
        <v>0</v>
      </c>
      <c r="L541" s="72">
        <v>0</v>
      </c>
      <c r="M541" s="73">
        <v>0</v>
      </c>
      <c r="N541" s="72">
        <v>562</v>
      </c>
      <c r="O541" s="73">
        <v>12734.92</v>
      </c>
      <c r="P541" s="72">
        <v>0</v>
      </c>
      <c r="Q541" s="73">
        <v>0</v>
      </c>
      <c r="R541" s="72">
        <v>860</v>
      </c>
      <c r="S541" s="73">
        <v>19487.6</v>
      </c>
      <c r="T541" s="72">
        <v>0</v>
      </c>
      <c r="U541" s="73">
        <v>0</v>
      </c>
      <c r="V541" s="72">
        <v>582</v>
      </c>
      <c r="W541" s="73">
        <v>13188.12</v>
      </c>
      <c r="X541" s="72">
        <v>526</v>
      </c>
      <c r="Y541" s="73">
        <v>11919.16</v>
      </c>
      <c r="Z541" s="72">
        <v>593</v>
      </c>
      <c r="AA541" s="73">
        <v>13437.38</v>
      </c>
      <c r="AB541" s="72">
        <v>600</v>
      </c>
      <c r="AC541" s="73">
        <v>13596</v>
      </c>
      <c r="AD541" s="72">
        <v>0</v>
      </c>
      <c r="AE541" s="73">
        <v>0</v>
      </c>
      <c r="AF541" s="72">
        <v>0</v>
      </c>
      <c r="AG541" s="88">
        <v>0</v>
      </c>
      <c r="AH541"/>
    </row>
    <row r="542" spans="1:34">
      <c r="B542" s="114">
        <v>523</v>
      </c>
      <c r="C542" s="117">
        <v>51</v>
      </c>
      <c r="D542" s="117"/>
      <c r="E542" s="117" t="s">
        <v>1030</v>
      </c>
      <c r="F542" s="117" t="s">
        <v>1031</v>
      </c>
      <c r="G542" s="117" t="s">
        <v>1034</v>
      </c>
      <c r="H542" s="117" t="s">
        <v>669</v>
      </c>
      <c r="I542" s="120" t="s">
        <v>188</v>
      </c>
      <c r="J542" s="84">
        <v>0</v>
      </c>
      <c r="K542" s="73">
        <v>0</v>
      </c>
      <c r="L542" s="72">
        <v>0</v>
      </c>
      <c r="M542" s="73">
        <v>0</v>
      </c>
      <c r="N542" s="72">
        <v>576</v>
      </c>
      <c r="O542" s="73">
        <v>12309.12</v>
      </c>
      <c r="P542" s="72">
        <v>0</v>
      </c>
      <c r="Q542" s="73">
        <v>0</v>
      </c>
      <c r="R542" s="72">
        <v>0</v>
      </c>
      <c r="S542" s="73">
        <v>0</v>
      </c>
      <c r="T542" s="72">
        <v>0</v>
      </c>
      <c r="U542" s="73">
        <v>0</v>
      </c>
      <c r="V542" s="72">
        <v>0</v>
      </c>
      <c r="W542" s="73">
        <v>0</v>
      </c>
      <c r="X542" s="72">
        <v>0</v>
      </c>
      <c r="Y542" s="73">
        <v>0</v>
      </c>
      <c r="Z542" s="72">
        <v>0</v>
      </c>
      <c r="AA542" s="73">
        <v>0</v>
      </c>
      <c r="AB542" s="72">
        <v>0</v>
      </c>
      <c r="AC542" s="73">
        <v>0</v>
      </c>
      <c r="AD542" s="72">
        <v>0</v>
      </c>
      <c r="AE542" s="73">
        <v>0</v>
      </c>
      <c r="AF542" s="72">
        <v>0</v>
      </c>
      <c r="AG542" s="88">
        <v>0</v>
      </c>
      <c r="AH542"/>
    </row>
    <row r="543" spans="1:34">
      <c r="B543" s="114">
        <v>524</v>
      </c>
      <c r="C543" s="117">
        <v>51</v>
      </c>
      <c r="D543" s="117"/>
      <c r="E543" s="117" t="s">
        <v>1030</v>
      </c>
      <c r="F543" s="117" t="s">
        <v>1031</v>
      </c>
      <c r="G543" s="117" t="s">
        <v>1039</v>
      </c>
      <c r="H543" s="117" t="s">
        <v>669</v>
      </c>
      <c r="I543" s="120" t="s">
        <v>670</v>
      </c>
      <c r="J543" s="84">
        <v>1671</v>
      </c>
      <c r="K543" s="73">
        <v>34422.6</v>
      </c>
      <c r="L543" s="72">
        <v>1720</v>
      </c>
      <c r="M543" s="73">
        <v>35432</v>
      </c>
      <c r="N543" s="72">
        <v>1671</v>
      </c>
      <c r="O543" s="73">
        <v>34422.6</v>
      </c>
      <c r="P543" s="72">
        <v>564</v>
      </c>
      <c r="Q543" s="73">
        <v>11618.4</v>
      </c>
      <c r="R543" s="72">
        <v>1169</v>
      </c>
      <c r="S543" s="73">
        <v>24081.4</v>
      </c>
      <c r="T543" s="72">
        <v>581</v>
      </c>
      <c r="U543" s="73">
        <v>11968.6</v>
      </c>
      <c r="V543" s="72">
        <v>1722</v>
      </c>
      <c r="W543" s="73">
        <v>35473.2</v>
      </c>
      <c r="X543" s="72">
        <v>2357</v>
      </c>
      <c r="Y543" s="73">
        <v>48554.2</v>
      </c>
      <c r="Z543" s="72">
        <v>1084</v>
      </c>
      <c r="AA543" s="73">
        <v>22330.4</v>
      </c>
      <c r="AB543" s="72">
        <v>600</v>
      </c>
      <c r="AC543" s="73">
        <v>12360</v>
      </c>
      <c r="AD543" s="72">
        <v>0</v>
      </c>
      <c r="AE543" s="73">
        <v>0</v>
      </c>
      <c r="AF543" s="72">
        <v>0</v>
      </c>
      <c r="AG543" s="88">
        <v>0</v>
      </c>
      <c r="AH543"/>
    </row>
    <row r="544" spans="1:34">
      <c r="B544" s="114">
        <v>525</v>
      </c>
      <c r="C544" s="117">
        <v>51</v>
      </c>
      <c r="D544" s="117"/>
      <c r="E544" s="117" t="s">
        <v>1030</v>
      </c>
      <c r="F544" s="117" t="s">
        <v>1031</v>
      </c>
      <c r="G544" s="117" t="s">
        <v>1040</v>
      </c>
      <c r="H544" s="117" t="s">
        <v>676</v>
      </c>
      <c r="I544" s="120" t="s">
        <v>680</v>
      </c>
      <c r="J544" s="84">
        <v>0</v>
      </c>
      <c r="K544" s="73">
        <v>0</v>
      </c>
      <c r="L544" s="72">
        <v>577</v>
      </c>
      <c r="M544" s="73">
        <v>7956.83</v>
      </c>
      <c r="N544" s="72">
        <v>578</v>
      </c>
      <c r="O544" s="73">
        <v>7970.62</v>
      </c>
      <c r="P544" s="72">
        <v>0</v>
      </c>
      <c r="Q544" s="73">
        <v>0</v>
      </c>
      <c r="R544" s="72">
        <v>581</v>
      </c>
      <c r="S544" s="73">
        <v>8011.99</v>
      </c>
      <c r="T544" s="72">
        <v>0</v>
      </c>
      <c r="U544" s="73">
        <v>0</v>
      </c>
      <c r="V544" s="72">
        <v>580</v>
      </c>
      <c r="W544" s="73">
        <v>7998.2</v>
      </c>
      <c r="X544" s="72">
        <v>877</v>
      </c>
      <c r="Y544" s="73">
        <v>12093.83</v>
      </c>
      <c r="Z544" s="72">
        <v>581</v>
      </c>
      <c r="AA544" s="73">
        <v>8011.99</v>
      </c>
      <c r="AB544" s="72">
        <v>300</v>
      </c>
      <c r="AC544" s="73">
        <v>4137</v>
      </c>
      <c r="AD544" s="72">
        <v>0</v>
      </c>
      <c r="AE544" s="73">
        <v>0</v>
      </c>
      <c r="AF544" s="72">
        <v>0</v>
      </c>
      <c r="AG544" s="88">
        <v>0</v>
      </c>
      <c r="AH544"/>
    </row>
    <row r="545" spans="1:34">
      <c r="B545" s="114">
        <v>526</v>
      </c>
      <c r="C545" s="117">
        <v>51</v>
      </c>
      <c r="D545" s="117"/>
      <c r="E545" s="117" t="s">
        <v>1048</v>
      </c>
      <c r="F545" s="117" t="s">
        <v>1049</v>
      </c>
      <c r="G545" s="117" t="s">
        <v>1059</v>
      </c>
      <c r="H545" s="117" t="s">
        <v>1060</v>
      </c>
      <c r="I545" s="120" t="s">
        <v>1052</v>
      </c>
      <c r="J545" s="84">
        <v>0</v>
      </c>
      <c r="K545" s="73">
        <v>0</v>
      </c>
      <c r="L545" s="72">
        <v>24</v>
      </c>
      <c r="M545" s="73">
        <v>15988.56</v>
      </c>
      <c r="N545" s="72">
        <v>0</v>
      </c>
      <c r="O545" s="73">
        <v>0</v>
      </c>
      <c r="P545" s="72">
        <v>0</v>
      </c>
      <c r="Q545" s="73">
        <v>0</v>
      </c>
      <c r="R545" s="72">
        <v>0</v>
      </c>
      <c r="S545" s="73">
        <v>0</v>
      </c>
      <c r="T545" s="72">
        <v>0</v>
      </c>
      <c r="U545" s="73">
        <v>0</v>
      </c>
      <c r="V545" s="72">
        <v>24</v>
      </c>
      <c r="W545" s="73">
        <v>16022.88</v>
      </c>
      <c r="X545" s="72">
        <v>0</v>
      </c>
      <c r="Y545" s="73">
        <v>0</v>
      </c>
      <c r="Z545" s="72">
        <v>0</v>
      </c>
      <c r="AA545" s="73">
        <v>0</v>
      </c>
      <c r="AB545" s="72">
        <v>0</v>
      </c>
      <c r="AC545" s="73">
        <v>0</v>
      </c>
      <c r="AD545" s="72">
        <v>0</v>
      </c>
      <c r="AE545" s="73">
        <v>0</v>
      </c>
      <c r="AF545" s="72">
        <v>0</v>
      </c>
      <c r="AG545" s="88">
        <v>0</v>
      </c>
      <c r="AH545"/>
    </row>
    <row r="546" spans="1:34">
      <c r="B546" s="114">
        <v>527</v>
      </c>
      <c r="C546" s="117">
        <v>51</v>
      </c>
      <c r="D546" s="117"/>
      <c r="E546" s="117" t="s">
        <v>1048</v>
      </c>
      <c r="F546" s="117" t="s">
        <v>1049</v>
      </c>
      <c r="G546" s="117" t="s">
        <v>1061</v>
      </c>
      <c r="H546" s="117" t="s">
        <v>1057</v>
      </c>
      <c r="I546" s="120" t="s">
        <v>1052</v>
      </c>
      <c r="J546" s="84">
        <v>360</v>
      </c>
      <c r="K546" s="73">
        <v>20426.4</v>
      </c>
      <c r="L546" s="72">
        <v>920</v>
      </c>
      <c r="M546" s="73">
        <v>52200.8</v>
      </c>
      <c r="N546" s="72">
        <v>296</v>
      </c>
      <c r="O546" s="73">
        <v>16795.04</v>
      </c>
      <c r="P546" s="72">
        <v>60</v>
      </c>
      <c r="Q546" s="73">
        <v>3397.2</v>
      </c>
      <c r="R546" s="72">
        <v>0</v>
      </c>
      <c r="S546" s="73">
        <v>0</v>
      </c>
      <c r="T546" s="72">
        <v>0</v>
      </c>
      <c r="U546" s="73">
        <v>0</v>
      </c>
      <c r="V546" s="72">
        <v>9</v>
      </c>
      <c r="W546" s="73">
        <v>509.58</v>
      </c>
      <c r="X546" s="72">
        <v>0</v>
      </c>
      <c r="Y546" s="73">
        <v>0</v>
      </c>
      <c r="Z546" s="72">
        <v>0</v>
      </c>
      <c r="AA546" s="73">
        <v>0</v>
      </c>
      <c r="AB546" s="72">
        <v>0</v>
      </c>
      <c r="AC546" s="73">
        <v>0</v>
      </c>
      <c r="AD546" s="72">
        <v>0</v>
      </c>
      <c r="AE546" s="73">
        <v>0</v>
      </c>
      <c r="AF546" s="72">
        <v>0</v>
      </c>
      <c r="AG546" s="88">
        <v>0</v>
      </c>
      <c r="AH546"/>
    </row>
    <row r="547" spans="1:34">
      <c r="B547" s="114">
        <v>528</v>
      </c>
      <c r="C547" s="117">
        <v>51</v>
      </c>
      <c r="D547" s="117"/>
      <c r="E547" s="117" t="s">
        <v>1048</v>
      </c>
      <c r="F547" s="117" t="s">
        <v>1049</v>
      </c>
      <c r="G547" s="117" t="s">
        <v>1064</v>
      </c>
      <c r="H547" s="117" t="s">
        <v>1065</v>
      </c>
      <c r="I547" s="120" t="s">
        <v>1066</v>
      </c>
      <c r="J547" s="84">
        <v>480</v>
      </c>
      <c r="K547" s="73">
        <v>308308.8</v>
      </c>
      <c r="L547" s="72">
        <v>1408</v>
      </c>
      <c r="M547" s="73">
        <v>904372.48</v>
      </c>
      <c r="N547" s="72">
        <v>336</v>
      </c>
      <c r="O547" s="73">
        <v>216353.76</v>
      </c>
      <c r="P547" s="72">
        <v>31</v>
      </c>
      <c r="Q547" s="73">
        <v>19961.21</v>
      </c>
      <c r="R547" s="72">
        <v>7</v>
      </c>
      <c r="S547" s="73">
        <v>4507.37</v>
      </c>
      <c r="T547" s="72">
        <v>0</v>
      </c>
      <c r="U547" s="73">
        <v>0</v>
      </c>
      <c r="V547" s="72">
        <v>12</v>
      </c>
      <c r="W547" s="73">
        <v>7726.92</v>
      </c>
      <c r="X547" s="72">
        <v>0</v>
      </c>
      <c r="Y547" s="73">
        <v>0</v>
      </c>
      <c r="Z547" s="72">
        <v>0</v>
      </c>
      <c r="AA547" s="73">
        <v>0</v>
      </c>
      <c r="AB547" s="72">
        <v>0</v>
      </c>
      <c r="AC547" s="73">
        <v>0</v>
      </c>
      <c r="AD547" s="72">
        <v>0</v>
      </c>
      <c r="AE547" s="73">
        <v>0</v>
      </c>
      <c r="AF547" s="72">
        <v>0</v>
      </c>
      <c r="AG547" s="88">
        <v>0</v>
      </c>
      <c r="AH547"/>
    </row>
    <row r="548" spans="1:34">
      <c r="B548" s="114">
        <v>529</v>
      </c>
      <c r="C548" s="117">
        <v>51</v>
      </c>
      <c r="D548" s="117"/>
      <c r="E548" s="117" t="s">
        <v>1048</v>
      </c>
      <c r="F548" s="117" t="s">
        <v>1049</v>
      </c>
      <c r="G548" s="117" t="s">
        <v>1053</v>
      </c>
      <c r="H548" s="117" t="s">
        <v>1051</v>
      </c>
      <c r="I548" s="120" t="s">
        <v>1052</v>
      </c>
      <c r="J548" s="84">
        <v>392</v>
      </c>
      <c r="K548" s="73">
        <v>22155.84</v>
      </c>
      <c r="L548" s="72">
        <v>920</v>
      </c>
      <c r="M548" s="73">
        <v>51998.4</v>
      </c>
      <c r="N548" s="72">
        <v>296</v>
      </c>
      <c r="O548" s="73">
        <v>16729.92</v>
      </c>
      <c r="P548" s="72">
        <v>60</v>
      </c>
      <c r="Q548" s="73">
        <v>3397.2</v>
      </c>
      <c r="R548" s="72">
        <v>0</v>
      </c>
      <c r="S548" s="73">
        <v>0</v>
      </c>
      <c r="T548" s="72">
        <v>0</v>
      </c>
      <c r="U548" s="73">
        <v>0</v>
      </c>
      <c r="V548" s="72">
        <v>9</v>
      </c>
      <c r="W548" s="73">
        <v>509.58</v>
      </c>
      <c r="X548" s="72">
        <v>0</v>
      </c>
      <c r="Y548" s="73">
        <v>0</v>
      </c>
      <c r="Z548" s="72">
        <v>0</v>
      </c>
      <c r="AA548" s="73">
        <v>0</v>
      </c>
      <c r="AB548" s="72">
        <v>0</v>
      </c>
      <c r="AC548" s="73">
        <v>0</v>
      </c>
      <c r="AD548" s="72">
        <v>0</v>
      </c>
      <c r="AE548" s="73">
        <v>0</v>
      </c>
      <c r="AF548" s="72">
        <v>0</v>
      </c>
      <c r="AG548" s="88">
        <v>0</v>
      </c>
      <c r="AH548"/>
    </row>
    <row r="549" spans="1:34">
      <c r="B549" s="114">
        <v>530</v>
      </c>
      <c r="C549" s="117">
        <v>51</v>
      </c>
      <c r="D549" s="117"/>
      <c r="E549" s="117" t="s">
        <v>1048</v>
      </c>
      <c r="F549" s="117" t="s">
        <v>1049</v>
      </c>
      <c r="G549" s="117" t="s">
        <v>1050</v>
      </c>
      <c r="H549" s="117" t="s">
        <v>1051</v>
      </c>
      <c r="I549" s="120" t="s">
        <v>1052</v>
      </c>
      <c r="J549" s="84">
        <v>0</v>
      </c>
      <c r="K549" s="73">
        <v>0</v>
      </c>
      <c r="L549" s="72">
        <v>12</v>
      </c>
      <c r="M549" s="73">
        <v>675</v>
      </c>
      <c r="N549" s="72">
        <v>0</v>
      </c>
      <c r="O549" s="73">
        <v>0</v>
      </c>
      <c r="P549" s="72">
        <v>0</v>
      </c>
      <c r="Q549" s="73">
        <v>0</v>
      </c>
      <c r="R549" s="72">
        <v>0</v>
      </c>
      <c r="S549" s="73">
        <v>0</v>
      </c>
      <c r="T549" s="72">
        <v>0</v>
      </c>
      <c r="U549" s="73">
        <v>0</v>
      </c>
      <c r="V549" s="72">
        <v>3</v>
      </c>
      <c r="W549" s="73">
        <v>168.75</v>
      </c>
      <c r="X549" s="72">
        <v>0</v>
      </c>
      <c r="Y549" s="73">
        <v>0</v>
      </c>
      <c r="Z549" s="72">
        <v>0</v>
      </c>
      <c r="AA549" s="73">
        <v>0</v>
      </c>
      <c r="AB549" s="72">
        <v>0</v>
      </c>
      <c r="AC549" s="73">
        <v>0</v>
      </c>
      <c r="AD549" s="72">
        <v>0</v>
      </c>
      <c r="AE549" s="73">
        <v>0</v>
      </c>
      <c r="AF549" s="72">
        <v>0</v>
      </c>
      <c r="AG549" s="88">
        <v>0</v>
      </c>
      <c r="AH549"/>
    </row>
    <row r="550" spans="1:34">
      <c r="B550" s="114">
        <v>531</v>
      </c>
      <c r="C550" s="117">
        <v>51</v>
      </c>
      <c r="D550" s="117"/>
      <c r="E550" s="117" t="s">
        <v>1048</v>
      </c>
      <c r="F550" s="117" t="s">
        <v>1049</v>
      </c>
      <c r="G550" s="117" t="s">
        <v>1063</v>
      </c>
      <c r="H550" s="117" t="s">
        <v>1057</v>
      </c>
      <c r="I550" s="120" t="s">
        <v>1052</v>
      </c>
      <c r="J550" s="84">
        <v>192</v>
      </c>
      <c r="K550" s="73">
        <v>10945.92</v>
      </c>
      <c r="L550" s="72">
        <v>688</v>
      </c>
      <c r="M550" s="73">
        <v>39222.88</v>
      </c>
      <c r="N550" s="72">
        <v>144</v>
      </c>
      <c r="O550" s="73">
        <v>8209.440000000001</v>
      </c>
      <c r="P550" s="72">
        <v>18</v>
      </c>
      <c r="Q550" s="73">
        <v>1022.22</v>
      </c>
      <c r="R550" s="72">
        <v>0</v>
      </c>
      <c r="S550" s="73">
        <v>0</v>
      </c>
      <c r="T550" s="72">
        <v>0</v>
      </c>
      <c r="U550" s="73">
        <v>0</v>
      </c>
      <c r="V550" s="72">
        <v>6</v>
      </c>
      <c r="W550" s="73">
        <v>340.74</v>
      </c>
      <c r="X550" s="72">
        <v>0</v>
      </c>
      <c r="Y550" s="73">
        <v>0</v>
      </c>
      <c r="Z550" s="72">
        <v>0</v>
      </c>
      <c r="AA550" s="73">
        <v>0</v>
      </c>
      <c r="AB550" s="72">
        <v>0</v>
      </c>
      <c r="AC550" s="73">
        <v>0</v>
      </c>
      <c r="AD550" s="72">
        <v>0</v>
      </c>
      <c r="AE550" s="73">
        <v>0</v>
      </c>
      <c r="AF550" s="72">
        <v>0</v>
      </c>
      <c r="AG550" s="88">
        <v>0</v>
      </c>
      <c r="AH550"/>
    </row>
    <row r="551" spans="1:34">
      <c r="B551" s="114">
        <v>532</v>
      </c>
      <c r="C551" s="117">
        <v>51</v>
      </c>
      <c r="D551" s="117"/>
      <c r="E551" s="117" t="s">
        <v>1048</v>
      </c>
      <c r="F551" s="117" t="s">
        <v>1049</v>
      </c>
      <c r="G551" s="117" t="s">
        <v>1062</v>
      </c>
      <c r="H551" s="117" t="s">
        <v>1060</v>
      </c>
      <c r="I551" s="120" t="s">
        <v>1052</v>
      </c>
      <c r="J551" s="84">
        <v>960</v>
      </c>
      <c r="K551" s="73">
        <v>679238.4</v>
      </c>
      <c r="L551" s="72">
        <v>1760</v>
      </c>
      <c r="M551" s="73">
        <v>1245270.4</v>
      </c>
      <c r="N551" s="72">
        <v>680</v>
      </c>
      <c r="O551" s="73">
        <v>482222</v>
      </c>
      <c r="P551" s="72">
        <v>120</v>
      </c>
      <c r="Q551" s="73">
        <v>85098</v>
      </c>
      <c r="R551" s="72">
        <v>7</v>
      </c>
      <c r="S551" s="73">
        <v>4964.05</v>
      </c>
      <c r="T551" s="72">
        <v>0</v>
      </c>
      <c r="U551" s="73">
        <v>0</v>
      </c>
      <c r="V551" s="72">
        <v>24</v>
      </c>
      <c r="W551" s="73">
        <v>17019.6</v>
      </c>
      <c r="X551" s="72">
        <v>12</v>
      </c>
      <c r="Y551" s="73">
        <v>8509.799999999999</v>
      </c>
      <c r="Z551" s="72">
        <v>0</v>
      </c>
      <c r="AA551" s="73">
        <v>0</v>
      </c>
      <c r="AB551" s="72">
        <v>0</v>
      </c>
      <c r="AC551" s="73">
        <v>0</v>
      </c>
      <c r="AD551" s="72">
        <v>0</v>
      </c>
      <c r="AE551" s="73">
        <v>0</v>
      </c>
      <c r="AF551" s="72">
        <v>0</v>
      </c>
      <c r="AG551" s="88">
        <v>0</v>
      </c>
      <c r="AH551"/>
    </row>
    <row r="552" spans="1:34">
      <c r="B552" s="114">
        <v>533</v>
      </c>
      <c r="C552" s="117">
        <v>51</v>
      </c>
      <c r="D552" s="117"/>
      <c r="E552" s="117" t="s">
        <v>1048</v>
      </c>
      <c r="F552" s="117" t="s">
        <v>1049</v>
      </c>
      <c r="G552" s="117" t="s">
        <v>1056</v>
      </c>
      <c r="H552" s="117" t="s">
        <v>1057</v>
      </c>
      <c r="I552" s="120" t="s">
        <v>1058</v>
      </c>
      <c r="J552" s="84">
        <v>0</v>
      </c>
      <c r="K552" s="73">
        <v>0</v>
      </c>
      <c r="L552" s="72">
        <v>12</v>
      </c>
      <c r="M552" s="73">
        <v>676.4400000000001</v>
      </c>
      <c r="N552" s="72">
        <v>0</v>
      </c>
      <c r="O552" s="73">
        <v>0</v>
      </c>
      <c r="P552" s="72">
        <v>0</v>
      </c>
      <c r="Q552" s="73">
        <v>0</v>
      </c>
      <c r="R552" s="72">
        <v>0</v>
      </c>
      <c r="S552" s="73">
        <v>0</v>
      </c>
      <c r="T552" s="72">
        <v>0</v>
      </c>
      <c r="U552" s="73">
        <v>0</v>
      </c>
      <c r="V552" s="72">
        <v>3</v>
      </c>
      <c r="W552" s="73">
        <v>168.75</v>
      </c>
      <c r="X552" s="72">
        <v>0</v>
      </c>
      <c r="Y552" s="73">
        <v>0</v>
      </c>
      <c r="Z552" s="72">
        <v>0</v>
      </c>
      <c r="AA552" s="73">
        <v>0</v>
      </c>
      <c r="AB552" s="72">
        <v>0</v>
      </c>
      <c r="AC552" s="73">
        <v>0</v>
      </c>
      <c r="AD552" s="72">
        <v>0</v>
      </c>
      <c r="AE552" s="73">
        <v>0</v>
      </c>
      <c r="AF552" s="72">
        <v>0</v>
      </c>
      <c r="AG552" s="88">
        <v>0</v>
      </c>
      <c r="AH552"/>
    </row>
    <row r="553" spans="1:34">
      <c r="B553" s="114">
        <v>534</v>
      </c>
      <c r="C553" s="117">
        <v>51</v>
      </c>
      <c r="D553" s="117"/>
      <c r="E553" s="117" t="s">
        <v>1048</v>
      </c>
      <c r="F553" s="117" t="s">
        <v>1049</v>
      </c>
      <c r="G553" s="117" t="s">
        <v>1054</v>
      </c>
      <c r="H553" s="117" t="s">
        <v>1055</v>
      </c>
      <c r="I553" s="120" t="s">
        <v>1052</v>
      </c>
      <c r="J553" s="84">
        <v>192</v>
      </c>
      <c r="K553" s="73">
        <v>10903.68</v>
      </c>
      <c r="L553" s="72">
        <v>688</v>
      </c>
      <c r="M553" s="73">
        <v>39071.52</v>
      </c>
      <c r="N553" s="72">
        <v>144</v>
      </c>
      <c r="O553" s="73">
        <v>8177.76</v>
      </c>
      <c r="P553" s="72">
        <v>18</v>
      </c>
      <c r="Q553" s="73">
        <v>1022.22</v>
      </c>
      <c r="R553" s="72">
        <v>0</v>
      </c>
      <c r="S553" s="73">
        <v>0</v>
      </c>
      <c r="T553" s="72">
        <v>0</v>
      </c>
      <c r="U553" s="73">
        <v>0</v>
      </c>
      <c r="V553" s="72">
        <v>6</v>
      </c>
      <c r="W553" s="73">
        <v>340.74</v>
      </c>
      <c r="X553" s="72">
        <v>0</v>
      </c>
      <c r="Y553" s="73">
        <v>0</v>
      </c>
      <c r="Z553" s="72">
        <v>0</v>
      </c>
      <c r="AA553" s="73">
        <v>0</v>
      </c>
      <c r="AB553" s="72">
        <v>0</v>
      </c>
      <c r="AC553" s="73">
        <v>0</v>
      </c>
      <c r="AD553" s="72">
        <v>0</v>
      </c>
      <c r="AE553" s="73">
        <v>0</v>
      </c>
      <c r="AF553" s="72">
        <v>0</v>
      </c>
      <c r="AG553" s="88">
        <v>0</v>
      </c>
      <c r="AH553"/>
    </row>
    <row r="554" spans="1:34">
      <c r="B554" s="114">
        <v>535</v>
      </c>
      <c r="C554" s="117">
        <v>51</v>
      </c>
      <c r="D554" s="117"/>
      <c r="E554" s="117" t="s">
        <v>1067</v>
      </c>
      <c r="F554" s="117" t="s">
        <v>1068</v>
      </c>
      <c r="G554" s="117" t="s">
        <v>1069</v>
      </c>
      <c r="H554" s="117" t="s">
        <v>1070</v>
      </c>
      <c r="I554" s="120" t="s">
        <v>623</v>
      </c>
      <c r="J554" s="84">
        <v>384</v>
      </c>
      <c r="K554" s="73">
        <v>3471.36</v>
      </c>
      <c r="L554" s="72">
        <v>960</v>
      </c>
      <c r="M554" s="73">
        <v>8678.4</v>
      </c>
      <c r="N554" s="72">
        <v>672</v>
      </c>
      <c r="O554" s="73">
        <v>6074.88</v>
      </c>
      <c r="P554" s="72">
        <v>768</v>
      </c>
      <c r="Q554" s="73">
        <v>6942.72</v>
      </c>
      <c r="R554" s="72">
        <v>864</v>
      </c>
      <c r="S554" s="73">
        <v>7810.56</v>
      </c>
      <c r="T554" s="72">
        <v>672</v>
      </c>
      <c r="U554" s="73">
        <v>6074.88</v>
      </c>
      <c r="V554" s="72">
        <v>576</v>
      </c>
      <c r="W554" s="73">
        <v>5207.04</v>
      </c>
      <c r="X554" s="72">
        <v>576</v>
      </c>
      <c r="Y554" s="73">
        <v>5207.04</v>
      </c>
      <c r="Z554" s="72">
        <v>672</v>
      </c>
      <c r="AA554" s="73">
        <v>6074.88</v>
      </c>
      <c r="AB554" s="72">
        <v>0</v>
      </c>
      <c r="AC554" s="73">
        <v>0</v>
      </c>
      <c r="AD554" s="72">
        <v>0</v>
      </c>
      <c r="AE554" s="73">
        <v>0</v>
      </c>
      <c r="AF554" s="72">
        <v>0</v>
      </c>
      <c r="AG554" s="88">
        <v>0</v>
      </c>
      <c r="AH554"/>
    </row>
    <row r="555" spans="1:34">
      <c r="B555" s="114">
        <v>536</v>
      </c>
      <c r="C555" s="117">
        <v>51</v>
      </c>
      <c r="D555" s="117"/>
      <c r="E555" s="117" t="s">
        <v>1067</v>
      </c>
      <c r="F555" s="117" t="s">
        <v>1068</v>
      </c>
      <c r="G555" s="117" t="s">
        <v>1078</v>
      </c>
      <c r="H555" s="117" t="s">
        <v>1079</v>
      </c>
      <c r="I555" s="120" t="s">
        <v>548</v>
      </c>
      <c r="J555" s="84">
        <v>600</v>
      </c>
      <c r="K555" s="73">
        <v>7650</v>
      </c>
      <c r="L555" s="72">
        <v>900</v>
      </c>
      <c r="M555" s="73">
        <v>11475</v>
      </c>
      <c r="N555" s="72">
        <v>840</v>
      </c>
      <c r="O555" s="73">
        <v>10710</v>
      </c>
      <c r="P555" s="72">
        <v>720</v>
      </c>
      <c r="Q555" s="73">
        <v>9180</v>
      </c>
      <c r="R555" s="72">
        <v>1140</v>
      </c>
      <c r="S555" s="73">
        <v>14535</v>
      </c>
      <c r="T555" s="72">
        <v>720</v>
      </c>
      <c r="U555" s="73">
        <v>9180</v>
      </c>
      <c r="V555" s="72">
        <v>1080</v>
      </c>
      <c r="W555" s="73">
        <v>13770</v>
      </c>
      <c r="X555" s="72">
        <v>960</v>
      </c>
      <c r="Y555" s="73">
        <v>12240</v>
      </c>
      <c r="Z555" s="72">
        <v>240</v>
      </c>
      <c r="AA555" s="73">
        <v>3060</v>
      </c>
      <c r="AB555" s="72">
        <v>0</v>
      </c>
      <c r="AC555" s="73">
        <v>0</v>
      </c>
      <c r="AD555" s="72">
        <v>0</v>
      </c>
      <c r="AE555" s="73">
        <v>0</v>
      </c>
      <c r="AF555" s="72">
        <v>0</v>
      </c>
      <c r="AG555" s="88">
        <v>0</v>
      </c>
      <c r="AH555"/>
    </row>
    <row r="556" spans="1:34">
      <c r="B556" s="114">
        <v>537</v>
      </c>
      <c r="C556" s="117">
        <v>51</v>
      </c>
      <c r="D556" s="117"/>
      <c r="E556" s="117" t="s">
        <v>1067</v>
      </c>
      <c r="F556" s="117" t="s">
        <v>1068</v>
      </c>
      <c r="G556" s="117" t="s">
        <v>1077</v>
      </c>
      <c r="H556" s="117" t="s">
        <v>1070</v>
      </c>
      <c r="I556" s="120" t="s">
        <v>623</v>
      </c>
      <c r="J556" s="84">
        <v>576</v>
      </c>
      <c r="K556" s="73">
        <v>5218.56</v>
      </c>
      <c r="L556" s="72">
        <v>768</v>
      </c>
      <c r="M556" s="73">
        <v>6958.08</v>
      </c>
      <c r="N556" s="72">
        <v>768</v>
      </c>
      <c r="O556" s="73">
        <v>6958.08</v>
      </c>
      <c r="P556" s="72">
        <v>768</v>
      </c>
      <c r="Q556" s="73">
        <v>6958.08</v>
      </c>
      <c r="R556" s="72">
        <v>768</v>
      </c>
      <c r="S556" s="73">
        <v>6958.08</v>
      </c>
      <c r="T556" s="72">
        <v>768</v>
      </c>
      <c r="U556" s="73">
        <v>6958.08</v>
      </c>
      <c r="V556" s="72">
        <v>768</v>
      </c>
      <c r="W556" s="73">
        <v>6958.08</v>
      </c>
      <c r="X556" s="72">
        <v>576</v>
      </c>
      <c r="Y556" s="73">
        <v>5218.56</v>
      </c>
      <c r="Z556" s="72">
        <v>480</v>
      </c>
      <c r="AA556" s="73">
        <v>4348.8</v>
      </c>
      <c r="AB556" s="72">
        <v>0</v>
      </c>
      <c r="AC556" s="73">
        <v>0</v>
      </c>
      <c r="AD556" s="72">
        <v>0</v>
      </c>
      <c r="AE556" s="73">
        <v>0</v>
      </c>
      <c r="AF556" s="72">
        <v>0</v>
      </c>
      <c r="AG556" s="88">
        <v>0</v>
      </c>
      <c r="AH556"/>
    </row>
    <row r="557" spans="1:34">
      <c r="B557" s="114">
        <v>538</v>
      </c>
      <c r="C557" s="117">
        <v>51</v>
      </c>
      <c r="D557" s="117"/>
      <c r="E557" s="117" t="s">
        <v>1067</v>
      </c>
      <c r="F557" s="117" t="s">
        <v>1068</v>
      </c>
      <c r="G557" s="117" t="s">
        <v>1073</v>
      </c>
      <c r="H557" s="117" t="s">
        <v>1074</v>
      </c>
      <c r="I557" s="120" t="s">
        <v>455</v>
      </c>
      <c r="J557" s="84">
        <v>672</v>
      </c>
      <c r="K557" s="73">
        <v>13144.32</v>
      </c>
      <c r="L557" s="72">
        <v>1152</v>
      </c>
      <c r="M557" s="73">
        <v>22533.12</v>
      </c>
      <c r="N557" s="72">
        <v>576</v>
      </c>
      <c r="O557" s="73">
        <v>11266.56</v>
      </c>
      <c r="P557" s="72">
        <v>0</v>
      </c>
      <c r="Q557" s="73">
        <v>0</v>
      </c>
      <c r="R557" s="72">
        <v>0</v>
      </c>
      <c r="S557" s="73">
        <v>0</v>
      </c>
      <c r="T557" s="72">
        <v>0</v>
      </c>
      <c r="U557" s="73">
        <v>0</v>
      </c>
      <c r="V557" s="72">
        <v>0</v>
      </c>
      <c r="W557" s="73">
        <v>0</v>
      </c>
      <c r="X557" s="72">
        <v>0</v>
      </c>
      <c r="Y557" s="73">
        <v>0</v>
      </c>
      <c r="Z557" s="72">
        <v>0</v>
      </c>
      <c r="AA557" s="73">
        <v>0</v>
      </c>
      <c r="AB557" s="72">
        <v>0</v>
      </c>
      <c r="AC557" s="73">
        <v>0</v>
      </c>
      <c r="AD557" s="72">
        <v>0</v>
      </c>
      <c r="AE557" s="73">
        <v>0</v>
      </c>
      <c r="AF557" s="72">
        <v>0</v>
      </c>
      <c r="AG557" s="88">
        <v>0</v>
      </c>
      <c r="AH557"/>
    </row>
    <row r="558" spans="1:34">
      <c r="B558" s="114">
        <v>539</v>
      </c>
      <c r="C558" s="117">
        <v>51</v>
      </c>
      <c r="D558" s="117"/>
      <c r="E558" s="117" t="s">
        <v>1067</v>
      </c>
      <c r="F558" s="117" t="s">
        <v>1068</v>
      </c>
      <c r="G558" s="117" t="s">
        <v>1071</v>
      </c>
      <c r="H558" s="117" t="s">
        <v>1072</v>
      </c>
      <c r="I558" s="120" t="s">
        <v>548</v>
      </c>
      <c r="J558" s="84">
        <v>1210</v>
      </c>
      <c r="K558" s="73">
        <v>17157.8</v>
      </c>
      <c r="L558" s="72">
        <v>1815</v>
      </c>
      <c r="M558" s="73">
        <v>25736.7</v>
      </c>
      <c r="N558" s="72">
        <v>1870</v>
      </c>
      <c r="O558" s="73">
        <v>26516.6</v>
      </c>
      <c r="P558" s="72">
        <v>1320</v>
      </c>
      <c r="Q558" s="73">
        <v>18717.6</v>
      </c>
      <c r="R558" s="72">
        <v>1760</v>
      </c>
      <c r="S558" s="73">
        <v>24956.8</v>
      </c>
      <c r="T558" s="72">
        <v>1485</v>
      </c>
      <c r="U558" s="73">
        <v>21057.3</v>
      </c>
      <c r="V558" s="72">
        <v>1870</v>
      </c>
      <c r="W558" s="73">
        <v>26516.6</v>
      </c>
      <c r="X558" s="72">
        <v>1760</v>
      </c>
      <c r="Y558" s="73">
        <v>24956.8</v>
      </c>
      <c r="Z558" s="72">
        <v>770</v>
      </c>
      <c r="AA558" s="73">
        <v>10918.6</v>
      </c>
      <c r="AB558" s="72">
        <v>0</v>
      </c>
      <c r="AC558" s="73">
        <v>0</v>
      </c>
      <c r="AD558" s="72">
        <v>0</v>
      </c>
      <c r="AE558" s="73">
        <v>0</v>
      </c>
      <c r="AF558" s="72">
        <v>0</v>
      </c>
      <c r="AG558" s="88">
        <v>0</v>
      </c>
      <c r="AH558"/>
    </row>
    <row r="559" spans="1:34">
      <c r="B559" s="114">
        <v>540</v>
      </c>
      <c r="C559" s="117">
        <v>51</v>
      </c>
      <c r="D559" s="117"/>
      <c r="E559" s="117" t="s">
        <v>1067</v>
      </c>
      <c r="F559" s="117" t="s">
        <v>1068</v>
      </c>
      <c r="G559" s="117" t="s">
        <v>1076</v>
      </c>
      <c r="H559" s="117" t="s">
        <v>1070</v>
      </c>
      <c r="I559" s="120" t="s">
        <v>623</v>
      </c>
      <c r="J559" s="84">
        <v>480</v>
      </c>
      <c r="K559" s="73">
        <v>5774.4</v>
      </c>
      <c r="L559" s="72">
        <v>720</v>
      </c>
      <c r="M559" s="73">
        <v>8661.6</v>
      </c>
      <c r="N559" s="72">
        <v>960</v>
      </c>
      <c r="O559" s="73">
        <v>11548.8</v>
      </c>
      <c r="P559" s="72">
        <v>600</v>
      </c>
      <c r="Q559" s="73">
        <v>7218</v>
      </c>
      <c r="R559" s="72">
        <v>960</v>
      </c>
      <c r="S559" s="73">
        <v>11548.8</v>
      </c>
      <c r="T559" s="72">
        <v>1200</v>
      </c>
      <c r="U559" s="73">
        <v>14436</v>
      </c>
      <c r="V559" s="72">
        <v>480</v>
      </c>
      <c r="W559" s="73">
        <v>5774.4</v>
      </c>
      <c r="X559" s="72">
        <v>720</v>
      </c>
      <c r="Y559" s="73">
        <v>8661.6</v>
      </c>
      <c r="Z559" s="72">
        <v>480</v>
      </c>
      <c r="AA559" s="73">
        <v>5774.4</v>
      </c>
      <c r="AB559" s="72">
        <v>120</v>
      </c>
      <c r="AC559" s="73">
        <v>0</v>
      </c>
      <c r="AD559" s="72">
        <v>0</v>
      </c>
      <c r="AE559" s="73">
        <v>0</v>
      </c>
      <c r="AF559" s="72">
        <v>0</v>
      </c>
      <c r="AG559" s="88">
        <v>0</v>
      </c>
      <c r="AH559"/>
    </row>
    <row r="560" spans="1:34">
      <c r="B560" s="114">
        <v>541</v>
      </c>
      <c r="C560" s="117">
        <v>51</v>
      </c>
      <c r="D560" s="117"/>
      <c r="E560" s="117" t="s">
        <v>1067</v>
      </c>
      <c r="F560" s="117" t="s">
        <v>1068</v>
      </c>
      <c r="G560" s="117" t="s">
        <v>1075</v>
      </c>
      <c r="H560" s="117" t="s">
        <v>1070</v>
      </c>
      <c r="I560" s="120" t="s">
        <v>623</v>
      </c>
      <c r="J560" s="84">
        <v>600</v>
      </c>
      <c r="K560" s="73">
        <v>7224</v>
      </c>
      <c r="L560" s="72">
        <v>600</v>
      </c>
      <c r="M560" s="73">
        <v>7224</v>
      </c>
      <c r="N560" s="72">
        <v>1020</v>
      </c>
      <c r="O560" s="73">
        <v>12280.8</v>
      </c>
      <c r="P560" s="72">
        <v>480</v>
      </c>
      <c r="Q560" s="73">
        <v>5779.2</v>
      </c>
      <c r="R560" s="72">
        <v>840</v>
      </c>
      <c r="S560" s="73">
        <v>10113.6</v>
      </c>
      <c r="T560" s="72">
        <v>1080</v>
      </c>
      <c r="U560" s="73">
        <v>13003.2</v>
      </c>
      <c r="V560" s="72">
        <v>660</v>
      </c>
      <c r="W560" s="73">
        <v>7946.4</v>
      </c>
      <c r="X560" s="72">
        <v>600</v>
      </c>
      <c r="Y560" s="73">
        <v>7224</v>
      </c>
      <c r="Z560" s="72">
        <v>600</v>
      </c>
      <c r="AA560" s="73">
        <v>7224</v>
      </c>
      <c r="AB560" s="72">
        <v>0</v>
      </c>
      <c r="AC560" s="73">
        <v>0</v>
      </c>
      <c r="AD560" s="72">
        <v>0</v>
      </c>
      <c r="AE560" s="73">
        <v>0</v>
      </c>
      <c r="AF560" s="72">
        <v>0</v>
      </c>
      <c r="AG560" s="88">
        <v>0</v>
      </c>
      <c r="AH560"/>
    </row>
    <row r="561" spans="1:34">
      <c r="B561" s="114">
        <v>542</v>
      </c>
      <c r="C561" s="117">
        <v>51</v>
      </c>
      <c r="D561" s="117"/>
      <c r="E561" s="117" t="s">
        <v>1080</v>
      </c>
      <c r="F561" s="117" t="s">
        <v>1081</v>
      </c>
      <c r="G561" s="117" t="s">
        <v>730</v>
      </c>
      <c r="H561" s="117" t="s">
        <v>731</v>
      </c>
      <c r="I561" s="120" t="s">
        <v>680</v>
      </c>
      <c r="J561" s="84">
        <v>2040</v>
      </c>
      <c r="K561" s="73">
        <v>398922</v>
      </c>
      <c r="L561" s="72">
        <v>1680</v>
      </c>
      <c r="M561" s="73">
        <v>328524</v>
      </c>
      <c r="N561" s="72">
        <v>2220</v>
      </c>
      <c r="O561" s="73">
        <v>432126</v>
      </c>
      <c r="P561" s="72">
        <v>1560</v>
      </c>
      <c r="Q561" s="73">
        <v>302328</v>
      </c>
      <c r="R561" s="72">
        <v>1440</v>
      </c>
      <c r="S561" s="73">
        <v>279072</v>
      </c>
      <c r="T561" s="72">
        <v>1080</v>
      </c>
      <c r="U561" s="73">
        <v>206666.4</v>
      </c>
      <c r="V561" s="72">
        <v>1380</v>
      </c>
      <c r="W561" s="73">
        <v>258777.6</v>
      </c>
      <c r="X561" s="72">
        <v>2160</v>
      </c>
      <c r="Y561" s="73">
        <v>405043.2</v>
      </c>
      <c r="Z561" s="72">
        <v>1920</v>
      </c>
      <c r="AA561" s="73">
        <v>377244.6</v>
      </c>
      <c r="AB561" s="72">
        <v>0</v>
      </c>
      <c r="AC561" s="73">
        <v>0</v>
      </c>
      <c r="AD561" s="72">
        <v>0</v>
      </c>
      <c r="AE561" s="73">
        <v>0</v>
      </c>
      <c r="AF561" s="72">
        <v>0</v>
      </c>
      <c r="AG561" s="88">
        <v>0</v>
      </c>
      <c r="AH561"/>
    </row>
    <row r="562" spans="1:34">
      <c r="B562" s="114">
        <v>543</v>
      </c>
      <c r="C562" s="117">
        <v>51</v>
      </c>
      <c r="D562" s="117"/>
      <c r="E562" s="117" t="s">
        <v>1080</v>
      </c>
      <c r="F562" s="117" t="s">
        <v>1081</v>
      </c>
      <c r="G562" s="117" t="s">
        <v>735</v>
      </c>
      <c r="H562" s="117" t="s">
        <v>736</v>
      </c>
      <c r="I562" s="120" t="s">
        <v>680</v>
      </c>
      <c r="J562" s="84">
        <v>2160</v>
      </c>
      <c r="K562" s="73">
        <v>1066716</v>
      </c>
      <c r="L562" s="72">
        <v>1755</v>
      </c>
      <c r="M562" s="73">
        <v>866706.75</v>
      </c>
      <c r="N562" s="72">
        <v>2250</v>
      </c>
      <c r="O562" s="73">
        <v>1106166.6</v>
      </c>
      <c r="P562" s="72">
        <v>1530</v>
      </c>
      <c r="Q562" s="73">
        <v>749057.4</v>
      </c>
      <c r="R562" s="72">
        <v>1395</v>
      </c>
      <c r="S562" s="73">
        <v>682964.1</v>
      </c>
      <c r="T562" s="72">
        <v>1080</v>
      </c>
      <c r="U562" s="73">
        <v>522553.95</v>
      </c>
      <c r="V562" s="72">
        <v>1485</v>
      </c>
      <c r="W562" s="73">
        <v>704320.65</v>
      </c>
      <c r="X562" s="72">
        <v>2340</v>
      </c>
      <c r="Y562" s="73">
        <v>1109838.6</v>
      </c>
      <c r="Z562" s="72">
        <v>1845</v>
      </c>
      <c r="AA562" s="73">
        <v>875065.05</v>
      </c>
      <c r="AB562" s="72">
        <v>0</v>
      </c>
      <c r="AC562" s="73">
        <v>0</v>
      </c>
      <c r="AD562" s="72">
        <v>0</v>
      </c>
      <c r="AE562" s="73">
        <v>0</v>
      </c>
      <c r="AF562" s="72">
        <v>0</v>
      </c>
      <c r="AG562" s="88">
        <v>0</v>
      </c>
      <c r="AH562"/>
    </row>
    <row r="563" spans="1:34">
      <c r="B563" s="114">
        <v>544</v>
      </c>
      <c r="C563" s="117">
        <v>51</v>
      </c>
      <c r="D563" s="117"/>
      <c r="E563" s="117" t="s">
        <v>1082</v>
      </c>
      <c r="F563" s="117" t="s">
        <v>1083</v>
      </c>
      <c r="G563" s="117" t="s">
        <v>35</v>
      </c>
      <c r="H563" s="117" t="s">
        <v>36</v>
      </c>
      <c r="I563" s="120" t="s">
        <v>36</v>
      </c>
      <c r="J563" s="84">
        <v>112</v>
      </c>
      <c r="K563" s="73">
        <v>9296</v>
      </c>
      <c r="L563" s="72">
        <v>9216</v>
      </c>
      <c r="M563" s="73">
        <v>764928</v>
      </c>
      <c r="N563" s="72">
        <v>9792</v>
      </c>
      <c r="O563" s="73">
        <v>812736</v>
      </c>
      <c r="P563" s="72">
        <v>10368</v>
      </c>
      <c r="Q563" s="73">
        <v>860544</v>
      </c>
      <c r="R563" s="72">
        <v>13248</v>
      </c>
      <c r="S563" s="73">
        <v>1099584</v>
      </c>
      <c r="T563" s="72">
        <v>6912</v>
      </c>
      <c r="U563" s="73">
        <v>573696</v>
      </c>
      <c r="V563" s="72">
        <v>11808</v>
      </c>
      <c r="W563" s="73">
        <v>980064</v>
      </c>
      <c r="X563" s="72">
        <v>9843</v>
      </c>
      <c r="Y563" s="73">
        <v>816969</v>
      </c>
      <c r="Z563" s="72">
        <v>9463</v>
      </c>
      <c r="AA563" s="73">
        <v>785429</v>
      </c>
      <c r="AB563" s="72">
        <v>0</v>
      </c>
      <c r="AC563" s="73">
        <v>0</v>
      </c>
      <c r="AD563" s="72">
        <v>0</v>
      </c>
      <c r="AE563" s="73">
        <v>0</v>
      </c>
      <c r="AF563" s="72">
        <v>0</v>
      </c>
      <c r="AG563" s="88">
        <v>0</v>
      </c>
      <c r="AH563"/>
    </row>
    <row r="564" spans="1:34">
      <c r="B564" s="114">
        <v>545</v>
      </c>
      <c r="C564" s="117">
        <v>51</v>
      </c>
      <c r="D564" s="117"/>
      <c r="E564" s="117" t="s">
        <v>1082</v>
      </c>
      <c r="F564" s="117" t="s">
        <v>1083</v>
      </c>
      <c r="G564" s="117" t="s">
        <v>72</v>
      </c>
      <c r="H564" s="117" t="s">
        <v>30</v>
      </c>
      <c r="I564" s="120" t="s">
        <v>30</v>
      </c>
      <c r="J564" s="84">
        <v>0</v>
      </c>
      <c r="K564" s="73">
        <v>0</v>
      </c>
      <c r="L564" s="72">
        <v>0</v>
      </c>
      <c r="M564" s="73">
        <v>0</v>
      </c>
      <c r="N564" s="72">
        <v>0</v>
      </c>
      <c r="O564" s="73">
        <v>0</v>
      </c>
      <c r="P564" s="72">
        <v>0</v>
      </c>
      <c r="Q564" s="73">
        <v>0</v>
      </c>
      <c r="R564" s="72">
        <v>15322</v>
      </c>
      <c r="S564" s="73">
        <v>980608</v>
      </c>
      <c r="T564" s="72">
        <v>20160</v>
      </c>
      <c r="U564" s="73">
        <v>1290240</v>
      </c>
      <c r="V564" s="72">
        <v>11040</v>
      </c>
      <c r="W564" s="73">
        <v>706560</v>
      </c>
      <c r="X564" s="72">
        <v>24888</v>
      </c>
      <c r="Y564" s="73">
        <v>1592832</v>
      </c>
      <c r="Z564" s="72">
        <v>8604</v>
      </c>
      <c r="AA564" s="73">
        <v>550656</v>
      </c>
      <c r="AB564" s="72">
        <v>0</v>
      </c>
      <c r="AC564" s="73">
        <v>0</v>
      </c>
      <c r="AD564" s="72">
        <v>0</v>
      </c>
      <c r="AE564" s="73">
        <v>0</v>
      </c>
      <c r="AF564" s="72">
        <v>0</v>
      </c>
      <c r="AG564" s="88">
        <v>0</v>
      </c>
      <c r="AH564"/>
    </row>
    <row r="565" spans="1:34">
      <c r="B565" s="114">
        <v>546</v>
      </c>
      <c r="C565" s="117">
        <v>51</v>
      </c>
      <c r="D565" s="117"/>
      <c r="E565" s="117" t="s">
        <v>1084</v>
      </c>
      <c r="F565" s="117" t="s">
        <v>1085</v>
      </c>
      <c r="G565" s="117" t="s">
        <v>261</v>
      </c>
      <c r="H565" s="117" t="s">
        <v>261</v>
      </c>
      <c r="I565" s="120" t="s">
        <v>88</v>
      </c>
      <c r="J565" s="84">
        <v>71286</v>
      </c>
      <c r="K565" s="73">
        <v>4539064</v>
      </c>
      <c r="L565" s="72">
        <v>108152</v>
      </c>
      <c r="M565" s="73">
        <v>7029880</v>
      </c>
      <c r="N565" s="72">
        <v>76101</v>
      </c>
      <c r="O565" s="73">
        <v>5022666</v>
      </c>
      <c r="P565" s="72">
        <v>0</v>
      </c>
      <c r="Q565" s="73">
        <v>0</v>
      </c>
      <c r="R565" s="72">
        <v>0</v>
      </c>
      <c r="S565" s="73">
        <v>0</v>
      </c>
      <c r="T565" s="72">
        <v>0</v>
      </c>
      <c r="U565" s="73">
        <v>0</v>
      </c>
      <c r="V565" s="72">
        <v>0</v>
      </c>
      <c r="W565" s="73">
        <v>0</v>
      </c>
      <c r="X565" s="72">
        <v>0</v>
      </c>
      <c r="Y565" s="73">
        <v>0</v>
      </c>
      <c r="Z565" s="72">
        <v>0</v>
      </c>
      <c r="AA565" s="73">
        <v>0</v>
      </c>
      <c r="AB565" s="72">
        <v>0</v>
      </c>
      <c r="AC565" s="73">
        <v>0</v>
      </c>
      <c r="AD565" s="72">
        <v>0</v>
      </c>
      <c r="AE565" s="73">
        <v>0</v>
      </c>
      <c r="AF565" s="72">
        <v>0</v>
      </c>
      <c r="AG565" s="88">
        <v>0</v>
      </c>
      <c r="AH565"/>
    </row>
    <row r="566" spans="1:34">
      <c r="B566" s="114">
        <v>547</v>
      </c>
      <c r="C566" s="117">
        <v>51</v>
      </c>
      <c r="D566" s="117"/>
      <c r="E566" s="117" t="s">
        <v>1086</v>
      </c>
      <c r="F566" s="117" t="s">
        <v>1087</v>
      </c>
      <c r="G566" s="117" t="s">
        <v>758</v>
      </c>
      <c r="H566" s="117" t="s">
        <v>434</v>
      </c>
      <c r="I566" s="120" t="s">
        <v>759</v>
      </c>
      <c r="J566" s="84">
        <v>15936</v>
      </c>
      <c r="K566" s="73">
        <v>484454.4</v>
      </c>
      <c r="L566" s="72">
        <v>18960</v>
      </c>
      <c r="M566" s="73">
        <v>576384</v>
      </c>
      <c r="N566" s="72">
        <v>6912</v>
      </c>
      <c r="O566" s="73">
        <v>210124.8</v>
      </c>
      <c r="P566" s="72">
        <v>0</v>
      </c>
      <c r="Q566" s="73">
        <v>0</v>
      </c>
      <c r="R566" s="72">
        <v>0</v>
      </c>
      <c r="S566" s="73">
        <v>0</v>
      </c>
      <c r="T566" s="72">
        <v>0</v>
      </c>
      <c r="U566" s="73">
        <v>0</v>
      </c>
      <c r="V566" s="72">
        <v>0</v>
      </c>
      <c r="W566" s="73">
        <v>0</v>
      </c>
      <c r="X566" s="72">
        <v>0</v>
      </c>
      <c r="Y566" s="73">
        <v>0</v>
      </c>
      <c r="Z566" s="72">
        <v>0</v>
      </c>
      <c r="AA566" s="73">
        <v>0</v>
      </c>
      <c r="AB566" s="72">
        <v>0</v>
      </c>
      <c r="AC566" s="73">
        <v>0</v>
      </c>
      <c r="AD566" s="72">
        <v>0</v>
      </c>
      <c r="AE566" s="73">
        <v>0</v>
      </c>
      <c r="AF566" s="72">
        <v>0</v>
      </c>
      <c r="AG566" s="88">
        <v>0</v>
      </c>
      <c r="AH566"/>
    </row>
    <row r="567" spans="1:34">
      <c r="B567" s="114">
        <v>548</v>
      </c>
      <c r="C567" s="117">
        <v>51</v>
      </c>
      <c r="D567" s="117"/>
      <c r="E567" s="117" t="s">
        <v>1088</v>
      </c>
      <c r="F567" s="117" t="s">
        <v>1089</v>
      </c>
      <c r="G567" s="117" t="s">
        <v>885</v>
      </c>
      <c r="H567" s="117" t="s">
        <v>886</v>
      </c>
      <c r="I567" s="120" t="s">
        <v>266</v>
      </c>
      <c r="J567" s="84">
        <v>6460</v>
      </c>
      <c r="K567" s="73">
        <v>2889687.2</v>
      </c>
      <c r="L567" s="72">
        <v>0</v>
      </c>
      <c r="M567" s="73">
        <v>0</v>
      </c>
      <c r="N567" s="72">
        <v>0</v>
      </c>
      <c r="O567" s="73">
        <v>0</v>
      </c>
      <c r="P567" s="72">
        <v>0</v>
      </c>
      <c r="Q567" s="73">
        <v>0</v>
      </c>
      <c r="R567" s="72">
        <v>0</v>
      </c>
      <c r="S567" s="73">
        <v>0</v>
      </c>
      <c r="T567" s="72">
        <v>0</v>
      </c>
      <c r="U567" s="73">
        <v>0</v>
      </c>
      <c r="V567" s="72">
        <v>0</v>
      </c>
      <c r="W567" s="73">
        <v>0</v>
      </c>
      <c r="X567" s="72">
        <v>0</v>
      </c>
      <c r="Y567" s="73">
        <v>0</v>
      </c>
      <c r="Z567" s="72">
        <v>0</v>
      </c>
      <c r="AA567" s="73">
        <v>0</v>
      </c>
      <c r="AB567" s="72">
        <v>0</v>
      </c>
      <c r="AC567" s="73">
        <v>0</v>
      </c>
      <c r="AD567" s="72">
        <v>0</v>
      </c>
      <c r="AE567" s="73">
        <v>0</v>
      </c>
      <c r="AF567" s="72">
        <v>0</v>
      </c>
      <c r="AG567" s="88">
        <v>0</v>
      </c>
      <c r="AH567"/>
    </row>
    <row r="568" spans="1:34">
      <c r="B568" s="114">
        <v>549</v>
      </c>
      <c r="C568" s="117">
        <v>51</v>
      </c>
      <c r="D568" s="117"/>
      <c r="E568" s="117" t="s">
        <v>1090</v>
      </c>
      <c r="F568" s="117" t="s">
        <v>1091</v>
      </c>
      <c r="G568" s="117" t="s">
        <v>37</v>
      </c>
      <c r="H568" s="117" t="s">
        <v>38</v>
      </c>
      <c r="I568" s="120" t="s">
        <v>38</v>
      </c>
      <c r="J568" s="84">
        <v>4800</v>
      </c>
      <c r="K568" s="73">
        <v>194592</v>
      </c>
      <c r="L568" s="72">
        <v>0</v>
      </c>
      <c r="M568" s="73">
        <v>0</v>
      </c>
      <c r="N568" s="72">
        <v>0</v>
      </c>
      <c r="O568" s="73">
        <v>0</v>
      </c>
      <c r="P568" s="72">
        <v>0</v>
      </c>
      <c r="Q568" s="73">
        <v>0</v>
      </c>
      <c r="R568" s="72">
        <v>0</v>
      </c>
      <c r="S568" s="73">
        <v>0</v>
      </c>
      <c r="T568" s="72">
        <v>0</v>
      </c>
      <c r="U568" s="73">
        <v>0</v>
      </c>
      <c r="V568" s="72">
        <v>0</v>
      </c>
      <c r="W568" s="73">
        <v>0</v>
      </c>
      <c r="X568" s="72">
        <v>0</v>
      </c>
      <c r="Y568" s="73">
        <v>0</v>
      </c>
      <c r="Z568" s="72">
        <v>0</v>
      </c>
      <c r="AA568" s="73">
        <v>0</v>
      </c>
      <c r="AB568" s="72">
        <v>0</v>
      </c>
      <c r="AC568" s="73">
        <v>0</v>
      </c>
      <c r="AD568" s="72">
        <v>0</v>
      </c>
      <c r="AE568" s="73">
        <v>0</v>
      </c>
      <c r="AF568" s="72">
        <v>0</v>
      </c>
      <c r="AG568" s="88">
        <v>0</v>
      </c>
      <c r="AH568"/>
    </row>
    <row r="569" spans="1:34">
      <c r="B569" s="114">
        <v>550</v>
      </c>
      <c r="C569" s="117">
        <v>51</v>
      </c>
      <c r="D569" s="117"/>
      <c r="E569" s="117" t="s">
        <v>1092</v>
      </c>
      <c r="F569" s="117" t="s">
        <v>1093</v>
      </c>
      <c r="G569" s="117" t="s">
        <v>261</v>
      </c>
      <c r="H569" s="117" t="s">
        <v>261</v>
      </c>
      <c r="I569" s="120" t="s">
        <v>88</v>
      </c>
      <c r="J569" s="84">
        <v>11882</v>
      </c>
      <c r="K569" s="73">
        <v>754507</v>
      </c>
      <c r="L569" s="72">
        <v>0</v>
      </c>
      <c r="M569" s="73">
        <v>0</v>
      </c>
      <c r="N569" s="72">
        <v>0</v>
      </c>
      <c r="O569" s="73">
        <v>0</v>
      </c>
      <c r="P569" s="72">
        <v>0</v>
      </c>
      <c r="Q569" s="73">
        <v>0</v>
      </c>
      <c r="R569" s="72">
        <v>0</v>
      </c>
      <c r="S569" s="73">
        <v>0</v>
      </c>
      <c r="T569" s="72">
        <v>0</v>
      </c>
      <c r="U569" s="73">
        <v>0</v>
      </c>
      <c r="V569" s="72">
        <v>0</v>
      </c>
      <c r="W569" s="73">
        <v>0</v>
      </c>
      <c r="X569" s="72">
        <v>0</v>
      </c>
      <c r="Y569" s="73">
        <v>0</v>
      </c>
      <c r="Z569" s="72">
        <v>0</v>
      </c>
      <c r="AA569" s="73">
        <v>0</v>
      </c>
      <c r="AB569" s="72">
        <v>0</v>
      </c>
      <c r="AC569" s="73">
        <v>0</v>
      </c>
      <c r="AD569" s="72">
        <v>0</v>
      </c>
      <c r="AE569" s="73">
        <v>0</v>
      </c>
      <c r="AF569" s="72">
        <v>0</v>
      </c>
      <c r="AG569" s="88">
        <v>0</v>
      </c>
      <c r="AH569"/>
    </row>
    <row r="570" spans="1:34">
      <c r="B570" s="114">
        <v>551</v>
      </c>
      <c r="C570" s="117">
        <v>51</v>
      </c>
      <c r="D570" s="117"/>
      <c r="E570" s="117" t="s">
        <v>1094</v>
      </c>
      <c r="F570" s="117" t="s">
        <v>1095</v>
      </c>
      <c r="G570" s="117" t="s">
        <v>1096</v>
      </c>
      <c r="H570" s="117" t="s">
        <v>1097</v>
      </c>
      <c r="I570" s="120"/>
      <c r="J570" s="84">
        <v>0</v>
      </c>
      <c r="K570" s="73">
        <v>0</v>
      </c>
      <c r="L570" s="72">
        <v>4000</v>
      </c>
      <c r="M570" s="73">
        <v>80000</v>
      </c>
      <c r="N570" s="72">
        <v>1000</v>
      </c>
      <c r="O570" s="73">
        <v>20000</v>
      </c>
      <c r="P570" s="72">
        <v>1000</v>
      </c>
      <c r="Q570" s="73">
        <v>20000</v>
      </c>
      <c r="R570" s="72">
        <v>1500</v>
      </c>
      <c r="S570" s="73">
        <v>30000</v>
      </c>
      <c r="T570" s="72">
        <v>1000</v>
      </c>
      <c r="U570" s="73">
        <v>20000</v>
      </c>
      <c r="V570" s="72">
        <v>1000</v>
      </c>
      <c r="W570" s="73">
        <v>20000</v>
      </c>
      <c r="X570" s="72">
        <v>0</v>
      </c>
      <c r="Y570" s="73">
        <v>0</v>
      </c>
      <c r="Z570" s="72">
        <v>0</v>
      </c>
      <c r="AA570" s="73">
        <v>0</v>
      </c>
      <c r="AB570" s="72">
        <v>5237</v>
      </c>
      <c r="AC570" s="73">
        <v>104740</v>
      </c>
      <c r="AD570" s="72">
        <v>0</v>
      </c>
      <c r="AE570" s="73">
        <v>0</v>
      </c>
      <c r="AF570" s="72">
        <v>0</v>
      </c>
      <c r="AG570" s="88">
        <v>0</v>
      </c>
      <c r="AH570"/>
    </row>
    <row r="571" spans="1:34">
      <c r="B571" s="114">
        <v>552</v>
      </c>
      <c r="C571" s="117">
        <v>51</v>
      </c>
      <c r="D571" s="117"/>
      <c r="E571" s="117" t="s">
        <v>1098</v>
      </c>
      <c r="F571" s="117" t="s">
        <v>1099</v>
      </c>
      <c r="G571" s="117" t="s">
        <v>1102</v>
      </c>
      <c r="H571" s="117" t="s">
        <v>1103</v>
      </c>
      <c r="I571" s="120"/>
      <c r="J571" s="84">
        <v>0</v>
      </c>
      <c r="K571" s="73">
        <v>0</v>
      </c>
      <c r="L571" s="72">
        <v>0</v>
      </c>
      <c r="M571" s="73">
        <v>0</v>
      </c>
      <c r="N571" s="72">
        <v>10000</v>
      </c>
      <c r="O571" s="73">
        <v>12000</v>
      </c>
      <c r="P571" s="72">
        <v>6000</v>
      </c>
      <c r="Q571" s="73">
        <v>7200</v>
      </c>
      <c r="R571" s="72">
        <v>10000</v>
      </c>
      <c r="S571" s="73">
        <v>12000</v>
      </c>
      <c r="T571" s="72">
        <v>7200</v>
      </c>
      <c r="U571" s="73">
        <v>8640</v>
      </c>
      <c r="V571" s="72">
        <v>8000</v>
      </c>
      <c r="W571" s="73">
        <v>9600</v>
      </c>
      <c r="X571" s="72">
        <v>6000</v>
      </c>
      <c r="Y571" s="73">
        <v>7200</v>
      </c>
      <c r="Z571" s="72">
        <v>0</v>
      </c>
      <c r="AA571" s="73">
        <v>0</v>
      </c>
      <c r="AB571" s="72">
        <v>165</v>
      </c>
      <c r="AC571" s="73">
        <v>198</v>
      </c>
      <c r="AD571" s="72">
        <v>0</v>
      </c>
      <c r="AE571" s="73">
        <v>0</v>
      </c>
      <c r="AF571" s="72">
        <v>0</v>
      </c>
      <c r="AG571" s="88">
        <v>0</v>
      </c>
      <c r="AH571"/>
    </row>
    <row r="572" spans="1:34">
      <c r="B572" s="114">
        <v>553</v>
      </c>
      <c r="C572" s="117">
        <v>51</v>
      </c>
      <c r="D572" s="117"/>
      <c r="E572" s="117" t="s">
        <v>1098</v>
      </c>
      <c r="F572" s="117" t="s">
        <v>1099</v>
      </c>
      <c r="G572" s="117" t="s">
        <v>1100</v>
      </c>
      <c r="H572" s="117" t="s">
        <v>1101</v>
      </c>
      <c r="I572" s="120"/>
      <c r="J572" s="84">
        <v>0</v>
      </c>
      <c r="K572" s="73">
        <v>0</v>
      </c>
      <c r="L572" s="72">
        <v>0</v>
      </c>
      <c r="M572" s="73">
        <v>0</v>
      </c>
      <c r="N572" s="72">
        <v>0</v>
      </c>
      <c r="O572" s="73">
        <v>0</v>
      </c>
      <c r="P572" s="72">
        <v>0</v>
      </c>
      <c r="Q572" s="73">
        <v>0</v>
      </c>
      <c r="R572" s="72">
        <v>0</v>
      </c>
      <c r="S572" s="73">
        <v>0</v>
      </c>
      <c r="T572" s="72">
        <v>0</v>
      </c>
      <c r="U572" s="73">
        <v>0</v>
      </c>
      <c r="V572" s="72">
        <v>0</v>
      </c>
      <c r="W572" s="73">
        <v>0</v>
      </c>
      <c r="X572" s="72">
        <v>0</v>
      </c>
      <c r="Y572" s="73">
        <v>0</v>
      </c>
      <c r="Z572" s="72">
        <v>0</v>
      </c>
      <c r="AA572" s="73">
        <v>0</v>
      </c>
      <c r="AB572" s="72">
        <v>5</v>
      </c>
      <c r="AC572" s="73">
        <v>6</v>
      </c>
      <c r="AD572" s="72">
        <v>0</v>
      </c>
      <c r="AE572" s="73">
        <v>0</v>
      </c>
      <c r="AF572" s="72">
        <v>0</v>
      </c>
      <c r="AG572" s="88">
        <v>0</v>
      </c>
      <c r="AH572"/>
    </row>
    <row r="573" spans="1:34">
      <c r="B573" s="114">
        <v>554</v>
      </c>
      <c r="C573" s="117">
        <v>51</v>
      </c>
      <c r="D573" s="117"/>
      <c r="E573" s="117" t="s">
        <v>1104</v>
      </c>
      <c r="F573" s="117" t="s">
        <v>1105</v>
      </c>
      <c r="G573" s="117" t="s">
        <v>1114</v>
      </c>
      <c r="H573" s="117" t="s">
        <v>1115</v>
      </c>
      <c r="I573" s="120"/>
      <c r="J573" s="84">
        <v>0</v>
      </c>
      <c r="K573" s="73">
        <v>0</v>
      </c>
      <c r="L573" s="72">
        <v>0</v>
      </c>
      <c r="M573" s="73">
        <v>0</v>
      </c>
      <c r="N573" s="72">
        <v>0</v>
      </c>
      <c r="O573" s="73">
        <v>0</v>
      </c>
      <c r="P573" s="72">
        <v>0</v>
      </c>
      <c r="Q573" s="73">
        <v>0</v>
      </c>
      <c r="R573" s="72">
        <v>0</v>
      </c>
      <c r="S573" s="73">
        <v>0</v>
      </c>
      <c r="T573" s="72">
        <v>400</v>
      </c>
      <c r="U573" s="73">
        <v>1272</v>
      </c>
      <c r="V573" s="72">
        <v>0</v>
      </c>
      <c r="W573" s="73">
        <v>0</v>
      </c>
      <c r="X573" s="72">
        <v>0</v>
      </c>
      <c r="Y573" s="73">
        <v>0</v>
      </c>
      <c r="Z573" s="72">
        <v>0</v>
      </c>
      <c r="AA573" s="73">
        <v>0</v>
      </c>
      <c r="AB573" s="72">
        <v>0</v>
      </c>
      <c r="AC573" s="73">
        <v>0</v>
      </c>
      <c r="AD573" s="72">
        <v>0</v>
      </c>
      <c r="AE573" s="73">
        <v>0</v>
      </c>
      <c r="AF573" s="72">
        <v>0</v>
      </c>
      <c r="AG573" s="88">
        <v>0</v>
      </c>
      <c r="AH573"/>
    </row>
    <row r="574" spans="1:34">
      <c r="B574" s="114">
        <v>555</v>
      </c>
      <c r="C574" s="117">
        <v>51</v>
      </c>
      <c r="D574" s="117"/>
      <c r="E574" s="117" t="s">
        <v>1104</v>
      </c>
      <c r="F574" s="117" t="s">
        <v>1105</v>
      </c>
      <c r="G574" s="117" t="s">
        <v>1108</v>
      </c>
      <c r="H574" s="117" t="s">
        <v>1109</v>
      </c>
      <c r="I574" s="120"/>
      <c r="J574" s="84">
        <v>0</v>
      </c>
      <c r="K574" s="73">
        <v>0</v>
      </c>
      <c r="L574" s="72">
        <v>0</v>
      </c>
      <c r="M574" s="73">
        <v>0</v>
      </c>
      <c r="N574" s="72">
        <v>0</v>
      </c>
      <c r="O574" s="73">
        <v>0</v>
      </c>
      <c r="P574" s="72">
        <v>0</v>
      </c>
      <c r="Q574" s="73">
        <v>0</v>
      </c>
      <c r="R574" s="72">
        <v>1600</v>
      </c>
      <c r="S574" s="73">
        <v>6048</v>
      </c>
      <c r="T574" s="72">
        <v>0</v>
      </c>
      <c r="U574" s="73">
        <v>0</v>
      </c>
      <c r="V574" s="72">
        <v>0</v>
      </c>
      <c r="W574" s="73">
        <v>0</v>
      </c>
      <c r="X574" s="72">
        <v>0</v>
      </c>
      <c r="Y574" s="73">
        <v>0</v>
      </c>
      <c r="Z574" s="72">
        <v>0</v>
      </c>
      <c r="AA574" s="73">
        <v>0</v>
      </c>
      <c r="AB574" s="72">
        <v>503</v>
      </c>
      <c r="AC574" s="73">
        <v>34204</v>
      </c>
      <c r="AD574" s="72">
        <v>0</v>
      </c>
      <c r="AE574" s="73">
        <v>0</v>
      </c>
      <c r="AF574" s="72">
        <v>0</v>
      </c>
      <c r="AG574" s="88">
        <v>0</v>
      </c>
      <c r="AH574"/>
    </row>
    <row r="575" spans="1:34">
      <c r="B575" s="114">
        <v>556</v>
      </c>
      <c r="C575" s="117">
        <v>51</v>
      </c>
      <c r="D575" s="117"/>
      <c r="E575" s="117" t="s">
        <v>1104</v>
      </c>
      <c r="F575" s="117" t="s">
        <v>1105</v>
      </c>
      <c r="G575" s="117" t="s">
        <v>1116</v>
      </c>
      <c r="H575" s="117" t="s">
        <v>1117</v>
      </c>
      <c r="I575" s="120"/>
      <c r="J575" s="84">
        <v>0</v>
      </c>
      <c r="K575" s="73">
        <v>0</v>
      </c>
      <c r="L575" s="72">
        <v>0</v>
      </c>
      <c r="M575" s="73">
        <v>0</v>
      </c>
      <c r="N575" s="72">
        <v>0</v>
      </c>
      <c r="O575" s="73">
        <v>0</v>
      </c>
      <c r="P575" s="72">
        <v>0</v>
      </c>
      <c r="Q575" s="73">
        <v>0</v>
      </c>
      <c r="R575" s="72">
        <v>0</v>
      </c>
      <c r="S575" s="73">
        <v>0</v>
      </c>
      <c r="T575" s="72">
        <v>0</v>
      </c>
      <c r="U575" s="73">
        <v>0</v>
      </c>
      <c r="V575" s="72">
        <v>0</v>
      </c>
      <c r="W575" s="73">
        <v>0</v>
      </c>
      <c r="X575" s="72">
        <v>0</v>
      </c>
      <c r="Y575" s="73">
        <v>0</v>
      </c>
      <c r="Z575" s="72">
        <v>0</v>
      </c>
      <c r="AA575" s="73">
        <v>0</v>
      </c>
      <c r="AB575" s="72">
        <v>1957</v>
      </c>
      <c r="AC575" s="73">
        <v>136990</v>
      </c>
      <c r="AD575" s="72">
        <v>0</v>
      </c>
      <c r="AE575" s="73">
        <v>0</v>
      </c>
      <c r="AF575" s="72">
        <v>0</v>
      </c>
      <c r="AG575" s="88">
        <v>0</v>
      </c>
      <c r="AH575"/>
    </row>
    <row r="576" spans="1:34">
      <c r="B576" s="114">
        <v>557</v>
      </c>
      <c r="C576" s="117">
        <v>51</v>
      </c>
      <c r="D576" s="117"/>
      <c r="E576" s="117" t="s">
        <v>1104</v>
      </c>
      <c r="F576" s="117" t="s">
        <v>1105</v>
      </c>
      <c r="G576" s="117" t="s">
        <v>1106</v>
      </c>
      <c r="H576" s="117" t="s">
        <v>1107</v>
      </c>
      <c r="I576" s="120"/>
      <c r="J576" s="84">
        <v>0</v>
      </c>
      <c r="K576" s="73">
        <v>0</v>
      </c>
      <c r="L576" s="72">
        <v>0</v>
      </c>
      <c r="M576" s="73">
        <v>0</v>
      </c>
      <c r="N576" s="72">
        <v>0</v>
      </c>
      <c r="O576" s="73">
        <v>0</v>
      </c>
      <c r="P576" s="72">
        <v>0</v>
      </c>
      <c r="Q576" s="73">
        <v>0</v>
      </c>
      <c r="R576" s="72">
        <v>0</v>
      </c>
      <c r="S576" s="73">
        <v>0</v>
      </c>
      <c r="T576" s="72">
        <v>0</v>
      </c>
      <c r="U576" s="73">
        <v>0</v>
      </c>
      <c r="V576" s="72">
        <v>0</v>
      </c>
      <c r="W576" s="73">
        <v>0</v>
      </c>
      <c r="X576" s="72">
        <v>0</v>
      </c>
      <c r="Y576" s="73">
        <v>0</v>
      </c>
      <c r="Z576" s="72">
        <v>0</v>
      </c>
      <c r="AA576" s="73">
        <v>0</v>
      </c>
      <c r="AB576" s="72">
        <v>297</v>
      </c>
      <c r="AC576" s="73">
        <v>20196</v>
      </c>
      <c r="AD576" s="72">
        <v>0</v>
      </c>
      <c r="AE576" s="73">
        <v>0</v>
      </c>
      <c r="AF576" s="72">
        <v>0</v>
      </c>
      <c r="AG576" s="88">
        <v>0</v>
      </c>
      <c r="AH576"/>
    </row>
    <row r="577" spans="1:34">
      <c r="B577" s="114">
        <v>558</v>
      </c>
      <c r="C577" s="117">
        <v>51</v>
      </c>
      <c r="D577" s="117"/>
      <c r="E577" s="117" t="s">
        <v>1104</v>
      </c>
      <c r="F577" s="117" t="s">
        <v>1105</v>
      </c>
      <c r="G577" s="117" t="s">
        <v>1122</v>
      </c>
      <c r="H577" s="117" t="s">
        <v>1123</v>
      </c>
      <c r="I577" s="120"/>
      <c r="J577" s="84">
        <v>0</v>
      </c>
      <c r="K577" s="73">
        <v>0</v>
      </c>
      <c r="L577" s="72">
        <v>0</v>
      </c>
      <c r="M577" s="73">
        <v>0</v>
      </c>
      <c r="N577" s="72">
        <v>0</v>
      </c>
      <c r="O577" s="73">
        <v>0</v>
      </c>
      <c r="P577" s="72">
        <v>0</v>
      </c>
      <c r="Q577" s="73">
        <v>0</v>
      </c>
      <c r="R577" s="72">
        <v>0</v>
      </c>
      <c r="S577" s="73">
        <v>0</v>
      </c>
      <c r="T577" s="72">
        <v>0</v>
      </c>
      <c r="U577" s="73">
        <v>0</v>
      </c>
      <c r="V577" s="72">
        <v>0</v>
      </c>
      <c r="W577" s="73">
        <v>0</v>
      </c>
      <c r="X577" s="72">
        <v>0</v>
      </c>
      <c r="Y577" s="73">
        <v>0</v>
      </c>
      <c r="Z577" s="72">
        <v>0</v>
      </c>
      <c r="AA577" s="73">
        <v>0</v>
      </c>
      <c r="AB577" s="72">
        <v>1774</v>
      </c>
      <c r="AC577" s="73">
        <v>120632</v>
      </c>
      <c r="AD577" s="72">
        <v>0</v>
      </c>
      <c r="AE577" s="73">
        <v>0</v>
      </c>
      <c r="AF577" s="72">
        <v>0</v>
      </c>
      <c r="AG577" s="88">
        <v>0</v>
      </c>
      <c r="AH577"/>
    </row>
    <row r="578" spans="1:34">
      <c r="B578" s="114">
        <v>559</v>
      </c>
      <c r="C578" s="117">
        <v>51</v>
      </c>
      <c r="D578" s="117"/>
      <c r="E578" s="117" t="s">
        <v>1104</v>
      </c>
      <c r="F578" s="117" t="s">
        <v>1105</v>
      </c>
      <c r="G578" s="117" t="s">
        <v>1110</v>
      </c>
      <c r="H578" s="117" t="s">
        <v>1111</v>
      </c>
      <c r="I578" s="120"/>
      <c r="J578" s="84">
        <v>0</v>
      </c>
      <c r="K578" s="73">
        <v>0</v>
      </c>
      <c r="L578" s="72">
        <v>0</v>
      </c>
      <c r="M578" s="73">
        <v>0</v>
      </c>
      <c r="N578" s="72">
        <v>0</v>
      </c>
      <c r="O578" s="73">
        <v>0</v>
      </c>
      <c r="P578" s="72">
        <v>0</v>
      </c>
      <c r="Q578" s="73">
        <v>0</v>
      </c>
      <c r="R578" s="72">
        <v>0</v>
      </c>
      <c r="S578" s="73">
        <v>0</v>
      </c>
      <c r="T578" s="72">
        <v>0</v>
      </c>
      <c r="U578" s="73">
        <v>0</v>
      </c>
      <c r="V578" s="72">
        <v>0</v>
      </c>
      <c r="W578" s="73">
        <v>0</v>
      </c>
      <c r="X578" s="72">
        <v>0</v>
      </c>
      <c r="Y578" s="73">
        <v>0</v>
      </c>
      <c r="Z578" s="72">
        <v>0</v>
      </c>
      <c r="AA578" s="73">
        <v>0</v>
      </c>
      <c r="AB578" s="72">
        <v>1233</v>
      </c>
      <c r="AC578" s="73">
        <v>83844</v>
      </c>
      <c r="AD578" s="72">
        <v>0</v>
      </c>
      <c r="AE578" s="73">
        <v>0</v>
      </c>
      <c r="AF578" s="72">
        <v>0</v>
      </c>
      <c r="AG578" s="88">
        <v>0</v>
      </c>
      <c r="AH578"/>
    </row>
    <row r="579" spans="1:34">
      <c r="B579" s="114">
        <v>560</v>
      </c>
      <c r="C579" s="117">
        <v>51</v>
      </c>
      <c r="D579" s="117"/>
      <c r="E579" s="117" t="s">
        <v>1104</v>
      </c>
      <c r="F579" s="117" t="s">
        <v>1105</v>
      </c>
      <c r="G579" s="117" t="s">
        <v>1118</v>
      </c>
      <c r="H579" s="117" t="s">
        <v>1119</v>
      </c>
      <c r="I579" s="120"/>
      <c r="J579" s="84">
        <v>0</v>
      </c>
      <c r="K579" s="73">
        <v>0</v>
      </c>
      <c r="L579" s="72">
        <v>0</v>
      </c>
      <c r="M579" s="73">
        <v>0</v>
      </c>
      <c r="N579" s="72">
        <v>200</v>
      </c>
      <c r="O579" s="73">
        <v>1000</v>
      </c>
      <c r="P579" s="72">
        <v>0</v>
      </c>
      <c r="Q579" s="73">
        <v>0</v>
      </c>
      <c r="R579" s="72">
        <v>0</v>
      </c>
      <c r="S579" s="73">
        <v>0</v>
      </c>
      <c r="T579" s="72">
        <v>0</v>
      </c>
      <c r="U579" s="73">
        <v>0</v>
      </c>
      <c r="V579" s="72">
        <v>200</v>
      </c>
      <c r="W579" s="73">
        <v>14000</v>
      </c>
      <c r="X579" s="72">
        <v>0</v>
      </c>
      <c r="Y579" s="73">
        <v>0</v>
      </c>
      <c r="Z579" s="72">
        <v>0</v>
      </c>
      <c r="AA579" s="73">
        <v>0</v>
      </c>
      <c r="AB579" s="72">
        <v>709</v>
      </c>
      <c r="AC579" s="73">
        <v>49630</v>
      </c>
      <c r="AD579" s="72">
        <v>0</v>
      </c>
      <c r="AE579" s="73">
        <v>0</v>
      </c>
      <c r="AF579" s="72">
        <v>0</v>
      </c>
      <c r="AG579" s="88">
        <v>0</v>
      </c>
      <c r="AH579"/>
    </row>
    <row r="580" spans="1:34">
      <c r="B580" s="114">
        <v>561</v>
      </c>
      <c r="C580" s="117">
        <v>51</v>
      </c>
      <c r="D580" s="117"/>
      <c r="E580" s="117" t="s">
        <v>1104</v>
      </c>
      <c r="F580" s="117" t="s">
        <v>1105</v>
      </c>
      <c r="G580" s="117" t="s">
        <v>1112</v>
      </c>
      <c r="H580" s="117" t="s">
        <v>1113</v>
      </c>
      <c r="I580" s="120"/>
      <c r="J580" s="84">
        <v>0</v>
      </c>
      <c r="K580" s="73">
        <v>0</v>
      </c>
      <c r="L580" s="72">
        <v>10200</v>
      </c>
      <c r="M580" s="73">
        <v>47634</v>
      </c>
      <c r="N580" s="72">
        <v>3400</v>
      </c>
      <c r="O580" s="73">
        <v>15878</v>
      </c>
      <c r="P580" s="72">
        <v>7650</v>
      </c>
      <c r="Q580" s="73">
        <v>35725.5</v>
      </c>
      <c r="R580" s="72">
        <v>5610</v>
      </c>
      <c r="S580" s="73">
        <v>26198.7</v>
      </c>
      <c r="T580" s="72">
        <v>1190</v>
      </c>
      <c r="U580" s="73">
        <v>5557.3</v>
      </c>
      <c r="V580" s="72">
        <v>0</v>
      </c>
      <c r="W580" s="73">
        <v>0</v>
      </c>
      <c r="X580" s="72">
        <v>0</v>
      </c>
      <c r="Y580" s="73">
        <v>0</v>
      </c>
      <c r="Z580" s="72">
        <v>0</v>
      </c>
      <c r="AA580" s="73">
        <v>0</v>
      </c>
      <c r="AB580" s="72">
        <v>1473</v>
      </c>
      <c r="AC580" s="73">
        <v>103110</v>
      </c>
      <c r="AD580" s="72">
        <v>0</v>
      </c>
      <c r="AE580" s="73">
        <v>0</v>
      </c>
      <c r="AF580" s="72">
        <v>0</v>
      </c>
      <c r="AG580" s="88">
        <v>0</v>
      </c>
      <c r="AH580"/>
    </row>
    <row r="581" spans="1:34">
      <c r="B581" s="114">
        <v>562</v>
      </c>
      <c r="C581" s="117">
        <v>51</v>
      </c>
      <c r="D581" s="117"/>
      <c r="E581" s="117" t="s">
        <v>1104</v>
      </c>
      <c r="F581" s="117" t="s">
        <v>1105</v>
      </c>
      <c r="G581" s="117" t="s">
        <v>1120</v>
      </c>
      <c r="H581" s="117" t="s">
        <v>1121</v>
      </c>
      <c r="I581" s="120"/>
      <c r="J581" s="84">
        <v>0</v>
      </c>
      <c r="K581" s="73">
        <v>0</v>
      </c>
      <c r="L581" s="72">
        <v>0</v>
      </c>
      <c r="M581" s="73">
        <v>0</v>
      </c>
      <c r="N581" s="72">
        <v>0</v>
      </c>
      <c r="O581" s="73">
        <v>0</v>
      </c>
      <c r="P581" s="72">
        <v>0</v>
      </c>
      <c r="Q581" s="73">
        <v>0</v>
      </c>
      <c r="R581" s="72">
        <v>0</v>
      </c>
      <c r="S581" s="73">
        <v>0</v>
      </c>
      <c r="T581" s="72">
        <v>600</v>
      </c>
      <c r="U581" s="73">
        <v>42000</v>
      </c>
      <c r="V581" s="72">
        <v>597</v>
      </c>
      <c r="W581" s="73">
        <v>41790</v>
      </c>
      <c r="X581" s="72">
        <v>0</v>
      </c>
      <c r="Y581" s="73">
        <v>0</v>
      </c>
      <c r="Z581" s="72">
        <v>0</v>
      </c>
      <c r="AA581" s="73">
        <v>0</v>
      </c>
      <c r="AB581" s="72">
        <v>92</v>
      </c>
      <c r="AC581" s="73">
        <v>6440</v>
      </c>
      <c r="AD581" s="72">
        <v>0</v>
      </c>
      <c r="AE581" s="73">
        <v>0</v>
      </c>
      <c r="AF581" s="72">
        <v>0</v>
      </c>
      <c r="AG581" s="88">
        <v>0</v>
      </c>
      <c r="AH581"/>
    </row>
    <row r="582" spans="1:34">
      <c r="B582" s="114">
        <v>563</v>
      </c>
      <c r="C582" s="117">
        <v>51</v>
      </c>
      <c r="D582" s="117"/>
      <c r="E582" s="117" t="s">
        <v>1124</v>
      </c>
      <c r="F582" s="117" t="s">
        <v>1125</v>
      </c>
      <c r="G582" s="117" t="s">
        <v>1128</v>
      </c>
      <c r="H582" s="117" t="s">
        <v>1129</v>
      </c>
      <c r="I582" s="120"/>
      <c r="J582" s="84">
        <v>0</v>
      </c>
      <c r="K582" s="73">
        <v>0</v>
      </c>
      <c r="L582" s="72">
        <v>0</v>
      </c>
      <c r="M582" s="73">
        <v>0</v>
      </c>
      <c r="N582" s="72">
        <v>0</v>
      </c>
      <c r="O582" s="73">
        <v>0</v>
      </c>
      <c r="P582" s="72">
        <v>0</v>
      </c>
      <c r="Q582" s="73">
        <v>0</v>
      </c>
      <c r="R582" s="72">
        <v>0</v>
      </c>
      <c r="S582" s="73">
        <v>0</v>
      </c>
      <c r="T582" s="72">
        <v>500</v>
      </c>
      <c r="U582" s="73">
        <v>11250</v>
      </c>
      <c r="V582" s="72">
        <v>0</v>
      </c>
      <c r="W582" s="73">
        <v>0</v>
      </c>
      <c r="X582" s="72">
        <v>400</v>
      </c>
      <c r="Y582" s="73">
        <v>9000</v>
      </c>
      <c r="Z582" s="72">
        <v>0</v>
      </c>
      <c r="AA582" s="73">
        <v>0</v>
      </c>
      <c r="AB582" s="72">
        <v>0</v>
      </c>
      <c r="AC582" s="73">
        <v>0</v>
      </c>
      <c r="AD582" s="72">
        <v>0</v>
      </c>
      <c r="AE582" s="73">
        <v>0</v>
      </c>
      <c r="AF582" s="72">
        <v>0</v>
      </c>
      <c r="AG582" s="88">
        <v>0</v>
      </c>
      <c r="AH582"/>
    </row>
    <row r="583" spans="1:34">
      <c r="B583" s="114">
        <v>564</v>
      </c>
      <c r="C583" s="117">
        <v>51</v>
      </c>
      <c r="D583" s="117"/>
      <c r="E583" s="117" t="s">
        <v>1124</v>
      </c>
      <c r="F583" s="117" t="s">
        <v>1125</v>
      </c>
      <c r="G583" s="117" t="s">
        <v>1126</v>
      </c>
      <c r="H583" s="117" t="s">
        <v>1127</v>
      </c>
      <c r="I583" s="120"/>
      <c r="J583" s="84">
        <v>0</v>
      </c>
      <c r="K583" s="73">
        <v>0</v>
      </c>
      <c r="L583" s="72">
        <v>0</v>
      </c>
      <c r="M583" s="73">
        <v>0</v>
      </c>
      <c r="N583" s="72">
        <v>0</v>
      </c>
      <c r="O583" s="73">
        <v>0</v>
      </c>
      <c r="P583" s="72">
        <v>0</v>
      </c>
      <c r="Q583" s="73">
        <v>0</v>
      </c>
      <c r="R583" s="72">
        <v>500</v>
      </c>
      <c r="S583" s="73">
        <v>7375</v>
      </c>
      <c r="T583" s="72">
        <v>500</v>
      </c>
      <c r="U583" s="73">
        <v>7375</v>
      </c>
      <c r="V583" s="72">
        <v>0</v>
      </c>
      <c r="W583" s="73">
        <v>0</v>
      </c>
      <c r="X583" s="72">
        <v>700</v>
      </c>
      <c r="Y583" s="73">
        <v>10325</v>
      </c>
      <c r="Z583" s="72">
        <v>0</v>
      </c>
      <c r="AA583" s="73">
        <v>0</v>
      </c>
      <c r="AB583" s="72">
        <v>0</v>
      </c>
      <c r="AC583" s="73">
        <v>0</v>
      </c>
      <c r="AD583" s="72">
        <v>0</v>
      </c>
      <c r="AE583" s="73">
        <v>0</v>
      </c>
      <c r="AF583" s="72">
        <v>0</v>
      </c>
      <c r="AG583" s="88">
        <v>0</v>
      </c>
      <c r="AH583"/>
    </row>
    <row r="584" spans="1:34">
      <c r="B584" s="114">
        <v>565</v>
      </c>
      <c r="C584" s="117">
        <v>51</v>
      </c>
      <c r="D584" s="117"/>
      <c r="E584" s="117" t="s">
        <v>1130</v>
      </c>
      <c r="F584" s="117" t="s">
        <v>1131</v>
      </c>
      <c r="G584" s="117" t="s">
        <v>1135</v>
      </c>
      <c r="H584" s="117" t="s">
        <v>1136</v>
      </c>
      <c r="I584" s="120" t="s">
        <v>1134</v>
      </c>
      <c r="J584" s="84">
        <v>0</v>
      </c>
      <c r="K584" s="73">
        <v>0</v>
      </c>
      <c r="L584" s="72">
        <v>0</v>
      </c>
      <c r="M584" s="73">
        <v>0</v>
      </c>
      <c r="N584" s="72">
        <v>10</v>
      </c>
      <c r="O584" s="73">
        <v>7900</v>
      </c>
      <c r="P584" s="72">
        <v>10</v>
      </c>
      <c r="Q584" s="73">
        <v>7900</v>
      </c>
      <c r="R584" s="72">
        <v>30</v>
      </c>
      <c r="S584" s="73">
        <v>23700</v>
      </c>
      <c r="T584" s="72">
        <v>10</v>
      </c>
      <c r="U584" s="73">
        <v>7900</v>
      </c>
      <c r="V584" s="72">
        <v>35</v>
      </c>
      <c r="W584" s="73">
        <v>27650</v>
      </c>
      <c r="X584" s="72">
        <v>30</v>
      </c>
      <c r="Y584" s="73">
        <v>23700</v>
      </c>
      <c r="Z584" s="72">
        <v>0</v>
      </c>
      <c r="AA584" s="73">
        <v>0</v>
      </c>
      <c r="AB584" s="72">
        <v>0</v>
      </c>
      <c r="AC584" s="73">
        <v>0</v>
      </c>
      <c r="AD584" s="72">
        <v>0</v>
      </c>
      <c r="AE584" s="73">
        <v>0</v>
      </c>
      <c r="AF584" s="72">
        <v>0</v>
      </c>
      <c r="AG584" s="88">
        <v>0</v>
      </c>
      <c r="AH584"/>
    </row>
    <row r="585" spans="1:34">
      <c r="B585" s="114">
        <v>566</v>
      </c>
      <c r="C585" s="117">
        <v>51</v>
      </c>
      <c r="D585" s="117"/>
      <c r="E585" s="117" t="s">
        <v>1130</v>
      </c>
      <c r="F585" s="117" t="s">
        <v>1131</v>
      </c>
      <c r="G585" s="117" t="s">
        <v>1132</v>
      </c>
      <c r="H585" s="117" t="s">
        <v>1133</v>
      </c>
      <c r="I585" s="120" t="s">
        <v>1134</v>
      </c>
      <c r="J585" s="84">
        <v>60</v>
      </c>
      <c r="K585" s="73">
        <v>59400</v>
      </c>
      <c r="L585" s="72">
        <v>60</v>
      </c>
      <c r="M585" s="73">
        <v>59400</v>
      </c>
      <c r="N585" s="72">
        <v>120</v>
      </c>
      <c r="O585" s="73">
        <v>118800</v>
      </c>
      <c r="P585" s="72">
        <v>115</v>
      </c>
      <c r="Q585" s="73">
        <v>113850</v>
      </c>
      <c r="R585" s="72">
        <v>85</v>
      </c>
      <c r="S585" s="73">
        <v>84150</v>
      </c>
      <c r="T585" s="72">
        <v>90</v>
      </c>
      <c r="U585" s="73">
        <v>89100</v>
      </c>
      <c r="V585" s="72">
        <v>100</v>
      </c>
      <c r="W585" s="73">
        <v>99000</v>
      </c>
      <c r="X585" s="72">
        <v>30</v>
      </c>
      <c r="Y585" s="73">
        <v>29700</v>
      </c>
      <c r="Z585" s="72">
        <v>0</v>
      </c>
      <c r="AA585" s="73">
        <v>0</v>
      </c>
      <c r="AB585" s="72">
        <v>16</v>
      </c>
      <c r="AC585" s="73">
        <v>15840</v>
      </c>
      <c r="AD585" s="72">
        <v>0</v>
      </c>
      <c r="AE585" s="73">
        <v>0</v>
      </c>
      <c r="AF585" s="72">
        <v>0</v>
      </c>
      <c r="AG585" s="88">
        <v>0</v>
      </c>
      <c r="AH585"/>
    </row>
    <row r="586" spans="1:34">
      <c r="B586" s="114">
        <v>567</v>
      </c>
      <c r="C586" s="117">
        <v>51</v>
      </c>
      <c r="D586" s="117"/>
      <c r="E586" s="117" t="s">
        <v>1137</v>
      </c>
      <c r="F586" s="117" t="s">
        <v>1138</v>
      </c>
      <c r="G586" s="117" t="s">
        <v>1185</v>
      </c>
      <c r="H586" s="117" t="s">
        <v>1186</v>
      </c>
      <c r="I586" s="120"/>
      <c r="J586" s="84">
        <v>0</v>
      </c>
      <c r="K586" s="73">
        <v>0</v>
      </c>
      <c r="L586" s="72">
        <v>0</v>
      </c>
      <c r="M586" s="73">
        <v>0</v>
      </c>
      <c r="N586" s="72">
        <v>1500</v>
      </c>
      <c r="O586" s="73">
        <v>3375</v>
      </c>
      <c r="P586" s="72">
        <v>1500</v>
      </c>
      <c r="Q586" s="73">
        <v>3375</v>
      </c>
      <c r="R586" s="72">
        <v>3000</v>
      </c>
      <c r="S586" s="73">
        <v>6750</v>
      </c>
      <c r="T586" s="72">
        <v>0</v>
      </c>
      <c r="U586" s="73">
        <v>0</v>
      </c>
      <c r="V586" s="72">
        <v>1500</v>
      </c>
      <c r="W586" s="73">
        <v>3375</v>
      </c>
      <c r="X586" s="72">
        <v>0</v>
      </c>
      <c r="Y586" s="73">
        <v>0</v>
      </c>
      <c r="Z586" s="72">
        <v>2000</v>
      </c>
      <c r="AA586" s="73">
        <v>4500</v>
      </c>
      <c r="AB586" s="72">
        <v>0</v>
      </c>
      <c r="AC586" s="73">
        <v>0</v>
      </c>
      <c r="AD586" s="72">
        <v>0</v>
      </c>
      <c r="AE586" s="73">
        <v>0</v>
      </c>
      <c r="AF586" s="72">
        <v>0</v>
      </c>
      <c r="AG586" s="88">
        <v>0</v>
      </c>
      <c r="AH586"/>
    </row>
    <row r="587" spans="1:34">
      <c r="B587" s="114">
        <v>568</v>
      </c>
      <c r="C587" s="117">
        <v>51</v>
      </c>
      <c r="D587" s="117"/>
      <c r="E587" s="117" t="s">
        <v>1137</v>
      </c>
      <c r="F587" s="117" t="s">
        <v>1138</v>
      </c>
      <c r="G587" s="117" t="s">
        <v>1189</v>
      </c>
      <c r="H587" s="117" t="s">
        <v>1190</v>
      </c>
      <c r="I587" s="120"/>
      <c r="J587" s="84">
        <v>900</v>
      </c>
      <c r="K587" s="73">
        <v>12906</v>
      </c>
      <c r="L587" s="72">
        <v>2100</v>
      </c>
      <c r="M587" s="73">
        <v>30114</v>
      </c>
      <c r="N587" s="72">
        <v>1100</v>
      </c>
      <c r="O587" s="73">
        <v>15774</v>
      </c>
      <c r="P587" s="72">
        <v>800</v>
      </c>
      <c r="Q587" s="73">
        <v>11472</v>
      </c>
      <c r="R587" s="72">
        <v>1400</v>
      </c>
      <c r="S587" s="73">
        <v>20076</v>
      </c>
      <c r="T587" s="72">
        <v>2200</v>
      </c>
      <c r="U587" s="73">
        <v>31548</v>
      </c>
      <c r="V587" s="72">
        <v>600</v>
      </c>
      <c r="W587" s="73">
        <v>8604</v>
      </c>
      <c r="X587" s="72">
        <v>2000</v>
      </c>
      <c r="Y587" s="73">
        <v>28680</v>
      </c>
      <c r="Z587" s="72">
        <v>0</v>
      </c>
      <c r="AA587" s="73">
        <v>0</v>
      </c>
      <c r="AB587" s="72">
        <v>0</v>
      </c>
      <c r="AC587" s="73">
        <v>0</v>
      </c>
      <c r="AD587" s="72">
        <v>0</v>
      </c>
      <c r="AE587" s="73">
        <v>0</v>
      </c>
      <c r="AF587" s="72">
        <v>0</v>
      </c>
      <c r="AG587" s="88">
        <v>0</v>
      </c>
      <c r="AH587"/>
    </row>
    <row r="588" spans="1:34">
      <c r="B588" s="114">
        <v>569</v>
      </c>
      <c r="C588" s="117">
        <v>51</v>
      </c>
      <c r="D588" s="117"/>
      <c r="E588" s="117" t="s">
        <v>1137</v>
      </c>
      <c r="F588" s="117" t="s">
        <v>1138</v>
      </c>
      <c r="G588" s="117" t="s">
        <v>1191</v>
      </c>
      <c r="H588" s="117" t="s">
        <v>1192</v>
      </c>
      <c r="I588" s="120"/>
      <c r="J588" s="84">
        <v>0</v>
      </c>
      <c r="K588" s="73">
        <v>0</v>
      </c>
      <c r="L588" s="72">
        <v>2000</v>
      </c>
      <c r="M588" s="73">
        <v>12100</v>
      </c>
      <c r="N588" s="72">
        <v>1000</v>
      </c>
      <c r="O588" s="73">
        <v>6050</v>
      </c>
      <c r="P588" s="72">
        <v>2300</v>
      </c>
      <c r="Q588" s="73">
        <v>13915</v>
      </c>
      <c r="R588" s="72">
        <v>0</v>
      </c>
      <c r="S588" s="73">
        <v>0</v>
      </c>
      <c r="T588" s="72">
        <v>1000</v>
      </c>
      <c r="U588" s="73">
        <v>6050</v>
      </c>
      <c r="V588" s="72">
        <v>0</v>
      </c>
      <c r="W588" s="73">
        <v>0</v>
      </c>
      <c r="X588" s="72">
        <v>0</v>
      </c>
      <c r="Y588" s="73">
        <v>0</v>
      </c>
      <c r="Z588" s="72">
        <v>0</v>
      </c>
      <c r="AA588" s="73">
        <v>0</v>
      </c>
      <c r="AB588" s="72">
        <v>0</v>
      </c>
      <c r="AC588" s="73">
        <v>0</v>
      </c>
      <c r="AD588" s="72">
        <v>0</v>
      </c>
      <c r="AE588" s="73">
        <v>0</v>
      </c>
      <c r="AF588" s="72">
        <v>0</v>
      </c>
      <c r="AG588" s="88">
        <v>0</v>
      </c>
      <c r="AH588"/>
    </row>
    <row r="589" spans="1:34">
      <c r="B589" s="114">
        <v>570</v>
      </c>
      <c r="C589" s="117">
        <v>51</v>
      </c>
      <c r="D589" s="117"/>
      <c r="E589" s="117" t="s">
        <v>1137</v>
      </c>
      <c r="F589" s="117" t="s">
        <v>1138</v>
      </c>
      <c r="G589" s="117" t="s">
        <v>1139</v>
      </c>
      <c r="H589" s="117" t="s">
        <v>1140</v>
      </c>
      <c r="I589" s="120"/>
      <c r="J589" s="84">
        <v>0</v>
      </c>
      <c r="K589" s="73">
        <v>0</v>
      </c>
      <c r="L589" s="72">
        <v>0</v>
      </c>
      <c r="M589" s="73">
        <v>0</v>
      </c>
      <c r="N589" s="72">
        <v>0</v>
      </c>
      <c r="O589" s="73">
        <v>0</v>
      </c>
      <c r="P589" s="72">
        <v>0</v>
      </c>
      <c r="Q589" s="73">
        <v>0</v>
      </c>
      <c r="R589" s="72">
        <v>0</v>
      </c>
      <c r="S589" s="73">
        <v>0</v>
      </c>
      <c r="T589" s="72">
        <v>0</v>
      </c>
      <c r="U589" s="73">
        <v>0</v>
      </c>
      <c r="V589" s="72">
        <v>0</v>
      </c>
      <c r="W589" s="73">
        <v>0</v>
      </c>
      <c r="X589" s="72">
        <v>0</v>
      </c>
      <c r="Y589" s="73">
        <v>0</v>
      </c>
      <c r="Z589" s="72">
        <v>0</v>
      </c>
      <c r="AA589" s="73">
        <v>0</v>
      </c>
      <c r="AB589" s="72">
        <v>143</v>
      </c>
      <c r="AC589" s="73">
        <v>584.87</v>
      </c>
      <c r="AD589" s="72">
        <v>0</v>
      </c>
      <c r="AE589" s="73">
        <v>0</v>
      </c>
      <c r="AF589" s="72">
        <v>0</v>
      </c>
      <c r="AG589" s="88">
        <v>0</v>
      </c>
      <c r="AH589"/>
    </row>
    <row r="590" spans="1:34">
      <c r="B590" s="114">
        <v>571</v>
      </c>
      <c r="C590" s="117">
        <v>51</v>
      </c>
      <c r="D590" s="117"/>
      <c r="E590" s="117" t="s">
        <v>1137</v>
      </c>
      <c r="F590" s="117" t="s">
        <v>1138</v>
      </c>
      <c r="G590" s="117" t="s">
        <v>1141</v>
      </c>
      <c r="H590" s="117" t="s">
        <v>1142</v>
      </c>
      <c r="I590" s="120"/>
      <c r="J590" s="84">
        <v>600</v>
      </c>
      <c r="K590" s="73">
        <v>41550</v>
      </c>
      <c r="L590" s="72">
        <v>600</v>
      </c>
      <c r="M590" s="73">
        <v>41550</v>
      </c>
      <c r="N590" s="72">
        <v>300</v>
      </c>
      <c r="O590" s="73">
        <v>20775</v>
      </c>
      <c r="P590" s="72">
        <v>700</v>
      </c>
      <c r="Q590" s="73">
        <v>48475</v>
      </c>
      <c r="R590" s="72">
        <v>800</v>
      </c>
      <c r="S590" s="73">
        <v>55400</v>
      </c>
      <c r="T590" s="72">
        <v>900</v>
      </c>
      <c r="U590" s="73">
        <v>62325</v>
      </c>
      <c r="V590" s="72">
        <v>300</v>
      </c>
      <c r="W590" s="73">
        <v>20775</v>
      </c>
      <c r="X590" s="72">
        <v>750</v>
      </c>
      <c r="Y590" s="73">
        <v>51937.5</v>
      </c>
      <c r="Z590" s="72">
        <v>0</v>
      </c>
      <c r="AA590" s="73">
        <v>0</v>
      </c>
      <c r="AB590" s="72">
        <v>0</v>
      </c>
      <c r="AC590" s="73">
        <v>0</v>
      </c>
      <c r="AD590" s="72">
        <v>0</v>
      </c>
      <c r="AE590" s="73">
        <v>0</v>
      </c>
      <c r="AF590" s="72">
        <v>0</v>
      </c>
      <c r="AG590" s="88">
        <v>0</v>
      </c>
      <c r="AH590"/>
    </row>
    <row r="591" spans="1:34">
      <c r="B591" s="114">
        <v>572</v>
      </c>
      <c r="C591" s="117">
        <v>51</v>
      </c>
      <c r="D591" s="117"/>
      <c r="E591" s="117" t="s">
        <v>1137</v>
      </c>
      <c r="F591" s="117" t="s">
        <v>1138</v>
      </c>
      <c r="G591" s="117" t="s">
        <v>1143</v>
      </c>
      <c r="H591" s="117" t="s">
        <v>1144</v>
      </c>
      <c r="I591" s="120"/>
      <c r="J591" s="84">
        <v>100</v>
      </c>
      <c r="K591" s="73">
        <v>628</v>
      </c>
      <c r="L591" s="72">
        <v>100</v>
      </c>
      <c r="M591" s="73">
        <v>628</v>
      </c>
      <c r="N591" s="72">
        <v>100</v>
      </c>
      <c r="O591" s="73">
        <v>628</v>
      </c>
      <c r="P591" s="72">
        <v>0</v>
      </c>
      <c r="Q591" s="73">
        <v>0</v>
      </c>
      <c r="R591" s="72">
        <v>0</v>
      </c>
      <c r="S591" s="73">
        <v>0</v>
      </c>
      <c r="T591" s="72">
        <v>0</v>
      </c>
      <c r="U591" s="73">
        <v>0</v>
      </c>
      <c r="V591" s="72">
        <v>0</v>
      </c>
      <c r="W591" s="73">
        <v>0</v>
      </c>
      <c r="X591" s="72">
        <v>0</v>
      </c>
      <c r="Y591" s="73">
        <v>0</v>
      </c>
      <c r="Z591" s="72">
        <v>0</v>
      </c>
      <c r="AA591" s="73">
        <v>0</v>
      </c>
      <c r="AB591" s="72">
        <v>0</v>
      </c>
      <c r="AC591" s="73">
        <v>0</v>
      </c>
      <c r="AD591" s="72">
        <v>0</v>
      </c>
      <c r="AE591" s="73">
        <v>0</v>
      </c>
      <c r="AF591" s="72">
        <v>0</v>
      </c>
      <c r="AG591" s="88">
        <v>0</v>
      </c>
      <c r="AH591"/>
    </row>
    <row r="592" spans="1:34">
      <c r="B592" s="114">
        <v>573</v>
      </c>
      <c r="C592" s="117">
        <v>51</v>
      </c>
      <c r="D592" s="117"/>
      <c r="E592" s="117" t="s">
        <v>1137</v>
      </c>
      <c r="F592" s="117" t="s">
        <v>1138</v>
      </c>
      <c r="G592" s="117" t="s">
        <v>1159</v>
      </c>
      <c r="H592" s="117" t="s">
        <v>1160</v>
      </c>
      <c r="I592" s="120"/>
      <c r="J592" s="84">
        <v>1500</v>
      </c>
      <c r="K592" s="73">
        <v>1620</v>
      </c>
      <c r="L592" s="72">
        <v>4500</v>
      </c>
      <c r="M592" s="73">
        <v>4860</v>
      </c>
      <c r="N592" s="72">
        <v>4500</v>
      </c>
      <c r="O592" s="73">
        <v>4860</v>
      </c>
      <c r="P592" s="72">
        <v>2000</v>
      </c>
      <c r="Q592" s="73">
        <v>2160</v>
      </c>
      <c r="R592" s="72">
        <v>2000</v>
      </c>
      <c r="S592" s="73">
        <v>2160</v>
      </c>
      <c r="T592" s="72">
        <v>6400</v>
      </c>
      <c r="U592" s="73">
        <v>6912</v>
      </c>
      <c r="V592" s="72">
        <v>0</v>
      </c>
      <c r="W592" s="73">
        <v>0</v>
      </c>
      <c r="X592" s="72">
        <v>0</v>
      </c>
      <c r="Y592" s="73">
        <v>0</v>
      </c>
      <c r="Z592" s="72">
        <v>0</v>
      </c>
      <c r="AA592" s="73">
        <v>0</v>
      </c>
      <c r="AB592" s="72">
        <v>0</v>
      </c>
      <c r="AC592" s="73">
        <v>0</v>
      </c>
      <c r="AD592" s="72">
        <v>0</v>
      </c>
      <c r="AE592" s="73">
        <v>0</v>
      </c>
      <c r="AF592" s="72">
        <v>0</v>
      </c>
      <c r="AG592" s="88">
        <v>0</v>
      </c>
      <c r="AH592"/>
    </row>
    <row r="593" spans="1:34">
      <c r="B593" s="114">
        <v>574</v>
      </c>
      <c r="C593" s="117">
        <v>51</v>
      </c>
      <c r="D593" s="117"/>
      <c r="E593" s="117" t="s">
        <v>1137</v>
      </c>
      <c r="F593" s="117" t="s">
        <v>1138</v>
      </c>
      <c r="G593" s="117" t="s">
        <v>1161</v>
      </c>
      <c r="H593" s="117" t="s">
        <v>1162</v>
      </c>
      <c r="I593" s="120"/>
      <c r="J593" s="84">
        <v>0</v>
      </c>
      <c r="K593" s="73">
        <v>0</v>
      </c>
      <c r="L593" s="72">
        <v>0</v>
      </c>
      <c r="M593" s="73">
        <v>0</v>
      </c>
      <c r="N593" s="72">
        <v>1200</v>
      </c>
      <c r="O593" s="73">
        <v>13800</v>
      </c>
      <c r="P593" s="72">
        <v>0</v>
      </c>
      <c r="Q593" s="73">
        <v>0</v>
      </c>
      <c r="R593" s="72">
        <v>2998</v>
      </c>
      <c r="S593" s="73">
        <v>19477</v>
      </c>
      <c r="T593" s="72">
        <v>0</v>
      </c>
      <c r="U593" s="73">
        <v>0</v>
      </c>
      <c r="V593" s="72">
        <v>0</v>
      </c>
      <c r="W593" s="73">
        <v>0</v>
      </c>
      <c r="X593" s="72">
        <v>0</v>
      </c>
      <c r="Y593" s="73">
        <v>0</v>
      </c>
      <c r="Z593" s="72">
        <v>0</v>
      </c>
      <c r="AA593" s="73">
        <v>0</v>
      </c>
      <c r="AB593" s="72">
        <v>0</v>
      </c>
      <c r="AC593" s="73">
        <v>0</v>
      </c>
      <c r="AD593" s="72">
        <v>0</v>
      </c>
      <c r="AE593" s="73">
        <v>0</v>
      </c>
      <c r="AF593" s="72">
        <v>0</v>
      </c>
      <c r="AG593" s="88">
        <v>0</v>
      </c>
      <c r="AH593"/>
    </row>
    <row r="594" spans="1:34">
      <c r="B594" s="114">
        <v>575</v>
      </c>
      <c r="C594" s="117">
        <v>51</v>
      </c>
      <c r="D594" s="117"/>
      <c r="E594" s="117" t="s">
        <v>1137</v>
      </c>
      <c r="F594" s="117" t="s">
        <v>1138</v>
      </c>
      <c r="G594" s="117" t="s">
        <v>1171</v>
      </c>
      <c r="H594" s="117" t="s">
        <v>1172</v>
      </c>
      <c r="I594" s="120"/>
      <c r="J594" s="84">
        <v>80</v>
      </c>
      <c r="K594" s="73">
        <v>10764</v>
      </c>
      <c r="L594" s="72">
        <v>80</v>
      </c>
      <c r="M594" s="73">
        <v>10764</v>
      </c>
      <c r="N594" s="72">
        <v>0</v>
      </c>
      <c r="O594" s="73">
        <v>0</v>
      </c>
      <c r="P594" s="72">
        <v>0</v>
      </c>
      <c r="Q594" s="73">
        <v>0</v>
      </c>
      <c r="R594" s="72">
        <v>0</v>
      </c>
      <c r="S594" s="73">
        <v>0</v>
      </c>
      <c r="T594" s="72">
        <v>0</v>
      </c>
      <c r="U594" s="73">
        <v>0</v>
      </c>
      <c r="V594" s="72">
        <v>0</v>
      </c>
      <c r="W594" s="73">
        <v>0</v>
      </c>
      <c r="X594" s="72">
        <v>0</v>
      </c>
      <c r="Y594" s="73">
        <v>0</v>
      </c>
      <c r="Z594" s="72">
        <v>0</v>
      </c>
      <c r="AA594" s="73">
        <v>0</v>
      </c>
      <c r="AB594" s="72">
        <v>0</v>
      </c>
      <c r="AC594" s="73">
        <v>0</v>
      </c>
      <c r="AD594" s="72">
        <v>0</v>
      </c>
      <c r="AE594" s="73">
        <v>0</v>
      </c>
      <c r="AF594" s="72">
        <v>0</v>
      </c>
      <c r="AG594" s="88">
        <v>0</v>
      </c>
      <c r="AH594"/>
    </row>
    <row r="595" spans="1:34">
      <c r="B595" s="114">
        <v>576</v>
      </c>
      <c r="C595" s="117">
        <v>51</v>
      </c>
      <c r="D595" s="117"/>
      <c r="E595" s="117" t="s">
        <v>1137</v>
      </c>
      <c r="F595" s="117" t="s">
        <v>1138</v>
      </c>
      <c r="G595" s="117" t="s">
        <v>1173</v>
      </c>
      <c r="H595" s="117" t="s">
        <v>1174</v>
      </c>
      <c r="I595" s="120"/>
      <c r="J595" s="84">
        <v>0</v>
      </c>
      <c r="K595" s="73">
        <v>0</v>
      </c>
      <c r="L595" s="72">
        <v>0</v>
      </c>
      <c r="M595" s="73">
        <v>0</v>
      </c>
      <c r="N595" s="72">
        <v>0</v>
      </c>
      <c r="O595" s="73">
        <v>0</v>
      </c>
      <c r="P595" s="72">
        <v>0</v>
      </c>
      <c r="Q595" s="73">
        <v>0</v>
      </c>
      <c r="R595" s="72">
        <v>0</v>
      </c>
      <c r="S595" s="73">
        <v>0</v>
      </c>
      <c r="T595" s="72">
        <v>0</v>
      </c>
      <c r="U595" s="73">
        <v>0</v>
      </c>
      <c r="V595" s="72">
        <v>0</v>
      </c>
      <c r="W595" s="73">
        <v>0</v>
      </c>
      <c r="X595" s="72">
        <v>0</v>
      </c>
      <c r="Y595" s="73">
        <v>0</v>
      </c>
      <c r="Z595" s="72">
        <v>0</v>
      </c>
      <c r="AA595" s="73">
        <v>0</v>
      </c>
      <c r="AB595" s="72">
        <v>1536</v>
      </c>
      <c r="AC595" s="73">
        <v>3701.76</v>
      </c>
      <c r="AD595" s="72">
        <v>0</v>
      </c>
      <c r="AE595" s="73">
        <v>0</v>
      </c>
      <c r="AF595" s="72">
        <v>0</v>
      </c>
      <c r="AG595" s="88">
        <v>0</v>
      </c>
      <c r="AH595"/>
    </row>
    <row r="596" spans="1:34">
      <c r="B596" s="114">
        <v>577</v>
      </c>
      <c r="C596" s="117">
        <v>51</v>
      </c>
      <c r="D596" s="117"/>
      <c r="E596" s="117" t="s">
        <v>1137</v>
      </c>
      <c r="F596" s="117" t="s">
        <v>1138</v>
      </c>
      <c r="G596" s="117" t="s">
        <v>1165</v>
      </c>
      <c r="H596" s="117" t="s">
        <v>1166</v>
      </c>
      <c r="I596" s="120"/>
      <c r="J596" s="84">
        <v>0</v>
      </c>
      <c r="K596" s="73">
        <v>0</v>
      </c>
      <c r="L596" s="72">
        <v>0</v>
      </c>
      <c r="M596" s="73">
        <v>0</v>
      </c>
      <c r="N596" s="72">
        <v>0</v>
      </c>
      <c r="O596" s="73">
        <v>0</v>
      </c>
      <c r="P596" s="72">
        <v>0</v>
      </c>
      <c r="Q596" s="73">
        <v>0</v>
      </c>
      <c r="R596" s="72">
        <v>0</v>
      </c>
      <c r="S596" s="73">
        <v>0</v>
      </c>
      <c r="T596" s="72">
        <v>0</v>
      </c>
      <c r="U596" s="73">
        <v>0</v>
      </c>
      <c r="V596" s="72">
        <v>0</v>
      </c>
      <c r="W596" s="73">
        <v>0</v>
      </c>
      <c r="X596" s="72">
        <v>0</v>
      </c>
      <c r="Y596" s="73">
        <v>0</v>
      </c>
      <c r="Z596" s="72">
        <v>0</v>
      </c>
      <c r="AA596" s="73">
        <v>0</v>
      </c>
      <c r="AB596" s="72">
        <v>600</v>
      </c>
      <c r="AC596" s="73">
        <v>11136</v>
      </c>
      <c r="AD596" s="72">
        <v>0</v>
      </c>
      <c r="AE596" s="73">
        <v>0</v>
      </c>
      <c r="AF596" s="72">
        <v>0</v>
      </c>
      <c r="AG596" s="88">
        <v>0</v>
      </c>
      <c r="AH596"/>
    </row>
    <row r="597" spans="1:34">
      <c r="B597" s="114">
        <v>578</v>
      </c>
      <c r="C597" s="117">
        <v>51</v>
      </c>
      <c r="D597" s="117"/>
      <c r="E597" s="117" t="s">
        <v>1137</v>
      </c>
      <c r="F597" s="117" t="s">
        <v>1138</v>
      </c>
      <c r="G597" s="117" t="s">
        <v>1163</v>
      </c>
      <c r="H597" s="117" t="s">
        <v>1164</v>
      </c>
      <c r="I597" s="120"/>
      <c r="J597" s="84">
        <v>600</v>
      </c>
      <c r="K597" s="73">
        <v>7884</v>
      </c>
      <c r="L597" s="72">
        <v>900</v>
      </c>
      <c r="M597" s="73">
        <v>11826</v>
      </c>
      <c r="N597" s="72">
        <v>1800</v>
      </c>
      <c r="O597" s="73">
        <v>23652</v>
      </c>
      <c r="P597" s="72">
        <v>1700</v>
      </c>
      <c r="Q597" s="73">
        <v>22338</v>
      </c>
      <c r="R597" s="72">
        <v>0</v>
      </c>
      <c r="S597" s="73">
        <v>0</v>
      </c>
      <c r="T597" s="72">
        <v>1650</v>
      </c>
      <c r="U597" s="73">
        <v>21681</v>
      </c>
      <c r="V597" s="72">
        <v>1100</v>
      </c>
      <c r="W597" s="73">
        <v>14454</v>
      </c>
      <c r="X597" s="72">
        <v>1400</v>
      </c>
      <c r="Y597" s="73">
        <v>18396</v>
      </c>
      <c r="Z597" s="72">
        <v>0</v>
      </c>
      <c r="AA597" s="73">
        <v>0</v>
      </c>
      <c r="AB597" s="72">
        <v>537</v>
      </c>
      <c r="AC597" s="73">
        <v>7056.18</v>
      </c>
      <c r="AD597" s="72">
        <v>0</v>
      </c>
      <c r="AE597" s="73">
        <v>0</v>
      </c>
      <c r="AF597" s="72">
        <v>0</v>
      </c>
      <c r="AG597" s="88">
        <v>0</v>
      </c>
      <c r="AH597"/>
    </row>
    <row r="598" spans="1:34">
      <c r="B598" s="114">
        <v>579</v>
      </c>
      <c r="C598" s="117">
        <v>51</v>
      </c>
      <c r="D598" s="117"/>
      <c r="E598" s="117" t="s">
        <v>1137</v>
      </c>
      <c r="F598" s="117" t="s">
        <v>1138</v>
      </c>
      <c r="G598" s="117" t="s">
        <v>1210</v>
      </c>
      <c r="H598" s="117" t="s">
        <v>1211</v>
      </c>
      <c r="I598" s="120"/>
      <c r="J598" s="84">
        <v>0</v>
      </c>
      <c r="K598" s="73">
        <v>0</v>
      </c>
      <c r="L598" s="72">
        <v>0</v>
      </c>
      <c r="M598" s="73">
        <v>0</v>
      </c>
      <c r="N598" s="72">
        <v>0</v>
      </c>
      <c r="O598" s="73">
        <v>0</v>
      </c>
      <c r="P598" s="72">
        <v>0</v>
      </c>
      <c r="Q598" s="73">
        <v>0</v>
      </c>
      <c r="R598" s="72">
        <v>0</v>
      </c>
      <c r="S598" s="73">
        <v>0</v>
      </c>
      <c r="T598" s="72">
        <v>0</v>
      </c>
      <c r="U598" s="73">
        <v>0</v>
      </c>
      <c r="V598" s="72">
        <v>0</v>
      </c>
      <c r="W598" s="73">
        <v>0</v>
      </c>
      <c r="X598" s="72">
        <v>100</v>
      </c>
      <c r="Y598" s="73">
        <v>2150</v>
      </c>
      <c r="Z598" s="72">
        <v>0</v>
      </c>
      <c r="AA598" s="73">
        <v>0</v>
      </c>
      <c r="AB598" s="72">
        <v>0</v>
      </c>
      <c r="AC598" s="73">
        <v>0</v>
      </c>
      <c r="AD598" s="72">
        <v>0</v>
      </c>
      <c r="AE598" s="73">
        <v>0</v>
      </c>
      <c r="AF598" s="72">
        <v>0</v>
      </c>
      <c r="AG598" s="88">
        <v>0</v>
      </c>
      <c r="AH598"/>
    </row>
    <row r="599" spans="1:34">
      <c r="B599" s="114">
        <v>580</v>
      </c>
      <c r="C599" s="117">
        <v>51</v>
      </c>
      <c r="D599" s="117"/>
      <c r="E599" s="117" t="s">
        <v>1137</v>
      </c>
      <c r="F599" s="117" t="s">
        <v>1138</v>
      </c>
      <c r="G599" s="117" t="s">
        <v>1214</v>
      </c>
      <c r="H599" s="117" t="s">
        <v>1215</v>
      </c>
      <c r="I599" s="120"/>
      <c r="J599" s="84">
        <v>0</v>
      </c>
      <c r="K599" s="73">
        <v>0</v>
      </c>
      <c r="L599" s="72">
        <v>0</v>
      </c>
      <c r="M599" s="73">
        <v>0</v>
      </c>
      <c r="N599" s="72">
        <v>0</v>
      </c>
      <c r="O599" s="73">
        <v>0</v>
      </c>
      <c r="P599" s="72">
        <v>0</v>
      </c>
      <c r="Q599" s="73">
        <v>0</v>
      </c>
      <c r="R599" s="72">
        <v>0</v>
      </c>
      <c r="S599" s="73">
        <v>0</v>
      </c>
      <c r="T599" s="72">
        <v>0</v>
      </c>
      <c r="U599" s="73">
        <v>0</v>
      </c>
      <c r="V599" s="72">
        <v>0</v>
      </c>
      <c r="W599" s="73">
        <v>0</v>
      </c>
      <c r="X599" s="72">
        <v>0</v>
      </c>
      <c r="Y599" s="73">
        <v>0</v>
      </c>
      <c r="Z599" s="72">
        <v>0</v>
      </c>
      <c r="AA599" s="73">
        <v>0</v>
      </c>
      <c r="AB599" s="72">
        <v>22</v>
      </c>
      <c r="AC599" s="73">
        <v>418</v>
      </c>
      <c r="AD599" s="72">
        <v>0</v>
      </c>
      <c r="AE599" s="73">
        <v>0</v>
      </c>
      <c r="AF599" s="72">
        <v>0</v>
      </c>
      <c r="AG599" s="88">
        <v>0</v>
      </c>
      <c r="AH599"/>
    </row>
    <row r="600" spans="1:34">
      <c r="B600" s="114">
        <v>581</v>
      </c>
      <c r="C600" s="117">
        <v>51</v>
      </c>
      <c r="D600" s="117"/>
      <c r="E600" s="117" t="s">
        <v>1137</v>
      </c>
      <c r="F600" s="117" t="s">
        <v>1138</v>
      </c>
      <c r="G600" s="117" t="s">
        <v>1153</v>
      </c>
      <c r="H600" s="117" t="s">
        <v>1154</v>
      </c>
      <c r="I600" s="120"/>
      <c r="J600" s="84">
        <v>0</v>
      </c>
      <c r="K600" s="73">
        <v>0</v>
      </c>
      <c r="L600" s="72">
        <v>0</v>
      </c>
      <c r="M600" s="73">
        <v>0</v>
      </c>
      <c r="N600" s="72">
        <v>0</v>
      </c>
      <c r="O600" s="73">
        <v>0</v>
      </c>
      <c r="P600" s="72">
        <v>300</v>
      </c>
      <c r="Q600" s="73">
        <v>2739</v>
      </c>
      <c r="R600" s="72">
        <v>500</v>
      </c>
      <c r="S600" s="73">
        <v>4565</v>
      </c>
      <c r="T600" s="72">
        <v>500</v>
      </c>
      <c r="U600" s="73">
        <v>4565</v>
      </c>
      <c r="V600" s="72">
        <v>200</v>
      </c>
      <c r="W600" s="73">
        <v>1826</v>
      </c>
      <c r="X600" s="72">
        <v>0</v>
      </c>
      <c r="Y600" s="73">
        <v>0</v>
      </c>
      <c r="Z600" s="72">
        <v>0</v>
      </c>
      <c r="AA600" s="73">
        <v>0</v>
      </c>
      <c r="AB600" s="72">
        <v>240</v>
      </c>
      <c r="AC600" s="73">
        <v>2191.2</v>
      </c>
      <c r="AD600" s="72">
        <v>0</v>
      </c>
      <c r="AE600" s="73">
        <v>0</v>
      </c>
      <c r="AF600" s="72">
        <v>0</v>
      </c>
      <c r="AG600" s="88">
        <v>0</v>
      </c>
      <c r="AH600"/>
    </row>
    <row r="601" spans="1:34">
      <c r="B601" s="114">
        <v>582</v>
      </c>
      <c r="C601" s="117">
        <v>51</v>
      </c>
      <c r="D601" s="117"/>
      <c r="E601" s="117" t="s">
        <v>1137</v>
      </c>
      <c r="F601" s="117" t="s">
        <v>1138</v>
      </c>
      <c r="G601" s="117" t="s">
        <v>1149</v>
      </c>
      <c r="H601" s="117" t="s">
        <v>1150</v>
      </c>
      <c r="I601" s="120"/>
      <c r="J601" s="84">
        <v>5000</v>
      </c>
      <c r="K601" s="73">
        <v>2500</v>
      </c>
      <c r="L601" s="72">
        <v>5000</v>
      </c>
      <c r="M601" s="73">
        <v>2500</v>
      </c>
      <c r="N601" s="72">
        <v>5000</v>
      </c>
      <c r="O601" s="73">
        <v>2500</v>
      </c>
      <c r="P601" s="72">
        <v>5000</v>
      </c>
      <c r="Q601" s="73">
        <v>2500</v>
      </c>
      <c r="R601" s="72">
        <v>5000</v>
      </c>
      <c r="S601" s="73">
        <v>2500</v>
      </c>
      <c r="T601" s="72">
        <v>5000</v>
      </c>
      <c r="U601" s="73">
        <v>2500</v>
      </c>
      <c r="V601" s="72">
        <v>5000</v>
      </c>
      <c r="W601" s="73">
        <v>2500</v>
      </c>
      <c r="X601" s="72">
        <v>5000</v>
      </c>
      <c r="Y601" s="73">
        <v>2500</v>
      </c>
      <c r="Z601" s="72">
        <v>0</v>
      </c>
      <c r="AA601" s="73">
        <v>0</v>
      </c>
      <c r="AB601" s="72">
        <v>92</v>
      </c>
      <c r="AC601" s="73">
        <v>46</v>
      </c>
      <c r="AD601" s="72">
        <v>0</v>
      </c>
      <c r="AE601" s="73">
        <v>0</v>
      </c>
      <c r="AF601" s="72">
        <v>0</v>
      </c>
      <c r="AG601" s="88">
        <v>0</v>
      </c>
      <c r="AH601"/>
    </row>
    <row r="602" spans="1:34">
      <c r="B602" s="114">
        <v>583</v>
      </c>
      <c r="C602" s="117">
        <v>51</v>
      </c>
      <c r="D602" s="117"/>
      <c r="E602" s="117" t="s">
        <v>1137</v>
      </c>
      <c r="F602" s="117" t="s">
        <v>1138</v>
      </c>
      <c r="G602" s="117" t="s">
        <v>1216</v>
      </c>
      <c r="H602" s="117" t="s">
        <v>1217</v>
      </c>
      <c r="I602" s="120"/>
      <c r="J602" s="84">
        <v>0</v>
      </c>
      <c r="K602" s="73">
        <v>0</v>
      </c>
      <c r="L602" s="72">
        <v>0</v>
      </c>
      <c r="M602" s="73">
        <v>0</v>
      </c>
      <c r="N602" s="72">
        <v>0</v>
      </c>
      <c r="O602" s="73">
        <v>0</v>
      </c>
      <c r="P602" s="72">
        <v>0</v>
      </c>
      <c r="Q602" s="73">
        <v>0</v>
      </c>
      <c r="R602" s="72">
        <v>0</v>
      </c>
      <c r="S602" s="73">
        <v>0</v>
      </c>
      <c r="T602" s="72">
        <v>0</v>
      </c>
      <c r="U602" s="73">
        <v>0</v>
      </c>
      <c r="V602" s="72">
        <v>0</v>
      </c>
      <c r="W602" s="73">
        <v>0</v>
      </c>
      <c r="X602" s="72">
        <v>0</v>
      </c>
      <c r="Y602" s="73">
        <v>0</v>
      </c>
      <c r="Z602" s="72">
        <v>0</v>
      </c>
      <c r="AA602" s="73">
        <v>0</v>
      </c>
      <c r="AB602" s="72">
        <v>9</v>
      </c>
      <c r="AC602" s="73">
        <v>36.36</v>
      </c>
      <c r="AD602" s="72">
        <v>0</v>
      </c>
      <c r="AE602" s="73">
        <v>0</v>
      </c>
      <c r="AF602" s="72">
        <v>0</v>
      </c>
      <c r="AG602" s="88">
        <v>0</v>
      </c>
      <c r="AH602"/>
    </row>
    <row r="603" spans="1:34">
      <c r="B603" s="114">
        <v>584</v>
      </c>
      <c r="C603" s="117">
        <v>51</v>
      </c>
      <c r="D603" s="117"/>
      <c r="E603" s="117" t="s">
        <v>1137</v>
      </c>
      <c r="F603" s="117" t="s">
        <v>1138</v>
      </c>
      <c r="G603" s="117" t="s">
        <v>1155</v>
      </c>
      <c r="H603" s="117" t="s">
        <v>1156</v>
      </c>
      <c r="I603" s="120"/>
      <c r="J603" s="84">
        <v>0</v>
      </c>
      <c r="K603" s="73">
        <v>0</v>
      </c>
      <c r="L603" s="72">
        <v>0</v>
      </c>
      <c r="M603" s="73">
        <v>0</v>
      </c>
      <c r="N603" s="72">
        <v>0</v>
      </c>
      <c r="O603" s="73">
        <v>0</v>
      </c>
      <c r="P603" s="72">
        <v>0</v>
      </c>
      <c r="Q603" s="73">
        <v>0</v>
      </c>
      <c r="R603" s="72">
        <v>0</v>
      </c>
      <c r="S603" s="73">
        <v>0</v>
      </c>
      <c r="T603" s="72">
        <v>0</v>
      </c>
      <c r="U603" s="73">
        <v>0</v>
      </c>
      <c r="V603" s="72">
        <v>0</v>
      </c>
      <c r="W603" s="73">
        <v>0</v>
      </c>
      <c r="X603" s="72">
        <v>100</v>
      </c>
      <c r="Y603" s="73">
        <v>700</v>
      </c>
      <c r="Z603" s="72">
        <v>0</v>
      </c>
      <c r="AA603" s="73">
        <v>0</v>
      </c>
      <c r="AB603" s="72">
        <v>2</v>
      </c>
      <c r="AC603" s="73">
        <v>14</v>
      </c>
      <c r="AD603" s="72">
        <v>0</v>
      </c>
      <c r="AE603" s="73">
        <v>0</v>
      </c>
      <c r="AF603" s="72">
        <v>0</v>
      </c>
      <c r="AG603" s="88">
        <v>0</v>
      </c>
      <c r="AH603"/>
    </row>
    <row r="604" spans="1:34">
      <c r="B604" s="114">
        <v>585</v>
      </c>
      <c r="C604" s="117">
        <v>51</v>
      </c>
      <c r="D604" s="117"/>
      <c r="E604" s="117" t="s">
        <v>1137</v>
      </c>
      <c r="F604" s="117" t="s">
        <v>1138</v>
      </c>
      <c r="G604" s="117" t="s">
        <v>1151</v>
      </c>
      <c r="H604" s="117" t="s">
        <v>1152</v>
      </c>
      <c r="I604" s="120"/>
      <c r="J604" s="84">
        <v>0</v>
      </c>
      <c r="K604" s="73">
        <v>0</v>
      </c>
      <c r="L604" s="72">
        <v>300</v>
      </c>
      <c r="M604" s="73">
        <v>2838</v>
      </c>
      <c r="N604" s="72">
        <v>200</v>
      </c>
      <c r="O604" s="73">
        <v>1892</v>
      </c>
      <c r="P604" s="72">
        <v>200</v>
      </c>
      <c r="Q604" s="73">
        <v>1892</v>
      </c>
      <c r="R604" s="72">
        <v>0</v>
      </c>
      <c r="S604" s="73">
        <v>0</v>
      </c>
      <c r="T604" s="72">
        <v>300</v>
      </c>
      <c r="U604" s="73">
        <v>2838</v>
      </c>
      <c r="V604" s="72">
        <v>200</v>
      </c>
      <c r="W604" s="73">
        <v>1892</v>
      </c>
      <c r="X604" s="72">
        <v>200</v>
      </c>
      <c r="Y604" s="73">
        <v>1892</v>
      </c>
      <c r="Z604" s="72">
        <v>0</v>
      </c>
      <c r="AA604" s="73">
        <v>0</v>
      </c>
      <c r="AB604" s="72">
        <v>0</v>
      </c>
      <c r="AC604" s="73">
        <v>0</v>
      </c>
      <c r="AD604" s="72">
        <v>0</v>
      </c>
      <c r="AE604" s="73">
        <v>0</v>
      </c>
      <c r="AF604" s="72">
        <v>0</v>
      </c>
      <c r="AG604" s="88">
        <v>0</v>
      </c>
      <c r="AH604"/>
    </row>
    <row r="605" spans="1:34">
      <c r="B605" s="114">
        <v>586</v>
      </c>
      <c r="C605" s="117">
        <v>51</v>
      </c>
      <c r="D605" s="117"/>
      <c r="E605" s="117" t="s">
        <v>1137</v>
      </c>
      <c r="F605" s="117" t="s">
        <v>1138</v>
      </c>
      <c r="G605" s="117" t="s">
        <v>1212</v>
      </c>
      <c r="H605" s="117" t="s">
        <v>1213</v>
      </c>
      <c r="I605" s="120"/>
      <c r="J605" s="84">
        <v>100</v>
      </c>
      <c r="K605" s="73">
        <v>7800</v>
      </c>
      <c r="L605" s="72">
        <v>0</v>
      </c>
      <c r="M605" s="73">
        <v>0</v>
      </c>
      <c r="N605" s="72">
        <v>0</v>
      </c>
      <c r="O605" s="73">
        <v>0</v>
      </c>
      <c r="P605" s="72">
        <v>0</v>
      </c>
      <c r="Q605" s="73">
        <v>0</v>
      </c>
      <c r="R605" s="72">
        <v>0</v>
      </c>
      <c r="S605" s="73">
        <v>0</v>
      </c>
      <c r="T605" s="72">
        <v>0</v>
      </c>
      <c r="U605" s="73">
        <v>0</v>
      </c>
      <c r="V605" s="72">
        <v>0</v>
      </c>
      <c r="W605" s="73">
        <v>0</v>
      </c>
      <c r="X605" s="72">
        <v>390</v>
      </c>
      <c r="Y605" s="73">
        <v>30420</v>
      </c>
      <c r="Z605" s="72">
        <v>0</v>
      </c>
      <c r="AA605" s="73">
        <v>0</v>
      </c>
      <c r="AB605" s="72">
        <v>0</v>
      </c>
      <c r="AC605" s="73">
        <v>0</v>
      </c>
      <c r="AD605" s="72">
        <v>0</v>
      </c>
      <c r="AE605" s="73">
        <v>0</v>
      </c>
      <c r="AF605" s="72">
        <v>0</v>
      </c>
      <c r="AG605" s="88">
        <v>0</v>
      </c>
      <c r="AH605"/>
    </row>
    <row r="606" spans="1:34">
      <c r="B606" s="114">
        <v>587</v>
      </c>
      <c r="C606" s="117">
        <v>51</v>
      </c>
      <c r="D606" s="117"/>
      <c r="E606" s="117" t="s">
        <v>1137</v>
      </c>
      <c r="F606" s="117" t="s">
        <v>1138</v>
      </c>
      <c r="G606" s="117" t="s">
        <v>1157</v>
      </c>
      <c r="H606" s="117" t="s">
        <v>1158</v>
      </c>
      <c r="I606" s="120"/>
      <c r="J606" s="84">
        <v>0</v>
      </c>
      <c r="K606" s="73">
        <v>0</v>
      </c>
      <c r="L606" s="72">
        <v>1050</v>
      </c>
      <c r="M606" s="73">
        <v>18375</v>
      </c>
      <c r="N606" s="72">
        <v>0</v>
      </c>
      <c r="O606" s="73">
        <v>0</v>
      </c>
      <c r="P606" s="72">
        <v>0</v>
      </c>
      <c r="Q606" s="73">
        <v>0</v>
      </c>
      <c r="R606" s="72">
        <v>0</v>
      </c>
      <c r="S606" s="73">
        <v>0</v>
      </c>
      <c r="T606" s="72">
        <v>0</v>
      </c>
      <c r="U606" s="73">
        <v>0</v>
      </c>
      <c r="V606" s="72">
        <v>0</v>
      </c>
      <c r="W606" s="73">
        <v>0</v>
      </c>
      <c r="X606" s="72">
        <v>0</v>
      </c>
      <c r="Y606" s="73">
        <v>0</v>
      </c>
      <c r="Z606" s="72">
        <v>0</v>
      </c>
      <c r="AA606" s="73">
        <v>0</v>
      </c>
      <c r="AB606" s="72">
        <v>0</v>
      </c>
      <c r="AC606" s="73">
        <v>0</v>
      </c>
      <c r="AD606" s="72">
        <v>0</v>
      </c>
      <c r="AE606" s="73">
        <v>0</v>
      </c>
      <c r="AF606" s="72">
        <v>0</v>
      </c>
      <c r="AG606" s="88">
        <v>0</v>
      </c>
      <c r="AH606"/>
    </row>
    <row r="607" spans="1:34">
      <c r="B607" s="114">
        <v>588</v>
      </c>
      <c r="C607" s="117">
        <v>51</v>
      </c>
      <c r="D607" s="117"/>
      <c r="E607" s="117" t="s">
        <v>1137</v>
      </c>
      <c r="F607" s="117" t="s">
        <v>1138</v>
      </c>
      <c r="G607" s="117" t="s">
        <v>1218</v>
      </c>
      <c r="H607" s="117" t="s">
        <v>1219</v>
      </c>
      <c r="I607" s="120"/>
      <c r="J607" s="84">
        <v>600</v>
      </c>
      <c r="K607" s="73">
        <v>912</v>
      </c>
      <c r="L607" s="72">
        <v>0</v>
      </c>
      <c r="M607" s="73">
        <v>0</v>
      </c>
      <c r="N607" s="72">
        <v>0</v>
      </c>
      <c r="O607" s="73">
        <v>0</v>
      </c>
      <c r="P607" s="72">
        <v>0</v>
      </c>
      <c r="Q607" s="73">
        <v>0</v>
      </c>
      <c r="R607" s="72">
        <v>0</v>
      </c>
      <c r="S607" s="73">
        <v>0</v>
      </c>
      <c r="T607" s="72">
        <v>0</v>
      </c>
      <c r="U607" s="73">
        <v>0</v>
      </c>
      <c r="V607" s="72">
        <v>0</v>
      </c>
      <c r="W607" s="73">
        <v>0</v>
      </c>
      <c r="X607" s="72">
        <v>0</v>
      </c>
      <c r="Y607" s="73">
        <v>0</v>
      </c>
      <c r="Z607" s="72">
        <v>0</v>
      </c>
      <c r="AA607" s="73">
        <v>0</v>
      </c>
      <c r="AB607" s="72">
        <v>0</v>
      </c>
      <c r="AC607" s="73">
        <v>0</v>
      </c>
      <c r="AD607" s="72">
        <v>0</v>
      </c>
      <c r="AE607" s="73">
        <v>0</v>
      </c>
      <c r="AF607" s="72">
        <v>0</v>
      </c>
      <c r="AG607" s="88">
        <v>0</v>
      </c>
      <c r="AH607"/>
    </row>
    <row r="608" spans="1:34">
      <c r="B608" s="114">
        <v>589</v>
      </c>
      <c r="C608" s="117">
        <v>51</v>
      </c>
      <c r="D608" s="117"/>
      <c r="E608" s="117" t="s">
        <v>1137</v>
      </c>
      <c r="F608" s="117" t="s">
        <v>1138</v>
      </c>
      <c r="G608" s="117" t="s">
        <v>1167</v>
      </c>
      <c r="H608" s="117" t="s">
        <v>1168</v>
      </c>
      <c r="I608" s="120"/>
      <c r="J608" s="84">
        <v>600</v>
      </c>
      <c r="K608" s="73">
        <v>5712</v>
      </c>
      <c r="L608" s="72">
        <v>1510</v>
      </c>
      <c r="M608" s="73">
        <v>14375.2</v>
      </c>
      <c r="N608" s="72">
        <v>890</v>
      </c>
      <c r="O608" s="73">
        <v>8472.799999999999</v>
      </c>
      <c r="P608" s="72">
        <v>500</v>
      </c>
      <c r="Q608" s="73">
        <v>4760</v>
      </c>
      <c r="R608" s="72">
        <v>950</v>
      </c>
      <c r="S608" s="73">
        <v>9044</v>
      </c>
      <c r="T608" s="72">
        <v>550</v>
      </c>
      <c r="U608" s="73">
        <v>5236</v>
      </c>
      <c r="V608" s="72">
        <v>600</v>
      </c>
      <c r="W608" s="73">
        <v>5712</v>
      </c>
      <c r="X608" s="72">
        <v>5000</v>
      </c>
      <c r="Y608" s="73">
        <v>47600</v>
      </c>
      <c r="Z608" s="72">
        <v>500</v>
      </c>
      <c r="AA608" s="73">
        <v>4760</v>
      </c>
      <c r="AB608" s="72">
        <v>1733</v>
      </c>
      <c r="AC608" s="73">
        <v>16498.16</v>
      </c>
      <c r="AD608" s="72">
        <v>0</v>
      </c>
      <c r="AE608" s="73">
        <v>0</v>
      </c>
      <c r="AF608" s="72">
        <v>0</v>
      </c>
      <c r="AG608" s="88">
        <v>0</v>
      </c>
      <c r="AH608"/>
    </row>
    <row r="609" spans="1:34">
      <c r="B609" s="114">
        <v>590</v>
      </c>
      <c r="C609" s="117">
        <v>51</v>
      </c>
      <c r="D609" s="117"/>
      <c r="E609" s="117" t="s">
        <v>1137</v>
      </c>
      <c r="F609" s="117" t="s">
        <v>1138</v>
      </c>
      <c r="G609" s="117" t="s">
        <v>1169</v>
      </c>
      <c r="H609" s="117" t="s">
        <v>1170</v>
      </c>
      <c r="I609" s="120"/>
      <c r="J609" s="84">
        <v>2500</v>
      </c>
      <c r="K609" s="73">
        <v>6625</v>
      </c>
      <c r="L609" s="72">
        <v>5000</v>
      </c>
      <c r="M609" s="73">
        <v>13250</v>
      </c>
      <c r="N609" s="72">
        <v>10000</v>
      </c>
      <c r="O609" s="73">
        <v>26500</v>
      </c>
      <c r="P609" s="72">
        <v>5000</v>
      </c>
      <c r="Q609" s="73">
        <v>13250</v>
      </c>
      <c r="R609" s="72">
        <v>2000</v>
      </c>
      <c r="S609" s="73">
        <v>5300</v>
      </c>
      <c r="T609" s="72">
        <v>5000</v>
      </c>
      <c r="U609" s="73">
        <v>13250</v>
      </c>
      <c r="V609" s="72">
        <v>0</v>
      </c>
      <c r="W609" s="73">
        <v>0</v>
      </c>
      <c r="X609" s="72">
        <v>0</v>
      </c>
      <c r="Y609" s="73">
        <v>0</v>
      </c>
      <c r="Z609" s="72">
        <v>0</v>
      </c>
      <c r="AA609" s="73">
        <v>0</v>
      </c>
      <c r="AB609" s="72">
        <v>486</v>
      </c>
      <c r="AC609" s="73">
        <v>1287.9</v>
      </c>
      <c r="AD609" s="72">
        <v>0</v>
      </c>
      <c r="AE609" s="73">
        <v>0</v>
      </c>
      <c r="AF609" s="72">
        <v>0</v>
      </c>
      <c r="AG609" s="88">
        <v>0</v>
      </c>
      <c r="AH609"/>
    </row>
    <row r="610" spans="1:34">
      <c r="B610" s="114">
        <v>591</v>
      </c>
      <c r="C610" s="117">
        <v>51</v>
      </c>
      <c r="D610" s="117"/>
      <c r="E610" s="117" t="s">
        <v>1137</v>
      </c>
      <c r="F610" s="117" t="s">
        <v>1138</v>
      </c>
      <c r="G610" s="117" t="s">
        <v>1193</v>
      </c>
      <c r="H610" s="117" t="s">
        <v>1194</v>
      </c>
      <c r="I610" s="120"/>
      <c r="J610" s="84">
        <v>0</v>
      </c>
      <c r="K610" s="73">
        <v>0</v>
      </c>
      <c r="L610" s="72">
        <v>300</v>
      </c>
      <c r="M610" s="73">
        <v>15066</v>
      </c>
      <c r="N610" s="72">
        <v>1200</v>
      </c>
      <c r="O610" s="73">
        <v>60264</v>
      </c>
      <c r="P610" s="72">
        <v>400</v>
      </c>
      <c r="Q610" s="73">
        <v>20088</v>
      </c>
      <c r="R610" s="72">
        <v>0</v>
      </c>
      <c r="S610" s="73">
        <v>0</v>
      </c>
      <c r="T610" s="72">
        <v>1300</v>
      </c>
      <c r="U610" s="73">
        <v>65286</v>
      </c>
      <c r="V610" s="72">
        <v>100</v>
      </c>
      <c r="W610" s="73">
        <v>5022</v>
      </c>
      <c r="X610" s="72">
        <v>0</v>
      </c>
      <c r="Y610" s="73">
        <v>0</v>
      </c>
      <c r="Z610" s="72">
        <v>0</v>
      </c>
      <c r="AA610" s="73">
        <v>0</v>
      </c>
      <c r="AB610" s="72">
        <v>856</v>
      </c>
      <c r="AC610" s="73">
        <v>42988.32</v>
      </c>
      <c r="AD610" s="72">
        <v>0</v>
      </c>
      <c r="AE610" s="73">
        <v>0</v>
      </c>
      <c r="AF610" s="72">
        <v>0</v>
      </c>
      <c r="AG610" s="88">
        <v>0</v>
      </c>
      <c r="AH610"/>
    </row>
    <row r="611" spans="1:34">
      <c r="B611" s="114">
        <v>592</v>
      </c>
      <c r="C611" s="117">
        <v>51</v>
      </c>
      <c r="D611" s="117"/>
      <c r="E611" s="117" t="s">
        <v>1137</v>
      </c>
      <c r="F611" s="117" t="s">
        <v>1138</v>
      </c>
      <c r="G611" s="117" t="s">
        <v>1145</v>
      </c>
      <c r="H611" s="117" t="s">
        <v>1146</v>
      </c>
      <c r="I611" s="120"/>
      <c r="J611" s="84">
        <v>0</v>
      </c>
      <c r="K611" s="73">
        <v>0</v>
      </c>
      <c r="L611" s="72">
        <v>75</v>
      </c>
      <c r="M611" s="73">
        <v>480.75</v>
      </c>
      <c r="N611" s="72">
        <v>0</v>
      </c>
      <c r="O611" s="73">
        <v>0</v>
      </c>
      <c r="P611" s="72">
        <v>200</v>
      </c>
      <c r="Q611" s="73">
        <v>1282</v>
      </c>
      <c r="R611" s="72">
        <v>600</v>
      </c>
      <c r="S611" s="73">
        <v>3846</v>
      </c>
      <c r="T611" s="72">
        <v>300</v>
      </c>
      <c r="U611" s="73">
        <v>1923</v>
      </c>
      <c r="V611" s="72">
        <v>100</v>
      </c>
      <c r="W611" s="73">
        <v>641</v>
      </c>
      <c r="X611" s="72">
        <v>0</v>
      </c>
      <c r="Y611" s="73">
        <v>0</v>
      </c>
      <c r="Z611" s="72">
        <v>0</v>
      </c>
      <c r="AA611" s="73">
        <v>0</v>
      </c>
      <c r="AB611" s="72">
        <v>206</v>
      </c>
      <c r="AC611" s="73">
        <v>1320.46</v>
      </c>
      <c r="AD611" s="72">
        <v>0</v>
      </c>
      <c r="AE611" s="73">
        <v>0</v>
      </c>
      <c r="AF611" s="72">
        <v>0</v>
      </c>
      <c r="AG611" s="88">
        <v>0</v>
      </c>
      <c r="AH611"/>
    </row>
    <row r="612" spans="1:34">
      <c r="B612" s="114">
        <v>593</v>
      </c>
      <c r="C612" s="117">
        <v>51</v>
      </c>
      <c r="D612" s="117"/>
      <c r="E612" s="117" t="s">
        <v>1137</v>
      </c>
      <c r="F612" s="117" t="s">
        <v>1138</v>
      </c>
      <c r="G612" s="117" t="s">
        <v>1199</v>
      </c>
      <c r="H612" s="117" t="s">
        <v>1200</v>
      </c>
      <c r="I612" s="120"/>
      <c r="J612" s="84">
        <v>0</v>
      </c>
      <c r="K612" s="73">
        <v>0</v>
      </c>
      <c r="L612" s="72">
        <v>0</v>
      </c>
      <c r="M612" s="73">
        <v>0</v>
      </c>
      <c r="N612" s="72">
        <v>300</v>
      </c>
      <c r="O612" s="73">
        <v>2856</v>
      </c>
      <c r="P612" s="72">
        <v>0</v>
      </c>
      <c r="Q612" s="73">
        <v>0</v>
      </c>
      <c r="R612" s="72">
        <v>0</v>
      </c>
      <c r="S612" s="73">
        <v>0</v>
      </c>
      <c r="T612" s="72">
        <v>0</v>
      </c>
      <c r="U612" s="73">
        <v>0</v>
      </c>
      <c r="V612" s="72">
        <v>0</v>
      </c>
      <c r="W612" s="73">
        <v>0</v>
      </c>
      <c r="X612" s="72">
        <v>0</v>
      </c>
      <c r="Y612" s="73">
        <v>0</v>
      </c>
      <c r="Z612" s="72">
        <v>0</v>
      </c>
      <c r="AA612" s="73">
        <v>0</v>
      </c>
      <c r="AB612" s="72">
        <v>83</v>
      </c>
      <c r="AC612" s="73">
        <v>790.16</v>
      </c>
      <c r="AD612" s="72">
        <v>0</v>
      </c>
      <c r="AE612" s="73">
        <v>0</v>
      </c>
      <c r="AF612" s="72">
        <v>0</v>
      </c>
      <c r="AG612" s="88">
        <v>0</v>
      </c>
      <c r="AH612"/>
    </row>
    <row r="613" spans="1:34">
      <c r="B613" s="114">
        <v>594</v>
      </c>
      <c r="C613" s="117">
        <v>51</v>
      </c>
      <c r="D613" s="117"/>
      <c r="E613" s="117" t="s">
        <v>1137</v>
      </c>
      <c r="F613" s="117" t="s">
        <v>1138</v>
      </c>
      <c r="G613" s="117" t="s">
        <v>1197</v>
      </c>
      <c r="H613" s="117" t="s">
        <v>1198</v>
      </c>
      <c r="I613" s="120"/>
      <c r="J613" s="84">
        <v>0</v>
      </c>
      <c r="K613" s="73">
        <v>0</v>
      </c>
      <c r="L613" s="72">
        <v>1200</v>
      </c>
      <c r="M613" s="73">
        <v>23148</v>
      </c>
      <c r="N613" s="72">
        <v>800</v>
      </c>
      <c r="O613" s="73">
        <v>15432</v>
      </c>
      <c r="P613" s="72">
        <v>600</v>
      </c>
      <c r="Q613" s="73">
        <v>11574</v>
      </c>
      <c r="R613" s="72">
        <v>300</v>
      </c>
      <c r="S613" s="73">
        <v>5787</v>
      </c>
      <c r="T613" s="72">
        <v>800</v>
      </c>
      <c r="U613" s="73">
        <v>15432</v>
      </c>
      <c r="V613" s="72">
        <v>400</v>
      </c>
      <c r="W613" s="73">
        <v>7716</v>
      </c>
      <c r="X613" s="72">
        <v>0</v>
      </c>
      <c r="Y613" s="73">
        <v>0</v>
      </c>
      <c r="Z613" s="72">
        <v>0</v>
      </c>
      <c r="AA613" s="73">
        <v>0</v>
      </c>
      <c r="AB613" s="72">
        <v>500</v>
      </c>
      <c r="AC613" s="73">
        <v>9645</v>
      </c>
      <c r="AD613" s="72">
        <v>0</v>
      </c>
      <c r="AE613" s="73">
        <v>0</v>
      </c>
      <c r="AF613" s="72">
        <v>0</v>
      </c>
      <c r="AG613" s="88">
        <v>0</v>
      </c>
      <c r="AH613"/>
    </row>
    <row r="614" spans="1:34">
      <c r="B614" s="114">
        <v>595</v>
      </c>
      <c r="C614" s="117">
        <v>51</v>
      </c>
      <c r="D614" s="117"/>
      <c r="E614" s="117" t="s">
        <v>1137</v>
      </c>
      <c r="F614" s="117" t="s">
        <v>1138</v>
      </c>
      <c r="G614" s="117" t="s">
        <v>1195</v>
      </c>
      <c r="H614" s="117" t="s">
        <v>1196</v>
      </c>
      <c r="I614" s="120"/>
      <c r="J614" s="84">
        <v>600</v>
      </c>
      <c r="K614" s="73">
        <v>3966</v>
      </c>
      <c r="L614" s="72">
        <v>0</v>
      </c>
      <c r="M614" s="73">
        <v>0</v>
      </c>
      <c r="N614" s="72">
        <v>1000</v>
      </c>
      <c r="O614" s="73">
        <v>6610</v>
      </c>
      <c r="P614" s="72">
        <v>0</v>
      </c>
      <c r="Q614" s="73">
        <v>0</v>
      </c>
      <c r="R614" s="72">
        <v>850</v>
      </c>
      <c r="S614" s="73">
        <v>5618.5</v>
      </c>
      <c r="T614" s="72">
        <v>1000</v>
      </c>
      <c r="U614" s="73">
        <v>6610</v>
      </c>
      <c r="V614" s="72">
        <v>0</v>
      </c>
      <c r="W614" s="73">
        <v>0</v>
      </c>
      <c r="X614" s="72">
        <v>600</v>
      </c>
      <c r="Y614" s="73">
        <v>3966</v>
      </c>
      <c r="Z614" s="72">
        <v>0</v>
      </c>
      <c r="AA614" s="73">
        <v>0</v>
      </c>
      <c r="AB614" s="72">
        <v>615</v>
      </c>
      <c r="AC614" s="73">
        <v>4065.15</v>
      </c>
      <c r="AD614" s="72">
        <v>0</v>
      </c>
      <c r="AE614" s="73">
        <v>0</v>
      </c>
      <c r="AF614" s="72">
        <v>0</v>
      </c>
      <c r="AG614" s="88">
        <v>0</v>
      </c>
      <c r="AH614"/>
    </row>
    <row r="615" spans="1:34">
      <c r="B615" s="114">
        <v>596</v>
      </c>
      <c r="C615" s="117">
        <v>51</v>
      </c>
      <c r="D615" s="117"/>
      <c r="E615" s="117" t="s">
        <v>1137</v>
      </c>
      <c r="F615" s="117" t="s">
        <v>1138</v>
      </c>
      <c r="G615" s="117" t="s">
        <v>1147</v>
      </c>
      <c r="H615" s="117" t="s">
        <v>1148</v>
      </c>
      <c r="I615" s="120"/>
      <c r="J615" s="84">
        <v>100</v>
      </c>
      <c r="K615" s="73">
        <v>124</v>
      </c>
      <c r="L615" s="72">
        <v>0</v>
      </c>
      <c r="M615" s="73">
        <v>0</v>
      </c>
      <c r="N615" s="72">
        <v>0</v>
      </c>
      <c r="O615" s="73">
        <v>0</v>
      </c>
      <c r="P615" s="72">
        <v>0</v>
      </c>
      <c r="Q615" s="73">
        <v>0</v>
      </c>
      <c r="R615" s="72">
        <v>0</v>
      </c>
      <c r="S615" s="73">
        <v>0</v>
      </c>
      <c r="T615" s="72">
        <v>0</v>
      </c>
      <c r="U615" s="73">
        <v>0</v>
      </c>
      <c r="V615" s="72">
        <v>0</v>
      </c>
      <c r="W615" s="73">
        <v>0</v>
      </c>
      <c r="X615" s="72">
        <v>0</v>
      </c>
      <c r="Y615" s="73">
        <v>0</v>
      </c>
      <c r="Z615" s="72">
        <v>0</v>
      </c>
      <c r="AA615" s="73">
        <v>0</v>
      </c>
      <c r="AB615" s="72">
        <v>0</v>
      </c>
      <c r="AC615" s="73">
        <v>0</v>
      </c>
      <c r="AD615" s="72">
        <v>0</v>
      </c>
      <c r="AE615" s="73">
        <v>0</v>
      </c>
      <c r="AF615" s="72">
        <v>0</v>
      </c>
      <c r="AG615" s="88">
        <v>0</v>
      </c>
      <c r="AH615"/>
    </row>
    <row r="616" spans="1:34">
      <c r="B616" s="114">
        <v>597</v>
      </c>
      <c r="C616" s="117">
        <v>51</v>
      </c>
      <c r="D616" s="117"/>
      <c r="E616" s="117" t="s">
        <v>1137</v>
      </c>
      <c r="F616" s="117" t="s">
        <v>1138</v>
      </c>
      <c r="G616" s="117" t="s">
        <v>1208</v>
      </c>
      <c r="H616" s="117" t="s">
        <v>1209</v>
      </c>
      <c r="I616" s="120"/>
      <c r="J616" s="84">
        <v>0</v>
      </c>
      <c r="K616" s="73">
        <v>0</v>
      </c>
      <c r="L616" s="72">
        <v>0</v>
      </c>
      <c r="M616" s="73">
        <v>0</v>
      </c>
      <c r="N616" s="72">
        <v>0</v>
      </c>
      <c r="O616" s="73">
        <v>0</v>
      </c>
      <c r="P616" s="72">
        <v>200</v>
      </c>
      <c r="Q616" s="73">
        <v>5132</v>
      </c>
      <c r="R616" s="72">
        <v>200</v>
      </c>
      <c r="S616" s="73">
        <v>5132</v>
      </c>
      <c r="T616" s="72">
        <v>0</v>
      </c>
      <c r="U616" s="73">
        <v>0</v>
      </c>
      <c r="V616" s="72">
        <v>400</v>
      </c>
      <c r="W616" s="73">
        <v>10264</v>
      </c>
      <c r="X616" s="72">
        <v>0</v>
      </c>
      <c r="Y616" s="73">
        <v>0</v>
      </c>
      <c r="Z616" s="72">
        <v>0</v>
      </c>
      <c r="AA616" s="73">
        <v>0</v>
      </c>
      <c r="AB616" s="72">
        <v>1046</v>
      </c>
      <c r="AC616" s="73">
        <v>26840.36</v>
      </c>
      <c r="AD616" s="72">
        <v>0</v>
      </c>
      <c r="AE616" s="73">
        <v>0</v>
      </c>
      <c r="AF616" s="72">
        <v>0</v>
      </c>
      <c r="AG616" s="88">
        <v>0</v>
      </c>
      <c r="AH616"/>
    </row>
    <row r="617" spans="1:34">
      <c r="B617" s="114">
        <v>598</v>
      </c>
      <c r="C617" s="117">
        <v>51</v>
      </c>
      <c r="D617" s="117"/>
      <c r="E617" s="117" t="s">
        <v>1137</v>
      </c>
      <c r="F617" s="117" t="s">
        <v>1138</v>
      </c>
      <c r="G617" s="117" t="s">
        <v>1201</v>
      </c>
      <c r="H617" s="117" t="s">
        <v>1202</v>
      </c>
      <c r="I617" s="120"/>
      <c r="J617" s="84">
        <v>0</v>
      </c>
      <c r="K617" s="73">
        <v>0</v>
      </c>
      <c r="L617" s="72">
        <v>0</v>
      </c>
      <c r="M617" s="73">
        <v>0</v>
      </c>
      <c r="N617" s="72">
        <v>0</v>
      </c>
      <c r="O617" s="73">
        <v>0</v>
      </c>
      <c r="P617" s="72">
        <v>200</v>
      </c>
      <c r="Q617" s="73">
        <v>3996</v>
      </c>
      <c r="R617" s="72">
        <v>0</v>
      </c>
      <c r="S617" s="73">
        <v>0</v>
      </c>
      <c r="T617" s="72">
        <v>300</v>
      </c>
      <c r="U617" s="73">
        <v>5994</v>
      </c>
      <c r="V617" s="72">
        <v>300</v>
      </c>
      <c r="W617" s="73">
        <v>5994</v>
      </c>
      <c r="X617" s="72">
        <v>0</v>
      </c>
      <c r="Y617" s="73">
        <v>0</v>
      </c>
      <c r="Z617" s="72">
        <v>0</v>
      </c>
      <c r="AA617" s="73">
        <v>0</v>
      </c>
      <c r="AB617" s="72">
        <v>37</v>
      </c>
      <c r="AC617" s="73">
        <v>739.26</v>
      </c>
      <c r="AD617" s="72">
        <v>0</v>
      </c>
      <c r="AE617" s="73">
        <v>0</v>
      </c>
      <c r="AF617" s="72">
        <v>0</v>
      </c>
      <c r="AG617" s="88">
        <v>0</v>
      </c>
      <c r="AH617"/>
    </row>
    <row r="618" spans="1:34">
      <c r="B618" s="114">
        <v>599</v>
      </c>
      <c r="C618" s="117">
        <v>51</v>
      </c>
      <c r="D618" s="117"/>
      <c r="E618" s="117" t="s">
        <v>1137</v>
      </c>
      <c r="F618" s="117" t="s">
        <v>1138</v>
      </c>
      <c r="G618" s="117" t="s">
        <v>1203</v>
      </c>
      <c r="H618" s="117" t="s">
        <v>1204</v>
      </c>
      <c r="I618" s="120"/>
      <c r="J618" s="84">
        <v>0</v>
      </c>
      <c r="K618" s="73">
        <v>0</v>
      </c>
      <c r="L618" s="72">
        <v>0</v>
      </c>
      <c r="M618" s="73">
        <v>0</v>
      </c>
      <c r="N618" s="72">
        <v>0</v>
      </c>
      <c r="O618" s="73">
        <v>0</v>
      </c>
      <c r="P618" s="72">
        <v>0</v>
      </c>
      <c r="Q618" s="73">
        <v>0</v>
      </c>
      <c r="R618" s="72">
        <v>0</v>
      </c>
      <c r="S618" s="73">
        <v>0</v>
      </c>
      <c r="T618" s="72">
        <v>1000</v>
      </c>
      <c r="U618" s="73">
        <v>15750</v>
      </c>
      <c r="V618" s="72">
        <v>0</v>
      </c>
      <c r="W618" s="73">
        <v>0</v>
      </c>
      <c r="X618" s="72">
        <v>0</v>
      </c>
      <c r="Y618" s="73">
        <v>0</v>
      </c>
      <c r="Z618" s="72">
        <v>500</v>
      </c>
      <c r="AA618" s="73">
        <v>7875</v>
      </c>
      <c r="AB618" s="72">
        <v>134</v>
      </c>
      <c r="AC618" s="73">
        <v>2110.5</v>
      </c>
      <c r="AD618" s="72">
        <v>0</v>
      </c>
      <c r="AE618" s="73">
        <v>0</v>
      </c>
      <c r="AF618" s="72">
        <v>0</v>
      </c>
      <c r="AG618" s="88">
        <v>0</v>
      </c>
      <c r="AH618"/>
    </row>
    <row r="619" spans="1:34">
      <c r="B619" s="114">
        <v>600</v>
      </c>
      <c r="C619" s="117">
        <v>51</v>
      </c>
      <c r="D619" s="117"/>
      <c r="E619" s="117" t="s">
        <v>1137</v>
      </c>
      <c r="F619" s="117" t="s">
        <v>1138</v>
      </c>
      <c r="G619" s="117" t="s">
        <v>1205</v>
      </c>
      <c r="H619" s="117" t="s">
        <v>1206</v>
      </c>
      <c r="I619" s="120" t="s">
        <v>1207</v>
      </c>
      <c r="J619" s="84">
        <v>0</v>
      </c>
      <c r="K619" s="73">
        <v>0</v>
      </c>
      <c r="L619" s="72">
        <v>600</v>
      </c>
      <c r="M619" s="73">
        <v>16638</v>
      </c>
      <c r="N619" s="72">
        <v>0</v>
      </c>
      <c r="O619" s="73">
        <v>0</v>
      </c>
      <c r="P619" s="72">
        <v>800</v>
      </c>
      <c r="Q619" s="73">
        <v>22184</v>
      </c>
      <c r="R619" s="72">
        <v>0</v>
      </c>
      <c r="S619" s="73">
        <v>0</v>
      </c>
      <c r="T619" s="72">
        <v>700</v>
      </c>
      <c r="U619" s="73">
        <v>19411</v>
      </c>
      <c r="V619" s="72">
        <v>400</v>
      </c>
      <c r="W619" s="73">
        <v>11092</v>
      </c>
      <c r="X619" s="72">
        <v>500</v>
      </c>
      <c r="Y619" s="73">
        <v>13865</v>
      </c>
      <c r="Z619" s="72">
        <v>0</v>
      </c>
      <c r="AA619" s="73">
        <v>0</v>
      </c>
      <c r="AB619" s="72">
        <v>5</v>
      </c>
      <c r="AC619" s="73">
        <v>138.65</v>
      </c>
      <c r="AD619" s="72">
        <v>0</v>
      </c>
      <c r="AE619" s="73">
        <v>0</v>
      </c>
      <c r="AF619" s="72">
        <v>0</v>
      </c>
      <c r="AG619" s="88">
        <v>0</v>
      </c>
      <c r="AH619"/>
    </row>
    <row r="620" spans="1:34">
      <c r="B620" s="114">
        <v>601</v>
      </c>
      <c r="C620" s="117">
        <v>51</v>
      </c>
      <c r="D620" s="117"/>
      <c r="E620" s="117" t="s">
        <v>1137</v>
      </c>
      <c r="F620" s="117" t="s">
        <v>1138</v>
      </c>
      <c r="G620" s="117" t="s">
        <v>1177</v>
      </c>
      <c r="H620" s="117" t="s">
        <v>1178</v>
      </c>
      <c r="I620" s="120"/>
      <c r="J620" s="84">
        <v>0</v>
      </c>
      <c r="K620" s="73">
        <v>0</v>
      </c>
      <c r="L620" s="72">
        <v>0</v>
      </c>
      <c r="M620" s="73">
        <v>0</v>
      </c>
      <c r="N620" s="72">
        <v>300</v>
      </c>
      <c r="O620" s="73">
        <v>1758</v>
      </c>
      <c r="P620" s="72">
        <v>0</v>
      </c>
      <c r="Q620" s="73">
        <v>0</v>
      </c>
      <c r="R620" s="72">
        <v>300</v>
      </c>
      <c r="S620" s="73">
        <v>1758</v>
      </c>
      <c r="T620" s="72">
        <v>200</v>
      </c>
      <c r="U620" s="73">
        <v>1172</v>
      </c>
      <c r="V620" s="72">
        <v>100</v>
      </c>
      <c r="W620" s="73">
        <v>586</v>
      </c>
      <c r="X620" s="72">
        <v>200</v>
      </c>
      <c r="Y620" s="73">
        <v>1172</v>
      </c>
      <c r="Z620" s="72">
        <v>0</v>
      </c>
      <c r="AA620" s="73">
        <v>0</v>
      </c>
      <c r="AB620" s="72">
        <v>1941</v>
      </c>
      <c r="AC620" s="73">
        <v>11374.26</v>
      </c>
      <c r="AD620" s="72">
        <v>0</v>
      </c>
      <c r="AE620" s="73">
        <v>0</v>
      </c>
      <c r="AF620" s="72">
        <v>0</v>
      </c>
      <c r="AG620" s="88">
        <v>0</v>
      </c>
      <c r="AH620"/>
    </row>
    <row r="621" spans="1:34">
      <c r="B621" s="114">
        <v>602</v>
      </c>
      <c r="C621" s="117">
        <v>51</v>
      </c>
      <c r="D621" s="117"/>
      <c r="E621" s="117" t="s">
        <v>1137</v>
      </c>
      <c r="F621" s="117" t="s">
        <v>1138</v>
      </c>
      <c r="G621" s="117" t="s">
        <v>1179</v>
      </c>
      <c r="H621" s="117" t="s">
        <v>1180</v>
      </c>
      <c r="I621" s="120"/>
      <c r="J621" s="84">
        <v>0</v>
      </c>
      <c r="K621" s="73">
        <v>0</v>
      </c>
      <c r="L621" s="72">
        <v>0</v>
      </c>
      <c r="M621" s="73">
        <v>0</v>
      </c>
      <c r="N621" s="72">
        <v>0</v>
      </c>
      <c r="O621" s="73">
        <v>0</v>
      </c>
      <c r="P621" s="72">
        <v>0</v>
      </c>
      <c r="Q621" s="73">
        <v>0</v>
      </c>
      <c r="R621" s="72">
        <v>0</v>
      </c>
      <c r="S621" s="73">
        <v>0</v>
      </c>
      <c r="T621" s="72">
        <v>0</v>
      </c>
      <c r="U621" s="73">
        <v>0</v>
      </c>
      <c r="V621" s="72">
        <v>0</v>
      </c>
      <c r="W621" s="73">
        <v>0</v>
      </c>
      <c r="X621" s="72">
        <v>0</v>
      </c>
      <c r="Y621" s="73">
        <v>0</v>
      </c>
      <c r="Z621" s="72">
        <v>0</v>
      </c>
      <c r="AA621" s="73">
        <v>0</v>
      </c>
      <c r="AB621" s="72">
        <v>264</v>
      </c>
      <c r="AC621" s="73">
        <v>4612.08</v>
      </c>
      <c r="AD621" s="72">
        <v>0</v>
      </c>
      <c r="AE621" s="73">
        <v>0</v>
      </c>
      <c r="AF621" s="72">
        <v>0</v>
      </c>
      <c r="AG621" s="88">
        <v>0</v>
      </c>
      <c r="AH621"/>
    </row>
    <row r="622" spans="1:34">
      <c r="B622" s="114">
        <v>603</v>
      </c>
      <c r="C622" s="117">
        <v>51</v>
      </c>
      <c r="D622" s="117"/>
      <c r="E622" s="117" t="s">
        <v>1137</v>
      </c>
      <c r="F622" s="117" t="s">
        <v>1138</v>
      </c>
      <c r="G622" s="117" t="s">
        <v>1181</v>
      </c>
      <c r="H622" s="117" t="s">
        <v>1182</v>
      </c>
      <c r="I622" s="120"/>
      <c r="J622" s="84">
        <v>0</v>
      </c>
      <c r="K622" s="73">
        <v>0</v>
      </c>
      <c r="L622" s="72">
        <v>0</v>
      </c>
      <c r="M622" s="73">
        <v>0</v>
      </c>
      <c r="N622" s="72">
        <v>0</v>
      </c>
      <c r="O622" s="73">
        <v>0</v>
      </c>
      <c r="P622" s="72">
        <v>0</v>
      </c>
      <c r="Q622" s="73">
        <v>0</v>
      </c>
      <c r="R622" s="72">
        <v>0</v>
      </c>
      <c r="S622" s="73">
        <v>0</v>
      </c>
      <c r="T622" s="72">
        <v>0</v>
      </c>
      <c r="U622" s="73">
        <v>0</v>
      </c>
      <c r="V622" s="72">
        <v>0</v>
      </c>
      <c r="W622" s="73">
        <v>0</v>
      </c>
      <c r="X622" s="72">
        <v>0</v>
      </c>
      <c r="Y622" s="73">
        <v>0</v>
      </c>
      <c r="Z622" s="72">
        <v>0</v>
      </c>
      <c r="AA622" s="73">
        <v>0</v>
      </c>
      <c r="AB622" s="72">
        <v>92</v>
      </c>
      <c r="AC622" s="73">
        <v>301.76</v>
      </c>
      <c r="AD622" s="72">
        <v>0</v>
      </c>
      <c r="AE622" s="73">
        <v>0</v>
      </c>
      <c r="AF622" s="72">
        <v>0</v>
      </c>
      <c r="AG622" s="88">
        <v>0</v>
      </c>
      <c r="AH622"/>
    </row>
    <row r="623" spans="1:34">
      <c r="B623" s="114">
        <v>604</v>
      </c>
      <c r="C623" s="117">
        <v>51</v>
      </c>
      <c r="D623" s="117"/>
      <c r="E623" s="117" t="s">
        <v>1137</v>
      </c>
      <c r="F623" s="117" t="s">
        <v>1138</v>
      </c>
      <c r="G623" s="117" t="s">
        <v>1187</v>
      </c>
      <c r="H623" s="117" t="s">
        <v>1188</v>
      </c>
      <c r="I623" s="120"/>
      <c r="J623" s="84">
        <v>0</v>
      </c>
      <c r="K623" s="73">
        <v>0</v>
      </c>
      <c r="L623" s="72">
        <v>0</v>
      </c>
      <c r="M623" s="73">
        <v>0</v>
      </c>
      <c r="N623" s="72">
        <v>0</v>
      </c>
      <c r="O623" s="73">
        <v>0</v>
      </c>
      <c r="P623" s="72">
        <v>0</v>
      </c>
      <c r="Q623" s="73">
        <v>0</v>
      </c>
      <c r="R623" s="72">
        <v>0</v>
      </c>
      <c r="S623" s="73">
        <v>0</v>
      </c>
      <c r="T623" s="72">
        <v>0</v>
      </c>
      <c r="U623" s="73">
        <v>0</v>
      </c>
      <c r="V623" s="72">
        <v>0</v>
      </c>
      <c r="W623" s="73">
        <v>0</v>
      </c>
      <c r="X623" s="72">
        <v>0</v>
      </c>
      <c r="Y623" s="73">
        <v>0</v>
      </c>
      <c r="Z623" s="72">
        <v>0</v>
      </c>
      <c r="AA623" s="73">
        <v>0</v>
      </c>
      <c r="AB623" s="72">
        <v>1</v>
      </c>
      <c r="AC623" s="73">
        <v>48.38</v>
      </c>
      <c r="AD623" s="72">
        <v>0</v>
      </c>
      <c r="AE623" s="73">
        <v>0</v>
      </c>
      <c r="AF623" s="72">
        <v>0</v>
      </c>
      <c r="AG623" s="88">
        <v>0</v>
      </c>
      <c r="AH623"/>
    </row>
    <row r="624" spans="1:34">
      <c r="B624" s="114">
        <v>605</v>
      </c>
      <c r="C624" s="117">
        <v>51</v>
      </c>
      <c r="D624" s="117"/>
      <c r="E624" s="117" t="s">
        <v>1137</v>
      </c>
      <c r="F624" s="117" t="s">
        <v>1138</v>
      </c>
      <c r="G624" s="117" t="s">
        <v>1175</v>
      </c>
      <c r="H624" s="117" t="s">
        <v>1176</v>
      </c>
      <c r="I624" s="120"/>
      <c r="J624" s="84">
        <v>200</v>
      </c>
      <c r="K624" s="73">
        <v>25220</v>
      </c>
      <c r="L624" s="72">
        <v>0</v>
      </c>
      <c r="M624" s="73">
        <v>0</v>
      </c>
      <c r="N624" s="72">
        <v>0</v>
      </c>
      <c r="O624" s="73">
        <v>0</v>
      </c>
      <c r="P624" s="72">
        <v>0</v>
      </c>
      <c r="Q624" s="73">
        <v>0</v>
      </c>
      <c r="R624" s="72">
        <v>0</v>
      </c>
      <c r="S624" s="73">
        <v>0</v>
      </c>
      <c r="T624" s="72">
        <v>0</v>
      </c>
      <c r="U624" s="73">
        <v>0</v>
      </c>
      <c r="V624" s="72">
        <v>0</v>
      </c>
      <c r="W624" s="73">
        <v>0</v>
      </c>
      <c r="X624" s="72">
        <v>120</v>
      </c>
      <c r="Y624" s="73">
        <v>15132</v>
      </c>
      <c r="Z624" s="72">
        <v>0</v>
      </c>
      <c r="AA624" s="73">
        <v>0</v>
      </c>
      <c r="AB624" s="72">
        <v>0</v>
      </c>
      <c r="AC624" s="73">
        <v>0</v>
      </c>
      <c r="AD624" s="72">
        <v>0</v>
      </c>
      <c r="AE624" s="73">
        <v>0</v>
      </c>
      <c r="AF624" s="72">
        <v>0</v>
      </c>
      <c r="AG624" s="88">
        <v>0</v>
      </c>
      <c r="AH624"/>
    </row>
    <row r="625" spans="1:34">
      <c r="B625" s="114">
        <v>606</v>
      </c>
      <c r="C625" s="117">
        <v>51</v>
      </c>
      <c r="D625" s="117"/>
      <c r="E625" s="117" t="s">
        <v>1137</v>
      </c>
      <c r="F625" s="117" t="s">
        <v>1138</v>
      </c>
      <c r="G625" s="117" t="s">
        <v>1183</v>
      </c>
      <c r="H625" s="117" t="s">
        <v>1184</v>
      </c>
      <c r="I625" s="120"/>
      <c r="J625" s="84">
        <v>0</v>
      </c>
      <c r="K625" s="73">
        <v>0</v>
      </c>
      <c r="L625" s="72">
        <v>0</v>
      </c>
      <c r="M625" s="73">
        <v>0</v>
      </c>
      <c r="N625" s="72">
        <v>0</v>
      </c>
      <c r="O625" s="73">
        <v>0</v>
      </c>
      <c r="P625" s="72">
        <v>0</v>
      </c>
      <c r="Q625" s="73">
        <v>0</v>
      </c>
      <c r="R625" s="72">
        <v>0</v>
      </c>
      <c r="S625" s="73">
        <v>0</v>
      </c>
      <c r="T625" s="72">
        <v>0</v>
      </c>
      <c r="U625" s="73">
        <v>0</v>
      </c>
      <c r="V625" s="72">
        <v>0</v>
      </c>
      <c r="W625" s="73">
        <v>0</v>
      </c>
      <c r="X625" s="72">
        <v>0</v>
      </c>
      <c r="Y625" s="73">
        <v>0</v>
      </c>
      <c r="Z625" s="72">
        <v>0</v>
      </c>
      <c r="AA625" s="73">
        <v>0</v>
      </c>
      <c r="AB625" s="72">
        <v>110</v>
      </c>
      <c r="AC625" s="73">
        <v>2495.9</v>
      </c>
      <c r="AD625" s="72">
        <v>0</v>
      </c>
      <c r="AE625" s="73">
        <v>0</v>
      </c>
      <c r="AF625" s="72">
        <v>0</v>
      </c>
      <c r="AG625" s="88">
        <v>0</v>
      </c>
      <c r="AH625"/>
    </row>
    <row r="626" spans="1:34">
      <c r="B626" s="114">
        <v>607</v>
      </c>
      <c r="C626" s="117">
        <v>51</v>
      </c>
      <c r="D626" s="117"/>
      <c r="E626" s="117" t="s">
        <v>1220</v>
      </c>
      <c r="F626" s="117" t="s">
        <v>1221</v>
      </c>
      <c r="G626" s="117" t="s">
        <v>1230</v>
      </c>
      <c r="H626" s="117" t="s">
        <v>1231</v>
      </c>
      <c r="I626" s="120"/>
      <c r="J626" s="84">
        <v>3000</v>
      </c>
      <c r="K626" s="73">
        <v>7050</v>
      </c>
      <c r="L626" s="72">
        <v>9000</v>
      </c>
      <c r="M626" s="73">
        <v>21150</v>
      </c>
      <c r="N626" s="72">
        <v>6000</v>
      </c>
      <c r="O626" s="73">
        <v>14100</v>
      </c>
      <c r="P626" s="72">
        <v>6000</v>
      </c>
      <c r="Q626" s="73">
        <v>14100</v>
      </c>
      <c r="R626" s="72">
        <v>8000</v>
      </c>
      <c r="S626" s="73">
        <v>18800</v>
      </c>
      <c r="T626" s="72">
        <v>5000</v>
      </c>
      <c r="U626" s="73">
        <v>11750</v>
      </c>
      <c r="V626" s="72">
        <v>8000</v>
      </c>
      <c r="W626" s="73">
        <v>18800</v>
      </c>
      <c r="X626" s="72">
        <v>4000</v>
      </c>
      <c r="Y626" s="73">
        <v>9400</v>
      </c>
      <c r="Z626" s="72">
        <v>0</v>
      </c>
      <c r="AA626" s="73">
        <v>0</v>
      </c>
      <c r="AB626" s="72">
        <v>478</v>
      </c>
      <c r="AC626" s="73">
        <v>1123.3</v>
      </c>
      <c r="AD626" s="72">
        <v>0</v>
      </c>
      <c r="AE626" s="73">
        <v>0</v>
      </c>
      <c r="AF626" s="72">
        <v>0</v>
      </c>
      <c r="AG626" s="88">
        <v>0</v>
      </c>
      <c r="AH626"/>
    </row>
    <row r="627" spans="1:34">
      <c r="B627" s="114">
        <v>608</v>
      </c>
      <c r="C627" s="117">
        <v>51</v>
      </c>
      <c r="D627" s="117"/>
      <c r="E627" s="117" t="s">
        <v>1220</v>
      </c>
      <c r="F627" s="117" t="s">
        <v>1221</v>
      </c>
      <c r="G627" s="117" t="s">
        <v>1222</v>
      </c>
      <c r="H627" s="117" t="s">
        <v>1223</v>
      </c>
      <c r="I627" s="120"/>
      <c r="J627" s="84">
        <v>0</v>
      </c>
      <c r="K627" s="73">
        <v>0</v>
      </c>
      <c r="L627" s="72">
        <v>5000</v>
      </c>
      <c r="M627" s="73">
        <v>19250</v>
      </c>
      <c r="N627" s="72">
        <v>0</v>
      </c>
      <c r="O627" s="73">
        <v>0</v>
      </c>
      <c r="P627" s="72">
        <v>5000</v>
      </c>
      <c r="Q627" s="73">
        <v>19250</v>
      </c>
      <c r="R627" s="72">
        <v>0</v>
      </c>
      <c r="S627" s="73">
        <v>0</v>
      </c>
      <c r="T627" s="72">
        <v>5000</v>
      </c>
      <c r="U627" s="73">
        <v>19250</v>
      </c>
      <c r="V627" s="72">
        <v>0</v>
      </c>
      <c r="W627" s="73">
        <v>0</v>
      </c>
      <c r="X627" s="72">
        <v>0</v>
      </c>
      <c r="Y627" s="73">
        <v>0</v>
      </c>
      <c r="Z627" s="72">
        <v>0</v>
      </c>
      <c r="AA627" s="73">
        <v>0</v>
      </c>
      <c r="AB627" s="72">
        <v>0</v>
      </c>
      <c r="AC627" s="73">
        <v>0</v>
      </c>
      <c r="AD627" s="72">
        <v>0</v>
      </c>
      <c r="AE627" s="73">
        <v>0</v>
      </c>
      <c r="AF627" s="72">
        <v>0</v>
      </c>
      <c r="AG627" s="88">
        <v>0</v>
      </c>
      <c r="AH627"/>
    </row>
    <row r="628" spans="1:34">
      <c r="B628" s="114">
        <v>609</v>
      </c>
      <c r="C628" s="117">
        <v>51</v>
      </c>
      <c r="D628" s="117"/>
      <c r="E628" s="117" t="s">
        <v>1220</v>
      </c>
      <c r="F628" s="117" t="s">
        <v>1221</v>
      </c>
      <c r="G628" s="117" t="s">
        <v>1224</v>
      </c>
      <c r="H628" s="117" t="s">
        <v>1225</v>
      </c>
      <c r="I628" s="120"/>
      <c r="J628" s="84">
        <v>0</v>
      </c>
      <c r="K628" s="73">
        <v>0</v>
      </c>
      <c r="L628" s="72">
        <v>0</v>
      </c>
      <c r="M628" s="73">
        <v>0</v>
      </c>
      <c r="N628" s="72">
        <v>0</v>
      </c>
      <c r="O628" s="73">
        <v>0</v>
      </c>
      <c r="P628" s="72">
        <v>0</v>
      </c>
      <c r="Q628" s="73">
        <v>0</v>
      </c>
      <c r="R628" s="72">
        <v>0</v>
      </c>
      <c r="S628" s="73">
        <v>0</v>
      </c>
      <c r="T628" s="72">
        <v>0</v>
      </c>
      <c r="U628" s="73">
        <v>0</v>
      </c>
      <c r="V628" s="72">
        <v>0</v>
      </c>
      <c r="W628" s="73">
        <v>0</v>
      </c>
      <c r="X628" s="72">
        <v>1000</v>
      </c>
      <c r="Y628" s="73">
        <v>6550</v>
      </c>
      <c r="Z628" s="72">
        <v>0</v>
      </c>
      <c r="AA628" s="73">
        <v>0</v>
      </c>
      <c r="AB628" s="72">
        <v>38</v>
      </c>
      <c r="AC628" s="73">
        <v>248.9</v>
      </c>
      <c r="AD628" s="72">
        <v>0</v>
      </c>
      <c r="AE628" s="73">
        <v>0</v>
      </c>
      <c r="AF628" s="72">
        <v>0</v>
      </c>
      <c r="AG628" s="88">
        <v>0</v>
      </c>
      <c r="AH628"/>
    </row>
    <row r="629" spans="1:34">
      <c r="B629" s="114">
        <v>610</v>
      </c>
      <c r="C629" s="117">
        <v>51</v>
      </c>
      <c r="D629" s="117"/>
      <c r="E629" s="117" t="s">
        <v>1220</v>
      </c>
      <c r="F629" s="117" t="s">
        <v>1221</v>
      </c>
      <c r="G629" s="117" t="s">
        <v>1228</v>
      </c>
      <c r="H629" s="117" t="s">
        <v>1229</v>
      </c>
      <c r="I629" s="120"/>
      <c r="J629" s="84">
        <v>125</v>
      </c>
      <c r="K629" s="73">
        <v>7750</v>
      </c>
      <c r="L629" s="72">
        <v>75</v>
      </c>
      <c r="M629" s="73">
        <v>4650</v>
      </c>
      <c r="N629" s="72">
        <v>0</v>
      </c>
      <c r="O629" s="73">
        <v>0</v>
      </c>
      <c r="P629" s="72">
        <v>0</v>
      </c>
      <c r="Q629" s="73">
        <v>0</v>
      </c>
      <c r="R629" s="72">
        <v>0</v>
      </c>
      <c r="S629" s="73">
        <v>0</v>
      </c>
      <c r="T629" s="72">
        <v>0</v>
      </c>
      <c r="U629" s="73">
        <v>0</v>
      </c>
      <c r="V629" s="72">
        <v>0</v>
      </c>
      <c r="W629" s="73">
        <v>0</v>
      </c>
      <c r="X629" s="72">
        <v>100</v>
      </c>
      <c r="Y629" s="73">
        <v>6200</v>
      </c>
      <c r="Z629" s="72">
        <v>0</v>
      </c>
      <c r="AA629" s="73">
        <v>0</v>
      </c>
      <c r="AB629" s="72">
        <v>0</v>
      </c>
      <c r="AC629" s="73">
        <v>0</v>
      </c>
      <c r="AD629" s="72">
        <v>0</v>
      </c>
      <c r="AE629" s="73">
        <v>0</v>
      </c>
      <c r="AF629" s="72">
        <v>0</v>
      </c>
      <c r="AG629" s="88">
        <v>0</v>
      </c>
      <c r="AH629"/>
    </row>
    <row r="630" spans="1:34">
      <c r="B630" s="114">
        <v>611</v>
      </c>
      <c r="C630" s="117">
        <v>51</v>
      </c>
      <c r="D630" s="117"/>
      <c r="E630" s="117" t="s">
        <v>1220</v>
      </c>
      <c r="F630" s="117" t="s">
        <v>1221</v>
      </c>
      <c r="G630" s="117" t="s">
        <v>1226</v>
      </c>
      <c r="H630" s="117" t="s">
        <v>1227</v>
      </c>
      <c r="I630" s="120"/>
      <c r="J630" s="84">
        <v>300</v>
      </c>
      <c r="K630" s="73">
        <v>7590</v>
      </c>
      <c r="L630" s="72">
        <v>150</v>
      </c>
      <c r="M630" s="73">
        <v>3795</v>
      </c>
      <c r="N630" s="72">
        <v>0</v>
      </c>
      <c r="O630" s="73">
        <v>0</v>
      </c>
      <c r="P630" s="72">
        <v>200</v>
      </c>
      <c r="Q630" s="73">
        <v>5060</v>
      </c>
      <c r="R630" s="72">
        <v>300</v>
      </c>
      <c r="S630" s="73">
        <v>7590</v>
      </c>
      <c r="T630" s="72">
        <v>0</v>
      </c>
      <c r="U630" s="73">
        <v>0</v>
      </c>
      <c r="V630" s="72">
        <v>0</v>
      </c>
      <c r="W630" s="73">
        <v>0</v>
      </c>
      <c r="X630" s="72">
        <v>500</v>
      </c>
      <c r="Y630" s="73">
        <v>12650</v>
      </c>
      <c r="Z630" s="72">
        <v>0</v>
      </c>
      <c r="AA630" s="73">
        <v>0</v>
      </c>
      <c r="AB630" s="72">
        <v>0</v>
      </c>
      <c r="AC630" s="73">
        <v>0</v>
      </c>
      <c r="AD630" s="72">
        <v>0</v>
      </c>
      <c r="AE630" s="73">
        <v>0</v>
      </c>
      <c r="AF630" s="72">
        <v>0</v>
      </c>
      <c r="AG630" s="88">
        <v>0</v>
      </c>
      <c r="AH630"/>
    </row>
    <row r="631" spans="1:34">
      <c r="B631" s="114">
        <v>612</v>
      </c>
      <c r="C631" s="117">
        <v>51</v>
      </c>
      <c r="D631" s="117"/>
      <c r="E631" s="117" t="s">
        <v>1232</v>
      </c>
      <c r="F631" s="117" t="s">
        <v>1233</v>
      </c>
      <c r="G631" s="117" t="s">
        <v>1234</v>
      </c>
      <c r="H631" s="117" t="s">
        <v>1235</v>
      </c>
      <c r="I631" s="120"/>
      <c r="J631" s="84">
        <v>0</v>
      </c>
      <c r="K631" s="73">
        <v>0</v>
      </c>
      <c r="L631" s="72">
        <v>0</v>
      </c>
      <c r="M631" s="73">
        <v>0</v>
      </c>
      <c r="N631" s="72">
        <v>0</v>
      </c>
      <c r="O631" s="73">
        <v>0</v>
      </c>
      <c r="P631" s="72">
        <v>0</v>
      </c>
      <c r="Q631" s="73">
        <v>0</v>
      </c>
      <c r="R631" s="72">
        <v>0</v>
      </c>
      <c r="S631" s="73">
        <v>0</v>
      </c>
      <c r="T631" s="72">
        <v>0</v>
      </c>
      <c r="U631" s="73">
        <v>0</v>
      </c>
      <c r="V631" s="72">
        <v>0</v>
      </c>
      <c r="W631" s="73">
        <v>0</v>
      </c>
      <c r="X631" s="72">
        <v>0</v>
      </c>
      <c r="Y631" s="73">
        <v>0</v>
      </c>
      <c r="Z631" s="72">
        <v>0</v>
      </c>
      <c r="AA631" s="73">
        <v>0</v>
      </c>
      <c r="AB631" s="72">
        <v>2758</v>
      </c>
      <c r="AC631" s="73">
        <v>234430</v>
      </c>
      <c r="AD631" s="72">
        <v>0</v>
      </c>
      <c r="AE631" s="73">
        <v>0</v>
      </c>
      <c r="AF631" s="72">
        <v>0</v>
      </c>
      <c r="AG631" s="88">
        <v>0</v>
      </c>
      <c r="AH631"/>
    </row>
    <row r="632" spans="1:34">
      <c r="B632" s="114">
        <v>613</v>
      </c>
      <c r="C632" s="117">
        <v>51</v>
      </c>
      <c r="D632" s="117"/>
      <c r="E632" s="117" t="s">
        <v>1236</v>
      </c>
      <c r="F632" s="117" t="s">
        <v>1237</v>
      </c>
      <c r="G632" s="117" t="s">
        <v>1240</v>
      </c>
      <c r="H632" s="117" t="s">
        <v>1241</v>
      </c>
      <c r="I632" s="120"/>
      <c r="J632" s="84">
        <v>0</v>
      </c>
      <c r="K632" s="73">
        <v>0</v>
      </c>
      <c r="L632" s="72">
        <v>0</v>
      </c>
      <c r="M632" s="73">
        <v>0</v>
      </c>
      <c r="N632" s="72">
        <v>0</v>
      </c>
      <c r="O632" s="73">
        <v>0</v>
      </c>
      <c r="P632" s="72">
        <v>0</v>
      </c>
      <c r="Q632" s="73">
        <v>0</v>
      </c>
      <c r="R632" s="72">
        <v>0</v>
      </c>
      <c r="S632" s="73">
        <v>0</v>
      </c>
      <c r="T632" s="72">
        <v>0</v>
      </c>
      <c r="U632" s="73">
        <v>0</v>
      </c>
      <c r="V632" s="72">
        <v>0</v>
      </c>
      <c r="W632" s="73">
        <v>0</v>
      </c>
      <c r="X632" s="72">
        <v>0</v>
      </c>
      <c r="Y632" s="73">
        <v>0</v>
      </c>
      <c r="Z632" s="72">
        <v>0</v>
      </c>
      <c r="AA632" s="73">
        <v>0</v>
      </c>
      <c r="AB632" s="72">
        <v>1605</v>
      </c>
      <c r="AC632" s="73">
        <v>138.05</v>
      </c>
      <c r="AD632" s="72">
        <v>0</v>
      </c>
      <c r="AE632" s="73">
        <v>0</v>
      </c>
      <c r="AF632" s="72">
        <v>0</v>
      </c>
      <c r="AG632" s="88">
        <v>0</v>
      </c>
      <c r="AH632"/>
    </row>
    <row r="633" spans="1:34">
      <c r="B633" s="114">
        <v>614</v>
      </c>
      <c r="C633" s="117">
        <v>51</v>
      </c>
      <c r="D633" s="117"/>
      <c r="E633" s="117" t="s">
        <v>1236</v>
      </c>
      <c r="F633" s="117" t="s">
        <v>1237</v>
      </c>
      <c r="G633" s="117" t="s">
        <v>1238</v>
      </c>
      <c r="H633" s="117" t="s">
        <v>1239</v>
      </c>
      <c r="I633" s="120"/>
      <c r="J633" s="84">
        <v>0</v>
      </c>
      <c r="K633" s="73">
        <v>0</v>
      </c>
      <c r="L633" s="72">
        <v>0</v>
      </c>
      <c r="M633" s="73">
        <v>0</v>
      </c>
      <c r="N633" s="72">
        <v>0</v>
      </c>
      <c r="O633" s="73">
        <v>0</v>
      </c>
      <c r="P633" s="72">
        <v>0</v>
      </c>
      <c r="Q633" s="73">
        <v>0</v>
      </c>
      <c r="R633" s="72">
        <v>0</v>
      </c>
      <c r="S633" s="73">
        <v>0</v>
      </c>
      <c r="T633" s="72">
        <v>0</v>
      </c>
      <c r="U633" s="73">
        <v>0</v>
      </c>
      <c r="V633" s="72">
        <v>0</v>
      </c>
      <c r="W633" s="73">
        <v>0</v>
      </c>
      <c r="X633" s="72">
        <v>0</v>
      </c>
      <c r="Y633" s="73">
        <v>0</v>
      </c>
      <c r="Z633" s="72">
        <v>0</v>
      </c>
      <c r="AA633" s="73">
        <v>0</v>
      </c>
      <c r="AB633" s="72">
        <v>27</v>
      </c>
      <c r="AC633" s="73">
        <v>4.86</v>
      </c>
      <c r="AD633" s="72">
        <v>0</v>
      </c>
      <c r="AE633" s="73">
        <v>0</v>
      </c>
      <c r="AF633" s="72">
        <v>0</v>
      </c>
      <c r="AG633" s="88">
        <v>0</v>
      </c>
      <c r="AH633"/>
    </row>
    <row r="634" spans="1:34">
      <c r="B634" s="114">
        <v>615</v>
      </c>
      <c r="C634" s="117">
        <v>51</v>
      </c>
      <c r="D634" s="117"/>
      <c r="E634" s="117" t="s">
        <v>1242</v>
      </c>
      <c r="F634" s="117" t="s">
        <v>1243</v>
      </c>
      <c r="G634" s="117" t="s">
        <v>1244</v>
      </c>
      <c r="H634" s="117" t="s">
        <v>1245</v>
      </c>
      <c r="I634" s="120"/>
      <c r="J634" s="84">
        <v>0</v>
      </c>
      <c r="K634" s="73">
        <v>0</v>
      </c>
      <c r="L634" s="72">
        <v>0</v>
      </c>
      <c r="M634" s="73">
        <v>0</v>
      </c>
      <c r="N634" s="72">
        <v>0</v>
      </c>
      <c r="O634" s="73">
        <v>0</v>
      </c>
      <c r="P634" s="72">
        <v>0</v>
      </c>
      <c r="Q634" s="73">
        <v>0</v>
      </c>
      <c r="R634" s="72">
        <v>0</v>
      </c>
      <c r="S634" s="73">
        <v>0</v>
      </c>
      <c r="T634" s="72">
        <v>1000</v>
      </c>
      <c r="U634" s="73">
        <v>400</v>
      </c>
      <c r="V634" s="72">
        <v>0</v>
      </c>
      <c r="W634" s="73">
        <v>0</v>
      </c>
      <c r="X634" s="72">
        <v>0</v>
      </c>
      <c r="Y634" s="73">
        <v>0</v>
      </c>
      <c r="Z634" s="72">
        <v>0</v>
      </c>
      <c r="AA634" s="73">
        <v>0</v>
      </c>
      <c r="AB634" s="72">
        <v>0</v>
      </c>
      <c r="AC634" s="73">
        <v>0</v>
      </c>
      <c r="AD634" s="72">
        <v>0</v>
      </c>
      <c r="AE634" s="73">
        <v>0</v>
      </c>
      <c r="AF634" s="72">
        <v>0</v>
      </c>
      <c r="AG634" s="88">
        <v>0</v>
      </c>
      <c r="AH634"/>
    </row>
    <row r="635" spans="1:34">
      <c r="B635" s="114">
        <v>616</v>
      </c>
      <c r="C635" s="117">
        <v>51</v>
      </c>
      <c r="D635" s="117"/>
      <c r="E635" s="117" t="s">
        <v>1246</v>
      </c>
      <c r="F635" s="117" t="s">
        <v>1247</v>
      </c>
      <c r="G635" s="117" t="s">
        <v>1248</v>
      </c>
      <c r="H635" s="117" t="s">
        <v>1249</v>
      </c>
      <c r="I635" s="120"/>
      <c r="J635" s="84">
        <v>400</v>
      </c>
      <c r="K635" s="73">
        <v>8800</v>
      </c>
      <c r="L635" s="72">
        <v>300</v>
      </c>
      <c r="M635" s="73">
        <v>6600</v>
      </c>
      <c r="N635" s="72">
        <v>300</v>
      </c>
      <c r="O635" s="73">
        <v>6600</v>
      </c>
      <c r="P635" s="72">
        <v>500</v>
      </c>
      <c r="Q635" s="73">
        <v>11000</v>
      </c>
      <c r="R635" s="72">
        <v>0</v>
      </c>
      <c r="S635" s="73">
        <v>0</v>
      </c>
      <c r="T635" s="72">
        <v>0</v>
      </c>
      <c r="U635" s="73">
        <v>0</v>
      </c>
      <c r="V635" s="72">
        <v>0</v>
      </c>
      <c r="W635" s="73">
        <v>0</v>
      </c>
      <c r="X635" s="72">
        <v>0</v>
      </c>
      <c r="Y635" s="73">
        <v>0</v>
      </c>
      <c r="Z635" s="72">
        <v>0</v>
      </c>
      <c r="AA635" s="73">
        <v>0</v>
      </c>
      <c r="AB635" s="72">
        <v>0</v>
      </c>
      <c r="AC635" s="73">
        <v>0</v>
      </c>
      <c r="AD635" s="72">
        <v>0</v>
      </c>
      <c r="AE635" s="73">
        <v>0</v>
      </c>
      <c r="AF635" s="72">
        <v>0</v>
      </c>
      <c r="AG635" s="88">
        <v>0</v>
      </c>
      <c r="AH635"/>
    </row>
    <row r="636" spans="1:34">
      <c r="B636" s="114">
        <v>617</v>
      </c>
      <c r="C636" s="117">
        <v>51</v>
      </c>
      <c r="D636" s="117"/>
      <c r="E636" s="117" t="s">
        <v>1250</v>
      </c>
      <c r="F636" s="117" t="s">
        <v>1251</v>
      </c>
      <c r="G636" s="117" t="s">
        <v>1126</v>
      </c>
      <c r="H636" s="117" t="s">
        <v>1127</v>
      </c>
      <c r="I636" s="120"/>
      <c r="J636" s="84">
        <v>400</v>
      </c>
      <c r="K636" s="73">
        <v>6200</v>
      </c>
      <c r="L636" s="72">
        <v>400</v>
      </c>
      <c r="M636" s="73">
        <v>6200</v>
      </c>
      <c r="N636" s="72">
        <v>200</v>
      </c>
      <c r="O636" s="73">
        <v>3100</v>
      </c>
      <c r="P636" s="72">
        <v>0</v>
      </c>
      <c r="Q636" s="73">
        <v>0</v>
      </c>
      <c r="R636" s="72">
        <v>0</v>
      </c>
      <c r="S636" s="73">
        <v>0</v>
      </c>
      <c r="T636" s="72">
        <v>0</v>
      </c>
      <c r="U636" s="73">
        <v>0</v>
      </c>
      <c r="V636" s="72">
        <v>0</v>
      </c>
      <c r="W636" s="73">
        <v>0</v>
      </c>
      <c r="X636" s="72">
        <v>0</v>
      </c>
      <c r="Y636" s="73">
        <v>0</v>
      </c>
      <c r="Z636" s="72">
        <v>0</v>
      </c>
      <c r="AA636" s="73">
        <v>0</v>
      </c>
      <c r="AB636" s="72">
        <v>0</v>
      </c>
      <c r="AC636" s="73">
        <v>0</v>
      </c>
      <c r="AD636" s="72">
        <v>0</v>
      </c>
      <c r="AE636" s="73">
        <v>0</v>
      </c>
      <c r="AF636" s="72">
        <v>0</v>
      </c>
      <c r="AG636" s="88">
        <v>0</v>
      </c>
      <c r="AH636"/>
    </row>
    <row r="637" spans="1:34">
      <c r="B637" s="114">
        <v>618</v>
      </c>
      <c r="C637" s="117">
        <v>51</v>
      </c>
      <c r="D637" s="117"/>
      <c r="E637" s="117" t="s">
        <v>1250</v>
      </c>
      <c r="F637" s="117" t="s">
        <v>1251</v>
      </c>
      <c r="G637" s="117" t="s">
        <v>1252</v>
      </c>
      <c r="H637" s="117" t="s">
        <v>1253</v>
      </c>
      <c r="I637" s="120" t="s">
        <v>1207</v>
      </c>
      <c r="J637" s="84">
        <v>0</v>
      </c>
      <c r="K637" s="73">
        <v>0</v>
      </c>
      <c r="L637" s="72">
        <v>400</v>
      </c>
      <c r="M637" s="73">
        <v>6400</v>
      </c>
      <c r="N637" s="72">
        <v>200</v>
      </c>
      <c r="O637" s="73">
        <v>3200</v>
      </c>
      <c r="P637" s="72">
        <v>0</v>
      </c>
      <c r="Q637" s="73">
        <v>0</v>
      </c>
      <c r="R637" s="72">
        <v>0</v>
      </c>
      <c r="S637" s="73">
        <v>0</v>
      </c>
      <c r="T637" s="72">
        <v>0</v>
      </c>
      <c r="U637" s="73">
        <v>0</v>
      </c>
      <c r="V637" s="72">
        <v>0</v>
      </c>
      <c r="W637" s="73">
        <v>0</v>
      </c>
      <c r="X637" s="72">
        <v>0</v>
      </c>
      <c r="Y637" s="73">
        <v>0</v>
      </c>
      <c r="Z637" s="72">
        <v>0</v>
      </c>
      <c r="AA637" s="73">
        <v>0</v>
      </c>
      <c r="AB637" s="72">
        <v>0</v>
      </c>
      <c r="AC637" s="73">
        <v>0</v>
      </c>
      <c r="AD637" s="72">
        <v>0</v>
      </c>
      <c r="AE637" s="73">
        <v>0</v>
      </c>
      <c r="AF637" s="72">
        <v>0</v>
      </c>
      <c r="AG637" s="88">
        <v>0</v>
      </c>
      <c r="AH637"/>
    </row>
    <row r="638" spans="1:34">
      <c r="B638" s="114">
        <v>619</v>
      </c>
      <c r="C638" s="117">
        <v>51</v>
      </c>
      <c r="D638" s="117"/>
      <c r="E638" s="117" t="s">
        <v>1250</v>
      </c>
      <c r="F638" s="117" t="s">
        <v>1251</v>
      </c>
      <c r="G638" s="117" t="s">
        <v>1128</v>
      </c>
      <c r="H638" s="117" t="s">
        <v>1129</v>
      </c>
      <c r="I638" s="120"/>
      <c r="J638" s="84">
        <v>150</v>
      </c>
      <c r="K638" s="73">
        <v>2925</v>
      </c>
      <c r="L638" s="72">
        <v>0</v>
      </c>
      <c r="M638" s="73">
        <v>0</v>
      </c>
      <c r="N638" s="72">
        <v>0</v>
      </c>
      <c r="O638" s="73">
        <v>0</v>
      </c>
      <c r="P638" s="72">
        <v>0</v>
      </c>
      <c r="Q638" s="73">
        <v>0</v>
      </c>
      <c r="R638" s="72">
        <v>0</v>
      </c>
      <c r="S638" s="73">
        <v>0</v>
      </c>
      <c r="T638" s="72">
        <v>0</v>
      </c>
      <c r="U638" s="73">
        <v>0</v>
      </c>
      <c r="V638" s="72">
        <v>0</v>
      </c>
      <c r="W638" s="73">
        <v>0</v>
      </c>
      <c r="X638" s="72">
        <v>0</v>
      </c>
      <c r="Y638" s="73">
        <v>0</v>
      </c>
      <c r="Z638" s="72">
        <v>0</v>
      </c>
      <c r="AA638" s="73">
        <v>0</v>
      </c>
      <c r="AB638" s="72">
        <v>0</v>
      </c>
      <c r="AC638" s="73">
        <v>0</v>
      </c>
      <c r="AD638" s="72">
        <v>0</v>
      </c>
      <c r="AE638" s="73">
        <v>0</v>
      </c>
      <c r="AF638" s="72">
        <v>0</v>
      </c>
      <c r="AG638" s="88">
        <v>0</v>
      </c>
      <c r="AH638"/>
    </row>
    <row r="639" spans="1:34">
      <c r="B639" s="114">
        <v>620</v>
      </c>
      <c r="C639" s="117">
        <v>51</v>
      </c>
      <c r="D639" s="117"/>
      <c r="E639" s="117" t="s">
        <v>1254</v>
      </c>
      <c r="F639" s="117" t="s">
        <v>1255</v>
      </c>
      <c r="G639" s="117" t="s">
        <v>1261</v>
      </c>
      <c r="H639" s="117" t="s">
        <v>1260</v>
      </c>
      <c r="I639" s="120" t="s">
        <v>55</v>
      </c>
      <c r="J639" s="84">
        <v>0</v>
      </c>
      <c r="K639" s="73">
        <v>0</v>
      </c>
      <c r="L639" s="72">
        <v>600</v>
      </c>
      <c r="M639" s="73">
        <v>41184</v>
      </c>
      <c r="N639" s="72">
        <v>2220</v>
      </c>
      <c r="O639" s="73">
        <v>152380.8</v>
      </c>
      <c r="P639" s="72">
        <v>2700</v>
      </c>
      <c r="Q639" s="73">
        <v>185328</v>
      </c>
      <c r="R639" s="72">
        <v>3300</v>
      </c>
      <c r="S639" s="73">
        <v>226512</v>
      </c>
      <c r="T639" s="72">
        <v>2100</v>
      </c>
      <c r="U639" s="73">
        <v>144144</v>
      </c>
      <c r="V639" s="72">
        <v>2280</v>
      </c>
      <c r="W639" s="73">
        <v>156499.2</v>
      </c>
      <c r="X639" s="72">
        <v>2280</v>
      </c>
      <c r="Y639" s="73">
        <v>156499.2</v>
      </c>
      <c r="Z639" s="72">
        <v>2880</v>
      </c>
      <c r="AA639" s="73">
        <v>197683.2</v>
      </c>
      <c r="AB639" s="72">
        <v>576</v>
      </c>
      <c r="AC639" s="73">
        <v>39536.64</v>
      </c>
      <c r="AD639" s="72">
        <v>0</v>
      </c>
      <c r="AE639" s="73">
        <v>0</v>
      </c>
      <c r="AF639" s="72">
        <v>0</v>
      </c>
      <c r="AG639" s="88">
        <v>0</v>
      </c>
      <c r="AH639"/>
    </row>
    <row r="640" spans="1:34">
      <c r="B640" s="114">
        <v>621</v>
      </c>
      <c r="C640" s="117">
        <v>51</v>
      </c>
      <c r="D640" s="117"/>
      <c r="E640" s="117" t="s">
        <v>1254</v>
      </c>
      <c r="F640" s="117" t="s">
        <v>1255</v>
      </c>
      <c r="G640" s="117" t="s">
        <v>1256</v>
      </c>
      <c r="H640" s="117" t="s">
        <v>1257</v>
      </c>
      <c r="I640" s="120" t="s">
        <v>1258</v>
      </c>
      <c r="J640" s="84">
        <v>12480</v>
      </c>
      <c r="K640" s="73">
        <v>733824</v>
      </c>
      <c r="L640" s="72">
        <v>17760</v>
      </c>
      <c r="M640" s="73">
        <v>1044288</v>
      </c>
      <c r="N640" s="72">
        <v>13920</v>
      </c>
      <c r="O640" s="73">
        <v>818496</v>
      </c>
      <c r="P640" s="72">
        <v>15360</v>
      </c>
      <c r="Q640" s="73">
        <v>903168</v>
      </c>
      <c r="R640" s="72">
        <v>24528</v>
      </c>
      <c r="S640" s="73">
        <v>1442246.4</v>
      </c>
      <c r="T640" s="72">
        <v>14256</v>
      </c>
      <c r="U640" s="73">
        <v>838252.8</v>
      </c>
      <c r="V640" s="72">
        <v>17424</v>
      </c>
      <c r="W640" s="73">
        <v>1033308</v>
      </c>
      <c r="X640" s="72">
        <v>16656</v>
      </c>
      <c r="Y640" s="73">
        <v>990865.4399999999</v>
      </c>
      <c r="Z640" s="72">
        <v>13056</v>
      </c>
      <c r="AA640" s="73">
        <v>776701.4399999999</v>
      </c>
      <c r="AB640" s="72">
        <v>5904</v>
      </c>
      <c r="AC640" s="73">
        <v>351228.96</v>
      </c>
      <c r="AD640" s="72">
        <v>0</v>
      </c>
      <c r="AE640" s="73">
        <v>0</v>
      </c>
      <c r="AF640" s="72">
        <v>0</v>
      </c>
      <c r="AG640" s="88">
        <v>0</v>
      </c>
      <c r="AH640"/>
    </row>
    <row r="641" spans="1:34">
      <c r="B641" s="114">
        <v>622</v>
      </c>
      <c r="C641" s="117">
        <v>51</v>
      </c>
      <c r="D641" s="117"/>
      <c r="E641" s="117" t="s">
        <v>1254</v>
      </c>
      <c r="F641" s="117" t="s">
        <v>1255</v>
      </c>
      <c r="G641" s="117" t="s">
        <v>1264</v>
      </c>
      <c r="H641" s="117" t="s">
        <v>1265</v>
      </c>
      <c r="I641" s="120" t="s">
        <v>258</v>
      </c>
      <c r="J641" s="84">
        <v>4224</v>
      </c>
      <c r="K641" s="73">
        <v>182730.24</v>
      </c>
      <c r="L641" s="72">
        <v>6048</v>
      </c>
      <c r="M641" s="73">
        <v>261636.48</v>
      </c>
      <c r="N641" s="72">
        <v>2496</v>
      </c>
      <c r="O641" s="73">
        <v>107976.96</v>
      </c>
      <c r="P641" s="72">
        <v>4320</v>
      </c>
      <c r="Q641" s="73">
        <v>186883.2</v>
      </c>
      <c r="R641" s="72">
        <v>7680</v>
      </c>
      <c r="S641" s="73">
        <v>332236.8</v>
      </c>
      <c r="T641" s="72">
        <v>3648</v>
      </c>
      <c r="U641" s="73">
        <v>157812.48</v>
      </c>
      <c r="V641" s="72">
        <v>0</v>
      </c>
      <c r="W641" s="73">
        <v>0</v>
      </c>
      <c r="X641" s="72">
        <v>0</v>
      </c>
      <c r="Y641" s="73">
        <v>0</v>
      </c>
      <c r="Z641" s="72">
        <v>1920</v>
      </c>
      <c r="AA641" s="73">
        <v>83059.2</v>
      </c>
      <c r="AB641" s="72">
        <v>0</v>
      </c>
      <c r="AC641" s="73">
        <v>0</v>
      </c>
      <c r="AD641" s="72">
        <v>0</v>
      </c>
      <c r="AE641" s="73">
        <v>0</v>
      </c>
      <c r="AF641" s="72">
        <v>0</v>
      </c>
      <c r="AG641" s="88">
        <v>0</v>
      </c>
      <c r="AH641"/>
    </row>
    <row r="642" spans="1:34">
      <c r="B642" s="114">
        <v>623</v>
      </c>
      <c r="C642" s="117">
        <v>51</v>
      </c>
      <c r="D642" s="117"/>
      <c r="E642" s="117" t="s">
        <v>1254</v>
      </c>
      <c r="F642" s="117" t="s">
        <v>1255</v>
      </c>
      <c r="G642" s="117" t="s">
        <v>1267</v>
      </c>
      <c r="H642" s="117" t="s">
        <v>1257</v>
      </c>
      <c r="I642" s="120" t="s">
        <v>1258</v>
      </c>
      <c r="J642" s="84">
        <v>0</v>
      </c>
      <c r="K642" s="73">
        <v>0</v>
      </c>
      <c r="L642" s="72">
        <v>576</v>
      </c>
      <c r="M642" s="73">
        <v>39536.64</v>
      </c>
      <c r="N642" s="72">
        <v>2400</v>
      </c>
      <c r="O642" s="73">
        <v>164736</v>
      </c>
      <c r="P642" s="72">
        <v>2688</v>
      </c>
      <c r="Q642" s="73">
        <v>184504.32</v>
      </c>
      <c r="R642" s="72">
        <v>3264</v>
      </c>
      <c r="S642" s="73">
        <v>224040.96</v>
      </c>
      <c r="T642" s="72">
        <v>1344</v>
      </c>
      <c r="U642" s="73">
        <v>92252.16</v>
      </c>
      <c r="V642" s="72">
        <v>2880</v>
      </c>
      <c r="W642" s="73">
        <v>197683.2</v>
      </c>
      <c r="X642" s="72">
        <v>2304</v>
      </c>
      <c r="Y642" s="73">
        <v>158146.56</v>
      </c>
      <c r="Z642" s="72">
        <v>2880</v>
      </c>
      <c r="AA642" s="73">
        <v>197683.2</v>
      </c>
      <c r="AB642" s="72">
        <v>624</v>
      </c>
      <c r="AC642" s="73">
        <v>42831.36</v>
      </c>
      <c r="AD642" s="72">
        <v>0</v>
      </c>
      <c r="AE642" s="73">
        <v>0</v>
      </c>
      <c r="AF642" s="72">
        <v>0</v>
      </c>
      <c r="AG642" s="88">
        <v>0</v>
      </c>
      <c r="AH642"/>
    </row>
    <row r="643" spans="1:34">
      <c r="B643" s="114">
        <v>624</v>
      </c>
      <c r="C643" s="117">
        <v>51</v>
      </c>
      <c r="D643" s="117"/>
      <c r="E643" s="117" t="s">
        <v>1254</v>
      </c>
      <c r="F643" s="117" t="s">
        <v>1255</v>
      </c>
      <c r="G643" s="117" t="s">
        <v>1268</v>
      </c>
      <c r="H643" s="117" t="s">
        <v>1257</v>
      </c>
      <c r="I643" s="120" t="s">
        <v>1269</v>
      </c>
      <c r="J643" s="84">
        <v>4992</v>
      </c>
      <c r="K643" s="73">
        <v>207717.12</v>
      </c>
      <c r="L643" s="72">
        <v>4032</v>
      </c>
      <c r="M643" s="73">
        <v>167771.52</v>
      </c>
      <c r="N643" s="72">
        <v>6336</v>
      </c>
      <c r="O643" s="73">
        <v>263640.96</v>
      </c>
      <c r="P643" s="72">
        <v>5376</v>
      </c>
      <c r="Q643" s="73">
        <v>223695.36</v>
      </c>
      <c r="R643" s="72">
        <v>6080</v>
      </c>
      <c r="S643" s="73">
        <v>252988.8</v>
      </c>
      <c r="T643" s="72">
        <v>5504</v>
      </c>
      <c r="U643" s="73">
        <v>229021.44</v>
      </c>
      <c r="V643" s="72">
        <v>6272</v>
      </c>
      <c r="W643" s="73">
        <v>260977.92</v>
      </c>
      <c r="X643" s="72">
        <v>5376</v>
      </c>
      <c r="Y643" s="73">
        <v>223695.36</v>
      </c>
      <c r="Z643" s="72">
        <v>4032</v>
      </c>
      <c r="AA643" s="73">
        <v>167771.52</v>
      </c>
      <c r="AB643" s="72">
        <v>960</v>
      </c>
      <c r="AC643" s="73">
        <v>39945.6</v>
      </c>
      <c r="AD643" s="72">
        <v>0</v>
      </c>
      <c r="AE643" s="73">
        <v>0</v>
      </c>
      <c r="AF643" s="72">
        <v>0</v>
      </c>
      <c r="AG643" s="88">
        <v>0</v>
      </c>
      <c r="AH643"/>
    </row>
    <row r="644" spans="1:34">
      <c r="B644" s="114">
        <v>625</v>
      </c>
      <c r="C644" s="117">
        <v>51</v>
      </c>
      <c r="D644" s="117"/>
      <c r="E644" s="117" t="s">
        <v>1254</v>
      </c>
      <c r="F644" s="117" t="s">
        <v>1255</v>
      </c>
      <c r="G644" s="117" t="s">
        <v>1266</v>
      </c>
      <c r="H644" s="117" t="s">
        <v>1260</v>
      </c>
      <c r="I644" s="120" t="s">
        <v>323</v>
      </c>
      <c r="J644" s="84">
        <v>0</v>
      </c>
      <c r="K644" s="73">
        <v>0</v>
      </c>
      <c r="L644" s="72">
        <v>1680</v>
      </c>
      <c r="M644" s="73">
        <v>79632</v>
      </c>
      <c r="N644" s="72">
        <v>4928</v>
      </c>
      <c r="O644" s="73">
        <v>233587.2</v>
      </c>
      <c r="P644" s="72">
        <v>6720</v>
      </c>
      <c r="Q644" s="73">
        <v>318528</v>
      </c>
      <c r="R644" s="72">
        <v>11872</v>
      </c>
      <c r="S644" s="73">
        <v>562732.8</v>
      </c>
      <c r="T644" s="72">
        <v>3584</v>
      </c>
      <c r="U644" s="73">
        <v>169881.6</v>
      </c>
      <c r="V644" s="72">
        <v>4032</v>
      </c>
      <c r="W644" s="73">
        <v>191116.8</v>
      </c>
      <c r="X644" s="72">
        <v>5376</v>
      </c>
      <c r="Y644" s="73">
        <v>254822.4</v>
      </c>
      <c r="Z644" s="72">
        <v>9184</v>
      </c>
      <c r="AA644" s="73">
        <v>435321.6</v>
      </c>
      <c r="AB644" s="72">
        <v>0</v>
      </c>
      <c r="AC644" s="73">
        <v>0</v>
      </c>
      <c r="AD644" s="72">
        <v>0</v>
      </c>
      <c r="AE644" s="73">
        <v>0</v>
      </c>
      <c r="AF644" s="72">
        <v>0</v>
      </c>
      <c r="AG644" s="88">
        <v>0</v>
      </c>
      <c r="AH644"/>
    </row>
    <row r="645" spans="1:34">
      <c r="B645" s="114">
        <v>626</v>
      </c>
      <c r="C645" s="117">
        <v>51</v>
      </c>
      <c r="D645" s="117"/>
      <c r="E645" s="117" t="s">
        <v>1254</v>
      </c>
      <c r="F645" s="117" t="s">
        <v>1255</v>
      </c>
      <c r="G645" s="117" t="s">
        <v>1271</v>
      </c>
      <c r="H645" s="117" t="s">
        <v>1272</v>
      </c>
      <c r="I645" s="120" t="s">
        <v>316</v>
      </c>
      <c r="J645" s="84">
        <v>960</v>
      </c>
      <c r="K645" s="73">
        <v>31795.2</v>
      </c>
      <c r="L645" s="72">
        <v>2400</v>
      </c>
      <c r="M645" s="73">
        <v>79488</v>
      </c>
      <c r="N645" s="72">
        <v>3840</v>
      </c>
      <c r="O645" s="73">
        <v>127180.8</v>
      </c>
      <c r="P645" s="72">
        <v>2880</v>
      </c>
      <c r="Q645" s="73">
        <v>95385.60000000001</v>
      </c>
      <c r="R645" s="72">
        <v>4800</v>
      </c>
      <c r="S645" s="73">
        <v>158976</v>
      </c>
      <c r="T645" s="72">
        <v>2880</v>
      </c>
      <c r="U645" s="73">
        <v>95385.60000000001</v>
      </c>
      <c r="V645" s="72">
        <v>4320</v>
      </c>
      <c r="W645" s="73">
        <v>143078.4</v>
      </c>
      <c r="X645" s="72">
        <v>1440</v>
      </c>
      <c r="Y645" s="73">
        <v>47692.8</v>
      </c>
      <c r="Z645" s="72">
        <v>1920</v>
      </c>
      <c r="AA645" s="73">
        <v>63590.4</v>
      </c>
      <c r="AB645" s="72">
        <v>0</v>
      </c>
      <c r="AC645" s="73">
        <v>0</v>
      </c>
      <c r="AD645" s="72">
        <v>0</v>
      </c>
      <c r="AE645" s="73">
        <v>0</v>
      </c>
      <c r="AF645" s="72">
        <v>0</v>
      </c>
      <c r="AG645" s="88">
        <v>0</v>
      </c>
      <c r="AH645"/>
    </row>
    <row r="646" spans="1:34">
      <c r="B646" s="114">
        <v>627</v>
      </c>
      <c r="C646" s="117">
        <v>51</v>
      </c>
      <c r="D646" s="117"/>
      <c r="E646" s="117" t="s">
        <v>1254</v>
      </c>
      <c r="F646" s="117" t="s">
        <v>1255</v>
      </c>
      <c r="G646" s="117" t="s">
        <v>1259</v>
      </c>
      <c r="H646" s="117" t="s">
        <v>1260</v>
      </c>
      <c r="I646" s="120" t="s">
        <v>1258</v>
      </c>
      <c r="J646" s="84">
        <v>12480</v>
      </c>
      <c r="K646" s="73">
        <v>754915.2</v>
      </c>
      <c r="L646" s="72">
        <v>17760</v>
      </c>
      <c r="M646" s="73">
        <v>1074302.4</v>
      </c>
      <c r="N646" s="72">
        <v>15240</v>
      </c>
      <c r="O646" s="73">
        <v>921867.6</v>
      </c>
      <c r="P646" s="72">
        <v>14040</v>
      </c>
      <c r="Q646" s="73">
        <v>849279.6</v>
      </c>
      <c r="R646" s="72">
        <v>24480</v>
      </c>
      <c r="S646" s="73">
        <v>1480795.2</v>
      </c>
      <c r="T646" s="72">
        <v>14280</v>
      </c>
      <c r="U646" s="73">
        <v>863797.2</v>
      </c>
      <c r="V646" s="72">
        <v>17280</v>
      </c>
      <c r="W646" s="73">
        <v>1051754.4</v>
      </c>
      <c r="X646" s="72">
        <v>18540</v>
      </c>
      <c r="Y646" s="73">
        <v>1130940</v>
      </c>
      <c r="Z646" s="72">
        <v>9840</v>
      </c>
      <c r="AA646" s="73">
        <v>600240</v>
      </c>
      <c r="AB646" s="72">
        <v>5880</v>
      </c>
      <c r="AC646" s="73">
        <v>358680</v>
      </c>
      <c r="AD646" s="72">
        <v>0</v>
      </c>
      <c r="AE646" s="73">
        <v>0</v>
      </c>
      <c r="AF646" s="72">
        <v>0</v>
      </c>
      <c r="AG646" s="88">
        <v>0</v>
      </c>
      <c r="AH646"/>
    </row>
    <row r="647" spans="1:34">
      <c r="B647" s="114">
        <v>628</v>
      </c>
      <c r="C647" s="117">
        <v>51</v>
      </c>
      <c r="D647" s="117"/>
      <c r="E647" s="117" t="s">
        <v>1254</v>
      </c>
      <c r="F647" s="117" t="s">
        <v>1255</v>
      </c>
      <c r="G647" s="117" t="s">
        <v>1273</v>
      </c>
      <c r="H647" s="117" t="s">
        <v>1260</v>
      </c>
      <c r="I647" s="120" t="s">
        <v>1269</v>
      </c>
      <c r="J647" s="84">
        <v>2700</v>
      </c>
      <c r="K647" s="73">
        <v>135162</v>
      </c>
      <c r="L647" s="72">
        <v>4200</v>
      </c>
      <c r="M647" s="73">
        <v>210252</v>
      </c>
      <c r="N647" s="72">
        <v>6360</v>
      </c>
      <c r="O647" s="73">
        <v>318381.6</v>
      </c>
      <c r="P647" s="72">
        <v>5280</v>
      </c>
      <c r="Q647" s="73">
        <v>264316.8</v>
      </c>
      <c r="R647" s="72">
        <v>6600</v>
      </c>
      <c r="S647" s="73">
        <v>330396</v>
      </c>
      <c r="T647" s="72">
        <v>5460</v>
      </c>
      <c r="U647" s="73">
        <v>273327.6</v>
      </c>
      <c r="V647" s="72">
        <v>6240</v>
      </c>
      <c r="W647" s="73">
        <v>312374.4</v>
      </c>
      <c r="X647" s="72">
        <v>5640</v>
      </c>
      <c r="Y647" s="73">
        <v>282338.4</v>
      </c>
      <c r="Z647" s="72">
        <v>5220</v>
      </c>
      <c r="AA647" s="73">
        <v>261313.2</v>
      </c>
      <c r="AB647" s="72">
        <v>960</v>
      </c>
      <c r="AC647" s="73">
        <v>48057.6</v>
      </c>
      <c r="AD647" s="72">
        <v>0</v>
      </c>
      <c r="AE647" s="73">
        <v>0</v>
      </c>
      <c r="AF647" s="72">
        <v>0</v>
      </c>
      <c r="AG647" s="88">
        <v>0</v>
      </c>
      <c r="AH647"/>
    </row>
    <row r="648" spans="1:34">
      <c r="B648" s="114">
        <v>629</v>
      </c>
      <c r="C648" s="117">
        <v>51</v>
      </c>
      <c r="D648" s="117"/>
      <c r="E648" s="117" t="s">
        <v>1254</v>
      </c>
      <c r="F648" s="117" t="s">
        <v>1255</v>
      </c>
      <c r="G648" s="117" t="s">
        <v>1270</v>
      </c>
      <c r="H648" s="117" t="s">
        <v>1257</v>
      </c>
      <c r="I648" s="120" t="s">
        <v>323</v>
      </c>
      <c r="J648" s="84">
        <v>0</v>
      </c>
      <c r="K648" s="73">
        <v>0</v>
      </c>
      <c r="L648" s="72">
        <v>1080</v>
      </c>
      <c r="M648" s="73">
        <v>48600</v>
      </c>
      <c r="N648" s="72">
        <v>4920</v>
      </c>
      <c r="O648" s="73">
        <v>221400</v>
      </c>
      <c r="P648" s="72">
        <v>6360</v>
      </c>
      <c r="Q648" s="73">
        <v>286200</v>
      </c>
      <c r="R648" s="72">
        <v>11880</v>
      </c>
      <c r="S648" s="73">
        <v>534600</v>
      </c>
      <c r="T648" s="72">
        <v>2280</v>
      </c>
      <c r="U648" s="73">
        <v>102600</v>
      </c>
      <c r="V648" s="72">
        <v>4560</v>
      </c>
      <c r="W648" s="73">
        <v>205200</v>
      </c>
      <c r="X648" s="72">
        <v>6120</v>
      </c>
      <c r="Y648" s="73">
        <v>275400</v>
      </c>
      <c r="Z648" s="72">
        <v>9360</v>
      </c>
      <c r="AA648" s="73">
        <v>421200</v>
      </c>
      <c r="AB648" s="72">
        <v>0</v>
      </c>
      <c r="AC648" s="73">
        <v>0</v>
      </c>
      <c r="AD648" s="72">
        <v>0</v>
      </c>
      <c r="AE648" s="73">
        <v>0</v>
      </c>
      <c r="AF648" s="72">
        <v>0</v>
      </c>
      <c r="AG648" s="88">
        <v>0</v>
      </c>
      <c r="AH648"/>
    </row>
    <row r="649" spans="1:34">
      <c r="B649" s="114">
        <v>630</v>
      </c>
      <c r="C649" s="117">
        <v>51</v>
      </c>
      <c r="D649" s="117"/>
      <c r="E649" s="117" t="s">
        <v>1254</v>
      </c>
      <c r="F649" s="117" t="s">
        <v>1255</v>
      </c>
      <c r="G649" s="117" t="s">
        <v>1262</v>
      </c>
      <c r="H649" s="117" t="s">
        <v>1263</v>
      </c>
      <c r="I649" s="120" t="s">
        <v>258</v>
      </c>
      <c r="J649" s="84">
        <v>3996</v>
      </c>
      <c r="K649" s="73">
        <v>135824.04</v>
      </c>
      <c r="L649" s="72">
        <v>5616</v>
      </c>
      <c r="M649" s="73">
        <v>190887.84</v>
      </c>
      <c r="N649" s="72">
        <v>2808</v>
      </c>
      <c r="O649" s="73">
        <v>95443.92</v>
      </c>
      <c r="P649" s="72">
        <v>4428</v>
      </c>
      <c r="Q649" s="73">
        <v>150507.72</v>
      </c>
      <c r="R649" s="72">
        <v>8640</v>
      </c>
      <c r="S649" s="73">
        <v>293673.6</v>
      </c>
      <c r="T649" s="72">
        <v>2376</v>
      </c>
      <c r="U649" s="73">
        <v>80760.24000000001</v>
      </c>
      <c r="V649" s="72">
        <v>0</v>
      </c>
      <c r="W649" s="73">
        <v>0</v>
      </c>
      <c r="X649" s="72">
        <v>0</v>
      </c>
      <c r="Y649" s="73">
        <v>0</v>
      </c>
      <c r="Z649" s="72">
        <v>2160</v>
      </c>
      <c r="AA649" s="73">
        <v>73418.39999999999</v>
      </c>
      <c r="AB649" s="72">
        <v>0</v>
      </c>
      <c r="AC649" s="73">
        <v>0</v>
      </c>
      <c r="AD649" s="72">
        <v>0</v>
      </c>
      <c r="AE649" s="73">
        <v>0</v>
      </c>
      <c r="AF649" s="72">
        <v>0</v>
      </c>
      <c r="AG649" s="88">
        <v>0</v>
      </c>
      <c r="AH649"/>
    </row>
    <row r="650" spans="1:34">
      <c r="B650" s="114">
        <v>631</v>
      </c>
      <c r="C650" s="117">
        <v>51</v>
      </c>
      <c r="D650" s="117"/>
      <c r="E650" s="117" t="s">
        <v>1274</v>
      </c>
      <c r="F650" s="117" t="s">
        <v>1275</v>
      </c>
      <c r="G650" s="117" t="s">
        <v>1276</v>
      </c>
      <c r="H650" s="117" t="s">
        <v>300</v>
      </c>
      <c r="I650" s="120" t="s">
        <v>1277</v>
      </c>
      <c r="J650" s="84">
        <v>0</v>
      </c>
      <c r="K650" s="73">
        <v>0</v>
      </c>
      <c r="L650" s="72">
        <v>0</v>
      </c>
      <c r="M650" s="73">
        <v>0</v>
      </c>
      <c r="N650" s="72">
        <v>0</v>
      </c>
      <c r="O650" s="73">
        <v>0</v>
      </c>
      <c r="P650" s="72">
        <v>0</v>
      </c>
      <c r="Q650" s="73">
        <v>0</v>
      </c>
      <c r="R650" s="72">
        <v>0</v>
      </c>
      <c r="S650" s="73">
        <v>0</v>
      </c>
      <c r="T650" s="72">
        <v>0</v>
      </c>
      <c r="U650" s="73">
        <v>0</v>
      </c>
      <c r="V650" s="72">
        <v>0</v>
      </c>
      <c r="W650" s="73">
        <v>0</v>
      </c>
      <c r="X650" s="72">
        <v>0</v>
      </c>
      <c r="Y650" s="73">
        <v>0</v>
      </c>
      <c r="Z650" s="72">
        <v>0</v>
      </c>
      <c r="AA650" s="73">
        <v>0</v>
      </c>
      <c r="AB650" s="72">
        <v>3500</v>
      </c>
      <c r="AC650" s="73" t="str">
        <f>6545*$C818</f>
        <v>0</v>
      </c>
      <c r="AD650" s="72">
        <v>0</v>
      </c>
      <c r="AE650" s="73">
        <v>0</v>
      </c>
      <c r="AF650" s="72">
        <v>0</v>
      </c>
      <c r="AG650" s="88">
        <v>0</v>
      </c>
      <c r="AH650"/>
    </row>
    <row r="651" spans="1:34">
      <c r="B651" s="114">
        <v>632</v>
      </c>
      <c r="C651" s="117">
        <v>51</v>
      </c>
      <c r="D651" s="117"/>
      <c r="E651" s="117" t="s">
        <v>1278</v>
      </c>
      <c r="F651" s="117" t="s">
        <v>1279</v>
      </c>
      <c r="G651" s="117" t="s">
        <v>1287</v>
      </c>
      <c r="H651" s="117" t="s">
        <v>1070</v>
      </c>
      <c r="I651" s="120" t="s">
        <v>623</v>
      </c>
      <c r="J651" s="84">
        <v>300</v>
      </c>
      <c r="K651" s="73" t="str">
        <f>3945*$C817</f>
        <v>0</v>
      </c>
      <c r="L651" s="72">
        <v>660</v>
      </c>
      <c r="M651" s="73" t="str">
        <f>8679*$C817</f>
        <v>0</v>
      </c>
      <c r="N651" s="72">
        <v>540</v>
      </c>
      <c r="O651" s="73" t="str">
        <f>7101*$C817</f>
        <v>0</v>
      </c>
      <c r="P651" s="72">
        <v>1200</v>
      </c>
      <c r="Q651" s="73" t="str">
        <f>15780*$C817</f>
        <v>0</v>
      </c>
      <c r="R651" s="72">
        <v>960</v>
      </c>
      <c r="S651" s="73" t="str">
        <f>12624*$C817</f>
        <v>0</v>
      </c>
      <c r="T651" s="72">
        <v>2400</v>
      </c>
      <c r="U651" s="73" t="str">
        <f>31560*$C817</f>
        <v>0</v>
      </c>
      <c r="V651" s="72">
        <v>0</v>
      </c>
      <c r="W651" s="73">
        <v>0</v>
      </c>
      <c r="X651" s="72">
        <v>2040</v>
      </c>
      <c r="Y651" s="73" t="str">
        <f>26826*$C817</f>
        <v>0</v>
      </c>
      <c r="Z651" s="72">
        <v>0</v>
      </c>
      <c r="AA651" s="73">
        <v>0</v>
      </c>
      <c r="AB651" s="72">
        <v>120</v>
      </c>
      <c r="AC651" s="73" t="str">
        <f>1444.8*$C817</f>
        <v>0</v>
      </c>
      <c r="AD651" s="72">
        <v>0</v>
      </c>
      <c r="AE651" s="73">
        <v>0</v>
      </c>
      <c r="AF651" s="72">
        <v>0</v>
      </c>
      <c r="AG651" s="88">
        <v>0</v>
      </c>
      <c r="AH651"/>
    </row>
    <row r="652" spans="1:34">
      <c r="B652" s="114">
        <v>633</v>
      </c>
      <c r="C652" s="117">
        <v>51</v>
      </c>
      <c r="D652" s="117"/>
      <c r="E652" s="117" t="s">
        <v>1278</v>
      </c>
      <c r="F652" s="117" t="s">
        <v>1279</v>
      </c>
      <c r="G652" s="117" t="s">
        <v>1293</v>
      </c>
      <c r="H652" s="117" t="s">
        <v>1079</v>
      </c>
      <c r="I652" s="120" t="s">
        <v>548</v>
      </c>
      <c r="J652" s="84">
        <v>180</v>
      </c>
      <c r="K652" s="73" t="str">
        <f>2518.2*$C817</f>
        <v>0</v>
      </c>
      <c r="L652" s="72">
        <v>840</v>
      </c>
      <c r="M652" s="73" t="str">
        <f>11751.6*$C817</f>
        <v>0</v>
      </c>
      <c r="N652" s="72">
        <v>960</v>
      </c>
      <c r="O652" s="73" t="str">
        <f>13430.4*$C817</f>
        <v>0</v>
      </c>
      <c r="P652" s="72">
        <v>1620</v>
      </c>
      <c r="Q652" s="73" t="str">
        <f>22663.8*$C817</f>
        <v>0</v>
      </c>
      <c r="R652" s="72">
        <v>1080</v>
      </c>
      <c r="S652" s="73" t="str">
        <f>15109.2*$C817</f>
        <v>0</v>
      </c>
      <c r="T652" s="72">
        <v>1740</v>
      </c>
      <c r="U652" s="73" t="str">
        <f>24342.6*$C817</f>
        <v>0</v>
      </c>
      <c r="V652" s="72">
        <v>0</v>
      </c>
      <c r="W652" s="73">
        <v>0</v>
      </c>
      <c r="X652" s="72">
        <v>1080</v>
      </c>
      <c r="Y652" s="73" t="str">
        <f>15109.2*$C817</f>
        <v>0</v>
      </c>
      <c r="Z652" s="72">
        <v>120</v>
      </c>
      <c r="AA652" s="73" t="str">
        <f>1678.8*$C817</f>
        <v>0</v>
      </c>
      <c r="AB652" s="72">
        <v>540</v>
      </c>
      <c r="AC652" s="73" t="str">
        <f>6885*$C817</f>
        <v>0</v>
      </c>
      <c r="AD652" s="72">
        <v>0</v>
      </c>
      <c r="AE652" s="73">
        <v>0</v>
      </c>
      <c r="AF652" s="72">
        <v>0</v>
      </c>
      <c r="AG652" s="88">
        <v>0</v>
      </c>
      <c r="AH652"/>
    </row>
    <row r="653" spans="1:34">
      <c r="B653" s="114">
        <v>634</v>
      </c>
      <c r="C653" s="117">
        <v>51</v>
      </c>
      <c r="D653" s="117"/>
      <c r="E653" s="117" t="s">
        <v>1278</v>
      </c>
      <c r="F653" s="117" t="s">
        <v>1279</v>
      </c>
      <c r="G653" s="117" t="s">
        <v>1280</v>
      </c>
      <c r="H653" s="117" t="s">
        <v>1281</v>
      </c>
      <c r="I653" s="120" t="s">
        <v>623</v>
      </c>
      <c r="J653" s="84">
        <v>1440</v>
      </c>
      <c r="K653" s="73" t="str">
        <f>43315.2*$C817</f>
        <v>0</v>
      </c>
      <c r="L653" s="72">
        <v>800</v>
      </c>
      <c r="M653" s="73" t="str">
        <f>24064*$C817</f>
        <v>0</v>
      </c>
      <c r="N653" s="72">
        <v>1920</v>
      </c>
      <c r="O653" s="73" t="str">
        <f>59865.6*$C817</f>
        <v>0</v>
      </c>
      <c r="P653" s="72">
        <v>1120</v>
      </c>
      <c r="Q653" s="73" t="str">
        <f>36646.4*$C817</f>
        <v>0</v>
      </c>
      <c r="R653" s="72">
        <v>480</v>
      </c>
      <c r="S653" s="73" t="str">
        <f>15705.6*$C817</f>
        <v>0</v>
      </c>
      <c r="T653" s="72">
        <v>800</v>
      </c>
      <c r="U653" s="73" t="str">
        <f>26176*$C817</f>
        <v>0</v>
      </c>
      <c r="V653" s="72">
        <v>0</v>
      </c>
      <c r="W653" s="73">
        <v>0</v>
      </c>
      <c r="X653" s="72">
        <v>960</v>
      </c>
      <c r="Y653" s="73" t="str">
        <f>31411.2*$C817</f>
        <v>0</v>
      </c>
      <c r="Z653" s="72">
        <v>320</v>
      </c>
      <c r="AA653" s="73" t="str">
        <f>10470.4*$C817</f>
        <v>0</v>
      </c>
      <c r="AB653" s="72">
        <v>0</v>
      </c>
      <c r="AC653" s="73">
        <v>0</v>
      </c>
      <c r="AD653" s="72">
        <v>0</v>
      </c>
      <c r="AE653" s="73">
        <v>0</v>
      </c>
      <c r="AF653" s="72">
        <v>0</v>
      </c>
      <c r="AG653" s="88">
        <v>0</v>
      </c>
      <c r="AH653"/>
    </row>
    <row r="654" spans="1:34">
      <c r="B654" s="114">
        <v>635</v>
      </c>
      <c r="C654" s="117">
        <v>51</v>
      </c>
      <c r="D654" s="117"/>
      <c r="E654" s="117" t="s">
        <v>1278</v>
      </c>
      <c r="F654" s="117" t="s">
        <v>1279</v>
      </c>
      <c r="G654" s="117" t="s">
        <v>1282</v>
      </c>
      <c r="H654" s="117" t="s">
        <v>1070</v>
      </c>
      <c r="I654" s="120" t="s">
        <v>623</v>
      </c>
      <c r="J654" s="84">
        <v>660</v>
      </c>
      <c r="K654" s="73" t="str">
        <f>8665.8*$C817</f>
        <v>0</v>
      </c>
      <c r="L654" s="72">
        <v>660</v>
      </c>
      <c r="M654" s="73" t="str">
        <f>8665.8*$C817</f>
        <v>0</v>
      </c>
      <c r="N654" s="72">
        <v>240</v>
      </c>
      <c r="O654" s="73" t="str">
        <f>3151.2*$C817</f>
        <v>0</v>
      </c>
      <c r="P654" s="72">
        <v>1680</v>
      </c>
      <c r="Q654" s="73" t="str">
        <f>22058.4*$C817</f>
        <v>0</v>
      </c>
      <c r="R654" s="72">
        <v>960</v>
      </c>
      <c r="S654" s="73" t="str">
        <f>12604.8*$C817</f>
        <v>0</v>
      </c>
      <c r="T654" s="72">
        <v>2040</v>
      </c>
      <c r="U654" s="73" t="str">
        <f>26785.2*$C817</f>
        <v>0</v>
      </c>
      <c r="V654" s="72">
        <v>0</v>
      </c>
      <c r="W654" s="73">
        <v>0</v>
      </c>
      <c r="X654" s="72">
        <v>2160</v>
      </c>
      <c r="Y654" s="73" t="str">
        <f>28360.8*$C817</f>
        <v>0</v>
      </c>
      <c r="Z654" s="72">
        <v>0</v>
      </c>
      <c r="AA654" s="73">
        <v>0</v>
      </c>
      <c r="AB654" s="72">
        <v>300</v>
      </c>
      <c r="AC654" s="73" t="str">
        <f>3609*$C817</f>
        <v>0</v>
      </c>
      <c r="AD654" s="72">
        <v>0</v>
      </c>
      <c r="AE654" s="73">
        <v>0</v>
      </c>
      <c r="AF654" s="72">
        <v>0</v>
      </c>
      <c r="AG654" s="88">
        <v>0</v>
      </c>
      <c r="AH654"/>
    </row>
    <row r="655" spans="1:34">
      <c r="B655" s="114">
        <v>636</v>
      </c>
      <c r="C655" s="117">
        <v>51</v>
      </c>
      <c r="D655" s="117"/>
      <c r="E655" s="117" t="s">
        <v>1278</v>
      </c>
      <c r="F655" s="117" t="s">
        <v>1279</v>
      </c>
      <c r="G655" s="117" t="s">
        <v>1283</v>
      </c>
      <c r="H655" s="117" t="s">
        <v>1281</v>
      </c>
      <c r="I655" s="120" t="s">
        <v>623</v>
      </c>
      <c r="J655" s="84">
        <v>3150</v>
      </c>
      <c r="K655" s="73" t="str">
        <f>94311*$C817</f>
        <v>0</v>
      </c>
      <c r="L655" s="72">
        <v>1680</v>
      </c>
      <c r="M655" s="73" t="str">
        <f>50299.2*$C817</f>
        <v>0</v>
      </c>
      <c r="N655" s="72">
        <v>3760</v>
      </c>
      <c r="O655" s="73" t="str">
        <f>115900.8*$C817</f>
        <v>0</v>
      </c>
      <c r="P655" s="72">
        <v>2100</v>
      </c>
      <c r="Q655" s="73" t="str">
        <f>68418*$C817</f>
        <v>0</v>
      </c>
      <c r="R655" s="72">
        <v>2940</v>
      </c>
      <c r="S655" s="73" t="str">
        <f>95785.2*$C817</f>
        <v>0</v>
      </c>
      <c r="T655" s="72">
        <v>2310</v>
      </c>
      <c r="U655" s="73" t="str">
        <f>75259.8*$C817</f>
        <v>0</v>
      </c>
      <c r="V655" s="72">
        <v>0</v>
      </c>
      <c r="W655" s="73">
        <v>0</v>
      </c>
      <c r="X655" s="72">
        <v>1890</v>
      </c>
      <c r="Y655" s="73" t="str">
        <f>61576.2*$C817</f>
        <v>0</v>
      </c>
      <c r="Z655" s="72">
        <v>1260</v>
      </c>
      <c r="AA655" s="73" t="str">
        <f>41050.8*$C817</f>
        <v>0</v>
      </c>
      <c r="AB655" s="72">
        <v>0</v>
      </c>
      <c r="AC655" s="73">
        <v>0</v>
      </c>
      <c r="AD655" s="72">
        <v>0</v>
      </c>
      <c r="AE655" s="73">
        <v>0</v>
      </c>
      <c r="AF655" s="72">
        <v>0</v>
      </c>
      <c r="AG655" s="88">
        <v>0</v>
      </c>
      <c r="AH655"/>
    </row>
    <row r="656" spans="1:34">
      <c r="B656" s="114">
        <v>637</v>
      </c>
      <c r="C656" s="117">
        <v>51</v>
      </c>
      <c r="D656" s="117"/>
      <c r="E656" s="117" t="s">
        <v>1278</v>
      </c>
      <c r="F656" s="117" t="s">
        <v>1279</v>
      </c>
      <c r="G656" s="117" t="s">
        <v>608</v>
      </c>
      <c r="H656" s="117" t="s">
        <v>381</v>
      </c>
      <c r="I656" s="120" t="s">
        <v>609</v>
      </c>
      <c r="J656" s="84">
        <v>6000</v>
      </c>
      <c r="K656" s="73" t="str">
        <f>26760*$C817</f>
        <v>0</v>
      </c>
      <c r="L656" s="72">
        <v>6000</v>
      </c>
      <c r="M656" s="73" t="str">
        <f>26760*$C817</f>
        <v>0</v>
      </c>
      <c r="N656" s="72">
        <v>12000</v>
      </c>
      <c r="O656" s="73" t="str">
        <f>54480*$C817</f>
        <v>0</v>
      </c>
      <c r="P656" s="72">
        <v>6000</v>
      </c>
      <c r="Q656" s="73" t="str">
        <f>27240*$C817</f>
        <v>0</v>
      </c>
      <c r="R656" s="72">
        <v>6000</v>
      </c>
      <c r="S656" s="73" t="str">
        <f>27240*$C817</f>
        <v>0</v>
      </c>
      <c r="T656" s="72">
        <v>0</v>
      </c>
      <c r="U656" s="73">
        <v>0</v>
      </c>
      <c r="V656" s="72">
        <v>3106</v>
      </c>
      <c r="W656" s="73" t="str">
        <f>14101.24*$C817</f>
        <v>0</v>
      </c>
      <c r="X656" s="72">
        <v>0</v>
      </c>
      <c r="Y656" s="73">
        <v>0</v>
      </c>
      <c r="Z656" s="72">
        <v>0</v>
      </c>
      <c r="AA656" s="73">
        <v>0</v>
      </c>
      <c r="AB656" s="72">
        <v>0</v>
      </c>
      <c r="AC656" s="73">
        <v>0</v>
      </c>
      <c r="AD656" s="72">
        <v>0</v>
      </c>
      <c r="AE656" s="73">
        <v>0</v>
      </c>
      <c r="AF656" s="72">
        <v>0</v>
      </c>
      <c r="AG656" s="88">
        <v>0</v>
      </c>
      <c r="AH656"/>
    </row>
    <row r="657" spans="1:34">
      <c r="B657" s="114">
        <v>638</v>
      </c>
      <c r="C657" s="117">
        <v>51</v>
      </c>
      <c r="D657" s="117"/>
      <c r="E657" s="117" t="s">
        <v>1278</v>
      </c>
      <c r="F657" s="117" t="s">
        <v>1279</v>
      </c>
      <c r="G657" s="117" t="s">
        <v>1284</v>
      </c>
      <c r="H657" s="117" t="s">
        <v>1281</v>
      </c>
      <c r="I657" s="120" t="s">
        <v>623</v>
      </c>
      <c r="J657" s="84">
        <v>630</v>
      </c>
      <c r="K657" s="73" t="str">
        <f>18950.4*$C817</f>
        <v>0</v>
      </c>
      <c r="L657" s="72">
        <v>210</v>
      </c>
      <c r="M657" s="73" t="str">
        <f>6316.8*$C817</f>
        <v>0</v>
      </c>
      <c r="N657" s="72">
        <v>1050</v>
      </c>
      <c r="O657" s="73" t="str">
        <f>31584*$C817</f>
        <v>0</v>
      </c>
      <c r="P657" s="72">
        <v>420</v>
      </c>
      <c r="Q657" s="73" t="str">
        <f>13683.6*$C817</f>
        <v>0</v>
      </c>
      <c r="R657" s="72">
        <v>840</v>
      </c>
      <c r="S657" s="73" t="str">
        <f>27367.2*$C817</f>
        <v>0</v>
      </c>
      <c r="T657" s="72">
        <v>840</v>
      </c>
      <c r="U657" s="73" t="str">
        <f>27367.2*$C817</f>
        <v>0</v>
      </c>
      <c r="V657" s="72">
        <v>0</v>
      </c>
      <c r="W657" s="73">
        <v>0</v>
      </c>
      <c r="X657" s="72">
        <v>210</v>
      </c>
      <c r="Y657" s="73" t="str">
        <f>6841.8*$C817</f>
        <v>0</v>
      </c>
      <c r="Z657" s="72">
        <v>210</v>
      </c>
      <c r="AA657" s="73" t="str">
        <f>6841.8*$C817</f>
        <v>0</v>
      </c>
      <c r="AB657" s="72">
        <v>0</v>
      </c>
      <c r="AC657" s="73">
        <v>0</v>
      </c>
      <c r="AD657" s="72">
        <v>0</v>
      </c>
      <c r="AE657" s="73">
        <v>0</v>
      </c>
      <c r="AF657" s="72">
        <v>0</v>
      </c>
      <c r="AG657" s="88">
        <v>0</v>
      </c>
      <c r="AH657"/>
    </row>
    <row r="658" spans="1:34">
      <c r="B658" s="114">
        <v>639</v>
      </c>
      <c r="C658" s="117">
        <v>51</v>
      </c>
      <c r="D658" s="117"/>
      <c r="E658" s="117" t="s">
        <v>1278</v>
      </c>
      <c r="F658" s="117" t="s">
        <v>1279</v>
      </c>
      <c r="G658" s="117" t="s">
        <v>1288</v>
      </c>
      <c r="H658" s="117" t="s">
        <v>1281</v>
      </c>
      <c r="I658" s="120" t="s">
        <v>623</v>
      </c>
      <c r="J658" s="84">
        <v>480</v>
      </c>
      <c r="K658" s="73" t="str">
        <f>14438.4*$C817</f>
        <v>0</v>
      </c>
      <c r="L658" s="72">
        <v>320</v>
      </c>
      <c r="M658" s="73" t="str">
        <f>9625.6*$C817</f>
        <v>0</v>
      </c>
      <c r="N658" s="72">
        <v>960</v>
      </c>
      <c r="O658" s="73" t="str">
        <f>28876.8*$C817</f>
        <v>0</v>
      </c>
      <c r="P658" s="72">
        <v>320</v>
      </c>
      <c r="Q658" s="73" t="str">
        <f>10470.4*$C817</f>
        <v>0</v>
      </c>
      <c r="R658" s="72">
        <v>320</v>
      </c>
      <c r="S658" s="73" t="str">
        <f>10470.4*$C817</f>
        <v>0</v>
      </c>
      <c r="T658" s="72">
        <v>320</v>
      </c>
      <c r="U658" s="73" t="str">
        <f>10470.4*$C817</f>
        <v>0</v>
      </c>
      <c r="V658" s="72">
        <v>0</v>
      </c>
      <c r="W658" s="73">
        <v>0</v>
      </c>
      <c r="X658" s="72">
        <v>640</v>
      </c>
      <c r="Y658" s="73" t="str">
        <f>20940.8*$C817</f>
        <v>0</v>
      </c>
      <c r="Z658" s="72">
        <v>320</v>
      </c>
      <c r="AA658" s="73" t="str">
        <f>10470.4*$C817</f>
        <v>0</v>
      </c>
      <c r="AB658" s="72">
        <v>0</v>
      </c>
      <c r="AC658" s="73">
        <v>0</v>
      </c>
      <c r="AD658" s="72">
        <v>0</v>
      </c>
      <c r="AE658" s="73">
        <v>0</v>
      </c>
      <c r="AF658" s="72">
        <v>0</v>
      </c>
      <c r="AG658" s="88">
        <v>0</v>
      </c>
      <c r="AH658"/>
    </row>
    <row r="659" spans="1:34">
      <c r="B659" s="114">
        <v>640</v>
      </c>
      <c r="C659" s="117">
        <v>51</v>
      </c>
      <c r="D659" s="117"/>
      <c r="E659" s="117" t="s">
        <v>1278</v>
      </c>
      <c r="F659" s="117" t="s">
        <v>1279</v>
      </c>
      <c r="G659" s="117" t="s">
        <v>1289</v>
      </c>
      <c r="H659" s="117" t="s">
        <v>1281</v>
      </c>
      <c r="I659" s="120" t="s">
        <v>623</v>
      </c>
      <c r="J659" s="84">
        <v>1920</v>
      </c>
      <c r="K659" s="73" t="str">
        <f>57753.6*$C817</f>
        <v>0</v>
      </c>
      <c r="L659" s="72">
        <v>960</v>
      </c>
      <c r="M659" s="73" t="str">
        <f>28876.8*$C817</f>
        <v>0</v>
      </c>
      <c r="N659" s="72">
        <v>2880</v>
      </c>
      <c r="O659" s="73" t="str">
        <f>88742.4*$C817</f>
        <v>0</v>
      </c>
      <c r="P659" s="72">
        <v>320</v>
      </c>
      <c r="Q659" s="73" t="str">
        <f>10470.4*$C817</f>
        <v>0</v>
      </c>
      <c r="R659" s="72">
        <v>800</v>
      </c>
      <c r="S659" s="73" t="str">
        <f>26176*$C817</f>
        <v>0</v>
      </c>
      <c r="T659" s="72">
        <v>1280</v>
      </c>
      <c r="U659" s="73" t="str">
        <f>41881.6*$C817</f>
        <v>0</v>
      </c>
      <c r="V659" s="72">
        <v>0</v>
      </c>
      <c r="W659" s="73">
        <v>0</v>
      </c>
      <c r="X659" s="72">
        <v>960</v>
      </c>
      <c r="Y659" s="73" t="str">
        <f>31411.2*$C817</f>
        <v>0</v>
      </c>
      <c r="Z659" s="72">
        <v>320</v>
      </c>
      <c r="AA659" s="73" t="str">
        <f>10470.4*$C817</f>
        <v>0</v>
      </c>
      <c r="AB659" s="72">
        <v>0</v>
      </c>
      <c r="AC659" s="73">
        <v>0</v>
      </c>
      <c r="AD659" s="72">
        <v>0</v>
      </c>
      <c r="AE659" s="73">
        <v>0</v>
      </c>
      <c r="AF659" s="72">
        <v>0</v>
      </c>
      <c r="AG659" s="88">
        <v>0</v>
      </c>
      <c r="AH659"/>
    </row>
    <row r="660" spans="1:34">
      <c r="B660" s="114">
        <v>641</v>
      </c>
      <c r="C660" s="117">
        <v>51</v>
      </c>
      <c r="D660" s="117"/>
      <c r="E660" s="117" t="s">
        <v>1278</v>
      </c>
      <c r="F660" s="117" t="s">
        <v>1279</v>
      </c>
      <c r="G660" s="117" t="s">
        <v>1285</v>
      </c>
      <c r="H660" s="117" t="s">
        <v>1070</v>
      </c>
      <c r="I660" s="120" t="s">
        <v>623</v>
      </c>
      <c r="J660" s="84">
        <v>480</v>
      </c>
      <c r="K660" s="73" t="str">
        <f>4747.2*$C817</f>
        <v>0</v>
      </c>
      <c r="L660" s="72">
        <v>768</v>
      </c>
      <c r="M660" s="73" t="str">
        <f>7595.52*$C817</f>
        <v>0</v>
      </c>
      <c r="N660" s="72">
        <v>1152</v>
      </c>
      <c r="O660" s="73" t="str">
        <f>11393.28*$C817</f>
        <v>0</v>
      </c>
      <c r="P660" s="72">
        <v>768</v>
      </c>
      <c r="Q660" s="73" t="str">
        <f>7595.52*$C817</f>
        <v>0</v>
      </c>
      <c r="R660" s="72">
        <v>288</v>
      </c>
      <c r="S660" s="73" t="str">
        <f>2848.32*$C817</f>
        <v>0</v>
      </c>
      <c r="T660" s="72">
        <v>2688</v>
      </c>
      <c r="U660" s="73" t="str">
        <f>26584.32*$C817</f>
        <v>0</v>
      </c>
      <c r="V660" s="72">
        <v>0</v>
      </c>
      <c r="W660" s="73">
        <v>0</v>
      </c>
      <c r="X660" s="72">
        <v>3552</v>
      </c>
      <c r="Y660" s="73" t="str">
        <f>35129.28*$C817</f>
        <v>0</v>
      </c>
      <c r="Z660" s="72">
        <v>0</v>
      </c>
      <c r="AA660" s="73">
        <v>0</v>
      </c>
      <c r="AB660" s="72">
        <v>384</v>
      </c>
      <c r="AC660" s="73" t="str">
        <f>3479.04*$C817</f>
        <v>0</v>
      </c>
      <c r="AD660" s="72">
        <v>0</v>
      </c>
      <c r="AE660" s="73">
        <v>0</v>
      </c>
      <c r="AF660" s="72">
        <v>0</v>
      </c>
      <c r="AG660" s="88">
        <v>0</v>
      </c>
      <c r="AH660"/>
    </row>
    <row r="661" spans="1:34">
      <c r="B661" s="114">
        <v>642</v>
      </c>
      <c r="C661" s="117">
        <v>51</v>
      </c>
      <c r="D661" s="117"/>
      <c r="E661" s="117" t="s">
        <v>1278</v>
      </c>
      <c r="F661" s="117" t="s">
        <v>1279</v>
      </c>
      <c r="G661" s="117" t="s">
        <v>1290</v>
      </c>
      <c r="H661" s="117" t="s">
        <v>1074</v>
      </c>
      <c r="I661" s="120" t="s">
        <v>455</v>
      </c>
      <c r="J661" s="84">
        <v>720</v>
      </c>
      <c r="K661" s="73" t="str">
        <f>14083.2*$C817</f>
        <v>0</v>
      </c>
      <c r="L661" s="72">
        <v>1344</v>
      </c>
      <c r="M661" s="73" t="str">
        <f>26288.64*$C817</f>
        <v>0</v>
      </c>
      <c r="N661" s="72">
        <v>2256</v>
      </c>
      <c r="O661" s="73" t="str">
        <f>44127.36*$C817</f>
        <v>0</v>
      </c>
      <c r="P661" s="72">
        <v>0</v>
      </c>
      <c r="Q661" s="73">
        <v>0</v>
      </c>
      <c r="R661" s="72">
        <v>0</v>
      </c>
      <c r="S661" s="73">
        <v>0</v>
      </c>
      <c r="T661" s="72">
        <v>1440</v>
      </c>
      <c r="U661" s="73" t="str">
        <f>28166.4*$C817</f>
        <v>0</v>
      </c>
      <c r="V661" s="72">
        <v>0</v>
      </c>
      <c r="W661" s="73">
        <v>0</v>
      </c>
      <c r="X661" s="72">
        <v>1536</v>
      </c>
      <c r="Y661" s="73" t="str">
        <f>30044.16*$C817</f>
        <v>0</v>
      </c>
      <c r="Z661" s="72">
        <v>0</v>
      </c>
      <c r="AA661" s="73">
        <v>0</v>
      </c>
      <c r="AB661" s="72">
        <v>0</v>
      </c>
      <c r="AC661" s="73">
        <v>0</v>
      </c>
      <c r="AD661" s="72">
        <v>0</v>
      </c>
      <c r="AE661" s="73">
        <v>0</v>
      </c>
      <c r="AF661" s="72">
        <v>0</v>
      </c>
      <c r="AG661" s="88">
        <v>0</v>
      </c>
      <c r="AH661"/>
    </row>
    <row r="662" spans="1:34">
      <c r="B662" s="114">
        <v>643</v>
      </c>
      <c r="C662" s="117">
        <v>51</v>
      </c>
      <c r="D662" s="117"/>
      <c r="E662" s="117" t="s">
        <v>1278</v>
      </c>
      <c r="F662" s="117" t="s">
        <v>1279</v>
      </c>
      <c r="G662" s="117" t="s">
        <v>1291</v>
      </c>
      <c r="H662" s="117" t="s">
        <v>1070</v>
      </c>
      <c r="I662" s="120" t="s">
        <v>623</v>
      </c>
      <c r="J662" s="84">
        <v>480</v>
      </c>
      <c r="K662" s="73" t="str">
        <f>4732.8*$C817</f>
        <v>0</v>
      </c>
      <c r="L662" s="72">
        <v>768</v>
      </c>
      <c r="M662" s="73" t="str">
        <f>7572.48*$C817</f>
        <v>0</v>
      </c>
      <c r="N662" s="72">
        <v>672</v>
      </c>
      <c r="O662" s="73" t="str">
        <f>6625.92*$C817</f>
        <v>0</v>
      </c>
      <c r="P662" s="72">
        <v>1056</v>
      </c>
      <c r="Q662" s="73" t="str">
        <f>10412.16*$C817</f>
        <v>0</v>
      </c>
      <c r="R662" s="72">
        <v>672</v>
      </c>
      <c r="S662" s="73" t="str">
        <f>6625.92*$C817</f>
        <v>0</v>
      </c>
      <c r="T662" s="72">
        <v>2592</v>
      </c>
      <c r="U662" s="73" t="str">
        <f>25557.12*$C817</f>
        <v>0</v>
      </c>
      <c r="V662" s="72">
        <v>0</v>
      </c>
      <c r="W662" s="73">
        <v>0</v>
      </c>
      <c r="X662" s="72">
        <v>2784</v>
      </c>
      <c r="Y662" s="73" t="str">
        <f>27450.24*$C817</f>
        <v>0</v>
      </c>
      <c r="Z662" s="72">
        <v>0</v>
      </c>
      <c r="AA662" s="73">
        <v>0</v>
      </c>
      <c r="AB662" s="72">
        <v>384</v>
      </c>
      <c r="AC662" s="73" t="str">
        <f>3471.36*$C817</f>
        <v>0</v>
      </c>
      <c r="AD662" s="72">
        <v>0</v>
      </c>
      <c r="AE662" s="73">
        <v>0</v>
      </c>
      <c r="AF662" s="72">
        <v>0</v>
      </c>
      <c r="AG662" s="88">
        <v>0</v>
      </c>
      <c r="AH662"/>
    </row>
    <row r="663" spans="1:34">
      <c r="B663" s="114">
        <v>644</v>
      </c>
      <c r="C663" s="117">
        <v>51</v>
      </c>
      <c r="D663" s="117"/>
      <c r="E663" s="117" t="s">
        <v>1278</v>
      </c>
      <c r="F663" s="117" t="s">
        <v>1279</v>
      </c>
      <c r="G663" s="117" t="s">
        <v>1286</v>
      </c>
      <c r="H663" s="117" t="s">
        <v>1072</v>
      </c>
      <c r="I663" s="120" t="s">
        <v>548</v>
      </c>
      <c r="J663" s="84">
        <v>440</v>
      </c>
      <c r="K663" s="73" t="str">
        <f>6846.4*$C817</f>
        <v>0</v>
      </c>
      <c r="L663" s="72">
        <v>1320</v>
      </c>
      <c r="M663" s="73" t="str">
        <f>20539.2*$C817</f>
        <v>0</v>
      </c>
      <c r="N663" s="72">
        <v>1925</v>
      </c>
      <c r="O663" s="73" t="str">
        <f>29953*$C817</f>
        <v>0</v>
      </c>
      <c r="P663" s="72">
        <v>3410</v>
      </c>
      <c r="Q663" s="73" t="str">
        <f>53059.6*$C817</f>
        <v>0</v>
      </c>
      <c r="R663" s="72">
        <v>2420</v>
      </c>
      <c r="S663" s="73" t="str">
        <f>37655.2*$C817</f>
        <v>0</v>
      </c>
      <c r="T663" s="72">
        <v>2420</v>
      </c>
      <c r="U663" s="73" t="str">
        <f>37655.2*$C817</f>
        <v>0</v>
      </c>
      <c r="V663" s="72">
        <v>0</v>
      </c>
      <c r="W663" s="73">
        <v>0</v>
      </c>
      <c r="X663" s="72">
        <v>6270</v>
      </c>
      <c r="Y663" s="73" t="str">
        <f>97561.2*$C817</f>
        <v>0</v>
      </c>
      <c r="Z663" s="72">
        <v>0</v>
      </c>
      <c r="AA663" s="73">
        <v>0</v>
      </c>
      <c r="AB663" s="72">
        <v>715</v>
      </c>
      <c r="AC663" s="73" t="str">
        <f>10138.7*$C817</f>
        <v>0</v>
      </c>
      <c r="AD663" s="72">
        <v>0</v>
      </c>
      <c r="AE663" s="73">
        <v>0</v>
      </c>
      <c r="AF663" s="72">
        <v>0</v>
      </c>
      <c r="AG663" s="88">
        <v>0</v>
      </c>
      <c r="AH663"/>
    </row>
    <row r="664" spans="1:34">
      <c r="B664" s="114">
        <v>645</v>
      </c>
      <c r="C664" s="117">
        <v>51</v>
      </c>
      <c r="D664" s="117"/>
      <c r="E664" s="117" t="s">
        <v>1278</v>
      </c>
      <c r="F664" s="117" t="s">
        <v>1279</v>
      </c>
      <c r="G664" s="117" t="s">
        <v>1292</v>
      </c>
      <c r="H664" s="117" t="s">
        <v>1281</v>
      </c>
      <c r="I664" s="120" t="s">
        <v>623</v>
      </c>
      <c r="J664" s="84">
        <v>480</v>
      </c>
      <c r="K664" s="73" t="str">
        <f>14438.4*$C817</f>
        <v>0</v>
      </c>
      <c r="L664" s="72">
        <v>320</v>
      </c>
      <c r="M664" s="73" t="str">
        <f>9625.6*$C817</f>
        <v>0</v>
      </c>
      <c r="N664" s="72">
        <v>960</v>
      </c>
      <c r="O664" s="73" t="str">
        <f>28876.8*$C817</f>
        <v>0</v>
      </c>
      <c r="P664" s="72">
        <v>320</v>
      </c>
      <c r="Q664" s="73" t="str">
        <f>10470.4*$C817</f>
        <v>0</v>
      </c>
      <c r="R664" s="72">
        <v>320</v>
      </c>
      <c r="S664" s="73" t="str">
        <f>10470.4*$C817</f>
        <v>0</v>
      </c>
      <c r="T664" s="72">
        <v>0</v>
      </c>
      <c r="U664" s="73">
        <v>0</v>
      </c>
      <c r="V664" s="72">
        <v>0</v>
      </c>
      <c r="W664" s="73">
        <v>0</v>
      </c>
      <c r="X664" s="72">
        <v>640</v>
      </c>
      <c r="Y664" s="73" t="str">
        <f>20940.8*$C817</f>
        <v>0</v>
      </c>
      <c r="Z664" s="72">
        <v>320</v>
      </c>
      <c r="AA664" s="73" t="str">
        <f>10470.4*$C817</f>
        <v>0</v>
      </c>
      <c r="AB664" s="72">
        <v>0</v>
      </c>
      <c r="AC664" s="73">
        <v>0</v>
      </c>
      <c r="AD664" s="72">
        <v>0</v>
      </c>
      <c r="AE664" s="73">
        <v>0</v>
      </c>
      <c r="AF664" s="72">
        <v>0</v>
      </c>
      <c r="AG664" s="88">
        <v>0</v>
      </c>
      <c r="AH664"/>
    </row>
    <row r="665" spans="1:34">
      <c r="B665" s="114">
        <v>646</v>
      </c>
      <c r="C665" s="117">
        <v>52</v>
      </c>
      <c r="D665" s="117"/>
      <c r="E665" s="117" t="s">
        <v>1294</v>
      </c>
      <c r="F665" s="117" t="s">
        <v>1295</v>
      </c>
      <c r="G665" s="117" t="s">
        <v>1296</v>
      </c>
      <c r="H665" s="117" t="s">
        <v>917</v>
      </c>
      <c r="I665" s="120" t="s">
        <v>1297</v>
      </c>
      <c r="J665" s="84">
        <v>6000</v>
      </c>
      <c r="K665" s="73" t="str">
        <f>5058000*$C819</f>
        <v>0</v>
      </c>
      <c r="L665" s="72">
        <v>24600</v>
      </c>
      <c r="M665" s="73" t="str">
        <f>20737800*$C819</f>
        <v>0</v>
      </c>
      <c r="N665" s="72">
        <v>15300</v>
      </c>
      <c r="O665" s="73" t="str">
        <f>12897900*$C819</f>
        <v>0</v>
      </c>
      <c r="P665" s="72">
        <v>6800</v>
      </c>
      <c r="Q665" s="73" t="str">
        <f>5732400*$C819</f>
        <v>0</v>
      </c>
      <c r="R665" s="72">
        <v>10000</v>
      </c>
      <c r="S665" s="73" t="str">
        <f>8430000*$C819</f>
        <v>0</v>
      </c>
      <c r="T665" s="72">
        <v>11200</v>
      </c>
      <c r="U665" s="73" t="str">
        <f>9441600*$C819</f>
        <v>0</v>
      </c>
      <c r="V665" s="72">
        <v>13200</v>
      </c>
      <c r="W665" s="73" t="str">
        <f>11127600*$C819</f>
        <v>0</v>
      </c>
      <c r="X665" s="72">
        <v>4800</v>
      </c>
      <c r="Y665" s="73" t="str">
        <f>5083200*$C819</f>
        <v>0</v>
      </c>
      <c r="Z665" s="72">
        <v>2000</v>
      </c>
      <c r="AA665" s="73" t="str">
        <f>2118000*$C819</f>
        <v>0</v>
      </c>
      <c r="AB665" s="72">
        <v>0</v>
      </c>
      <c r="AC665" s="73">
        <v>0</v>
      </c>
      <c r="AD665" s="72">
        <v>0</v>
      </c>
      <c r="AE665" s="73">
        <v>0</v>
      </c>
      <c r="AF665" s="72">
        <v>0</v>
      </c>
      <c r="AG665" s="88">
        <v>0</v>
      </c>
      <c r="AH665"/>
    </row>
    <row r="666" spans="1:34">
      <c r="B666" s="114">
        <v>647</v>
      </c>
      <c r="C666" s="117">
        <v>51</v>
      </c>
      <c r="D666" s="117"/>
      <c r="E666" s="117" t="s">
        <v>1298</v>
      </c>
      <c r="F666" s="117" t="s">
        <v>1299</v>
      </c>
      <c r="G666" s="117" t="s">
        <v>1326</v>
      </c>
      <c r="H666" s="117" t="s">
        <v>1327</v>
      </c>
      <c r="I666" s="120" t="s">
        <v>623</v>
      </c>
      <c r="J666" s="84">
        <v>350</v>
      </c>
      <c r="K666" s="73" t="str">
        <f>1086050*$C819</f>
        <v>0</v>
      </c>
      <c r="L666" s="72">
        <v>1450</v>
      </c>
      <c r="M666" s="73" t="str">
        <f>4499350*$C819</f>
        <v>0</v>
      </c>
      <c r="N666" s="72">
        <v>4000</v>
      </c>
      <c r="O666" s="73" t="str">
        <f>12412000*$C819</f>
        <v>0</v>
      </c>
      <c r="P666" s="72">
        <v>2500</v>
      </c>
      <c r="Q666" s="73" t="str">
        <f>7757500*$C819</f>
        <v>0</v>
      </c>
      <c r="R666" s="72">
        <v>3600</v>
      </c>
      <c r="S666" s="73" t="str">
        <f>11170800*$C819</f>
        <v>0</v>
      </c>
      <c r="T666" s="72">
        <v>3100</v>
      </c>
      <c r="U666" s="73" t="str">
        <f>9619300*$C819</f>
        <v>0</v>
      </c>
      <c r="V666" s="72">
        <v>1800</v>
      </c>
      <c r="W666" s="73" t="str">
        <f>5585400*$C819</f>
        <v>0</v>
      </c>
      <c r="X666" s="72">
        <v>2300</v>
      </c>
      <c r="Y666" s="73" t="str">
        <f>7136900*$C819</f>
        <v>0</v>
      </c>
      <c r="Z666" s="72">
        <v>1900</v>
      </c>
      <c r="AA666" s="73" t="str">
        <f>5895700*$C819</f>
        <v>0</v>
      </c>
      <c r="AB666" s="72">
        <v>0</v>
      </c>
      <c r="AC666" s="73">
        <v>0</v>
      </c>
      <c r="AD666" s="72">
        <v>0</v>
      </c>
      <c r="AE666" s="73">
        <v>0</v>
      </c>
      <c r="AF666" s="72">
        <v>0</v>
      </c>
      <c r="AG666" s="88">
        <v>0</v>
      </c>
      <c r="AH666"/>
    </row>
    <row r="667" spans="1:34">
      <c r="B667" s="114">
        <v>648</v>
      </c>
      <c r="C667" s="117">
        <v>51</v>
      </c>
      <c r="D667" s="117"/>
      <c r="E667" s="117" t="s">
        <v>1298</v>
      </c>
      <c r="F667" s="117" t="s">
        <v>1299</v>
      </c>
      <c r="G667" s="117" t="s">
        <v>1344</v>
      </c>
      <c r="H667" s="117" t="s">
        <v>1345</v>
      </c>
      <c r="I667" s="120" t="s">
        <v>623</v>
      </c>
      <c r="J667" s="84">
        <v>200</v>
      </c>
      <c r="K667" s="73" t="str">
        <f>44400*$C819</f>
        <v>0</v>
      </c>
      <c r="L667" s="72">
        <v>100</v>
      </c>
      <c r="M667" s="73" t="str">
        <f>22200*$C819</f>
        <v>0</v>
      </c>
      <c r="N667" s="72">
        <v>900</v>
      </c>
      <c r="O667" s="73" t="str">
        <f>199800*$C819</f>
        <v>0</v>
      </c>
      <c r="P667" s="72">
        <v>3720</v>
      </c>
      <c r="Q667" s="73" t="str">
        <f>825840*$C819</f>
        <v>0</v>
      </c>
      <c r="R667" s="72">
        <v>2400</v>
      </c>
      <c r="S667" s="73" t="str">
        <f>532800*$C819</f>
        <v>0</v>
      </c>
      <c r="T667" s="72">
        <v>4810</v>
      </c>
      <c r="U667" s="73" t="str">
        <f>1067820*$C819</f>
        <v>0</v>
      </c>
      <c r="V667" s="72">
        <v>900</v>
      </c>
      <c r="W667" s="73" t="str">
        <f>199800*$C819</f>
        <v>0</v>
      </c>
      <c r="X667" s="72">
        <v>1350</v>
      </c>
      <c r="Y667" s="73" t="str">
        <f>299700*$C819</f>
        <v>0</v>
      </c>
      <c r="Z667" s="72">
        <v>2100</v>
      </c>
      <c r="AA667" s="73" t="str">
        <f>466200*$C819</f>
        <v>0</v>
      </c>
      <c r="AB667" s="72">
        <v>420</v>
      </c>
      <c r="AC667" s="73" t="str">
        <f>93240*$C819</f>
        <v>0</v>
      </c>
      <c r="AD667" s="72">
        <v>0</v>
      </c>
      <c r="AE667" s="73">
        <v>0</v>
      </c>
      <c r="AF667" s="72">
        <v>0</v>
      </c>
      <c r="AG667" s="88">
        <v>0</v>
      </c>
      <c r="AH667"/>
    </row>
    <row r="668" spans="1:34">
      <c r="B668" s="114">
        <v>649</v>
      </c>
      <c r="C668" s="117">
        <v>51</v>
      </c>
      <c r="D668" s="117"/>
      <c r="E668" s="117" t="s">
        <v>1298</v>
      </c>
      <c r="F668" s="117" t="s">
        <v>1299</v>
      </c>
      <c r="G668" s="117" t="s">
        <v>1331</v>
      </c>
      <c r="H668" s="117" t="s">
        <v>1332</v>
      </c>
      <c r="I668" s="120" t="s">
        <v>623</v>
      </c>
      <c r="J668" s="84">
        <v>900</v>
      </c>
      <c r="K668" s="73" t="str">
        <f>3478500*$C819</f>
        <v>0</v>
      </c>
      <c r="L668" s="72">
        <v>950</v>
      </c>
      <c r="M668" s="73" t="str">
        <f>3671750*$C819</f>
        <v>0</v>
      </c>
      <c r="N668" s="72">
        <v>1700</v>
      </c>
      <c r="O668" s="73" t="str">
        <f>6570500*$C819</f>
        <v>0</v>
      </c>
      <c r="P668" s="72">
        <v>1450</v>
      </c>
      <c r="Q668" s="73" t="str">
        <f>5604250*$C819</f>
        <v>0</v>
      </c>
      <c r="R668" s="72">
        <v>2300</v>
      </c>
      <c r="S668" s="73" t="str">
        <f>8889500*$C819</f>
        <v>0</v>
      </c>
      <c r="T668" s="72">
        <v>2100</v>
      </c>
      <c r="U668" s="73" t="str">
        <f>8116500*$C819</f>
        <v>0</v>
      </c>
      <c r="V668" s="72">
        <v>1100</v>
      </c>
      <c r="W668" s="73" t="str">
        <f>4251500*$C819</f>
        <v>0</v>
      </c>
      <c r="X668" s="72">
        <v>1600</v>
      </c>
      <c r="Y668" s="73" t="str">
        <f>6184000*$C819</f>
        <v>0</v>
      </c>
      <c r="Z668" s="72">
        <v>1400</v>
      </c>
      <c r="AA668" s="73" t="str">
        <f>5411000*$C819</f>
        <v>0</v>
      </c>
      <c r="AB668" s="72">
        <v>200</v>
      </c>
      <c r="AC668" s="73" t="str">
        <f>773000*$C819</f>
        <v>0</v>
      </c>
      <c r="AD668" s="72">
        <v>0</v>
      </c>
      <c r="AE668" s="73">
        <v>0</v>
      </c>
      <c r="AF668" s="72">
        <v>0</v>
      </c>
      <c r="AG668" s="88">
        <v>0</v>
      </c>
      <c r="AH668"/>
    </row>
    <row r="669" spans="1:34">
      <c r="B669" s="114">
        <v>650</v>
      </c>
      <c r="C669" s="117">
        <v>51</v>
      </c>
      <c r="D669" s="117"/>
      <c r="E669" s="117" t="s">
        <v>1298</v>
      </c>
      <c r="F669" s="117" t="s">
        <v>1299</v>
      </c>
      <c r="G669" s="117" t="s">
        <v>1350</v>
      </c>
      <c r="H669" s="117" t="s">
        <v>1351</v>
      </c>
      <c r="I669" s="120" t="s">
        <v>623</v>
      </c>
      <c r="J669" s="84">
        <v>4800</v>
      </c>
      <c r="K669" s="73" t="str">
        <f>139200*$C819</f>
        <v>0</v>
      </c>
      <c r="L669" s="72">
        <v>4200</v>
      </c>
      <c r="M669" s="73" t="str">
        <f>121800*$C819</f>
        <v>0</v>
      </c>
      <c r="N669" s="72">
        <v>15200</v>
      </c>
      <c r="O669" s="73" t="str">
        <f>440800*$C819</f>
        <v>0</v>
      </c>
      <c r="P669" s="72">
        <v>24000</v>
      </c>
      <c r="Q669" s="73" t="str">
        <f>696000*$C819</f>
        <v>0</v>
      </c>
      <c r="R669" s="72">
        <v>12000</v>
      </c>
      <c r="S669" s="73" t="str">
        <f>348000*$C819</f>
        <v>0</v>
      </c>
      <c r="T669" s="72">
        <v>18000</v>
      </c>
      <c r="U669" s="73" t="str">
        <f>522000*$C819</f>
        <v>0</v>
      </c>
      <c r="V669" s="72">
        <v>5000</v>
      </c>
      <c r="W669" s="73" t="str">
        <f>145000*$C819</f>
        <v>0</v>
      </c>
      <c r="X669" s="72">
        <v>17000</v>
      </c>
      <c r="Y669" s="73" t="str">
        <f>493000*$C819</f>
        <v>0</v>
      </c>
      <c r="Z669" s="72">
        <v>11000</v>
      </c>
      <c r="AA669" s="73" t="str">
        <f>319000*$C819</f>
        <v>0</v>
      </c>
      <c r="AB669" s="72">
        <v>4000</v>
      </c>
      <c r="AC669" s="73" t="str">
        <f>116000*$C819</f>
        <v>0</v>
      </c>
      <c r="AD669" s="72">
        <v>0</v>
      </c>
      <c r="AE669" s="73">
        <v>0</v>
      </c>
      <c r="AF669" s="72">
        <v>0</v>
      </c>
      <c r="AG669" s="88">
        <v>0</v>
      </c>
      <c r="AH669"/>
    </row>
    <row r="670" spans="1:34">
      <c r="B670" s="114">
        <v>651</v>
      </c>
      <c r="C670" s="117">
        <v>51</v>
      </c>
      <c r="D670" s="117"/>
      <c r="E670" s="117" t="s">
        <v>1298</v>
      </c>
      <c r="F670" s="117" t="s">
        <v>1299</v>
      </c>
      <c r="G670" s="117" t="s">
        <v>1352</v>
      </c>
      <c r="H670" s="117" t="s">
        <v>1353</v>
      </c>
      <c r="I670" s="120" t="s">
        <v>548</v>
      </c>
      <c r="J670" s="84">
        <v>1056</v>
      </c>
      <c r="K670" s="73" t="str">
        <f>2519616*$C819</f>
        <v>0</v>
      </c>
      <c r="L670" s="72">
        <v>1518</v>
      </c>
      <c r="M670" s="73" t="str">
        <f>3621948*$C819</f>
        <v>0</v>
      </c>
      <c r="N670" s="72">
        <v>1980</v>
      </c>
      <c r="O670" s="73" t="str">
        <f>4724280*$C819</f>
        <v>0</v>
      </c>
      <c r="P670" s="72">
        <v>528</v>
      </c>
      <c r="Q670" s="73" t="str">
        <f>1259808*$C819</f>
        <v>0</v>
      </c>
      <c r="R670" s="72">
        <v>1848</v>
      </c>
      <c r="S670" s="73" t="str">
        <f>4409328*$C819</f>
        <v>0</v>
      </c>
      <c r="T670" s="72">
        <v>2112</v>
      </c>
      <c r="U670" s="73" t="str">
        <f>5039232*$C819</f>
        <v>0</v>
      </c>
      <c r="V670" s="72">
        <v>1848</v>
      </c>
      <c r="W670" s="73" t="str">
        <f>4409328*$C819</f>
        <v>0</v>
      </c>
      <c r="X670" s="72">
        <v>1122</v>
      </c>
      <c r="Y670" s="73" t="str">
        <f>2677092*$C819</f>
        <v>0</v>
      </c>
      <c r="Z670" s="72">
        <v>1056</v>
      </c>
      <c r="AA670" s="73" t="str">
        <f>2519616*$C819</f>
        <v>0</v>
      </c>
      <c r="AB670" s="72">
        <v>462</v>
      </c>
      <c r="AC670" s="73" t="str">
        <f>1102332*$C819</f>
        <v>0</v>
      </c>
      <c r="AD670" s="72">
        <v>0</v>
      </c>
      <c r="AE670" s="73">
        <v>0</v>
      </c>
      <c r="AF670" s="72">
        <v>0</v>
      </c>
      <c r="AG670" s="88">
        <v>0</v>
      </c>
      <c r="AH670"/>
    </row>
    <row r="671" spans="1:34">
      <c r="B671" s="114">
        <v>652</v>
      </c>
      <c r="C671" s="117">
        <v>51</v>
      </c>
      <c r="D671" s="117"/>
      <c r="E671" s="117" t="s">
        <v>1298</v>
      </c>
      <c r="F671" s="117" t="s">
        <v>1299</v>
      </c>
      <c r="G671" s="117" t="s">
        <v>1330</v>
      </c>
      <c r="H671" s="117" t="s">
        <v>1322</v>
      </c>
      <c r="I671" s="120" t="s">
        <v>623</v>
      </c>
      <c r="J671" s="84">
        <v>400</v>
      </c>
      <c r="K671" s="73" t="str">
        <f>92800*$C819</f>
        <v>0</v>
      </c>
      <c r="L671" s="72">
        <v>400</v>
      </c>
      <c r="M671" s="73" t="str">
        <f>92800*$C819</f>
        <v>0</v>
      </c>
      <c r="N671" s="72">
        <v>1600</v>
      </c>
      <c r="O671" s="73" t="str">
        <f>371200*$C819</f>
        <v>0</v>
      </c>
      <c r="P671" s="72">
        <v>2400</v>
      </c>
      <c r="Q671" s="73" t="str">
        <f>556800*$C819</f>
        <v>0</v>
      </c>
      <c r="R671" s="72">
        <v>2700</v>
      </c>
      <c r="S671" s="73" t="str">
        <f>626400*$C819</f>
        <v>0</v>
      </c>
      <c r="T671" s="72">
        <v>3000</v>
      </c>
      <c r="U671" s="73" t="str">
        <f>696000*$C819</f>
        <v>0</v>
      </c>
      <c r="V671" s="72">
        <v>2000</v>
      </c>
      <c r="W671" s="73" t="str">
        <f>464000*$C819</f>
        <v>0</v>
      </c>
      <c r="X671" s="72">
        <v>1000</v>
      </c>
      <c r="Y671" s="73" t="str">
        <f>232000*$C819</f>
        <v>0</v>
      </c>
      <c r="Z671" s="72">
        <v>900</v>
      </c>
      <c r="AA671" s="73" t="str">
        <f>208800*$C819</f>
        <v>0</v>
      </c>
      <c r="AB671" s="72">
        <v>0</v>
      </c>
      <c r="AC671" s="73">
        <v>0</v>
      </c>
      <c r="AD671" s="72">
        <v>0</v>
      </c>
      <c r="AE671" s="73">
        <v>0</v>
      </c>
      <c r="AF671" s="72">
        <v>0</v>
      </c>
      <c r="AG671" s="88">
        <v>0</v>
      </c>
      <c r="AH671"/>
    </row>
    <row r="672" spans="1:34">
      <c r="B672" s="114">
        <v>653</v>
      </c>
      <c r="C672" s="117">
        <v>51</v>
      </c>
      <c r="D672" s="117"/>
      <c r="E672" s="117" t="s">
        <v>1298</v>
      </c>
      <c r="F672" s="117" t="s">
        <v>1299</v>
      </c>
      <c r="G672" s="117" t="s">
        <v>1338</v>
      </c>
      <c r="H672" s="117" t="s">
        <v>1339</v>
      </c>
      <c r="I672" s="120" t="s">
        <v>623</v>
      </c>
      <c r="J672" s="84">
        <v>400</v>
      </c>
      <c r="K672" s="73" t="str">
        <f>5200*$C819</f>
        <v>0</v>
      </c>
      <c r="L672" s="72">
        <v>400</v>
      </c>
      <c r="M672" s="73" t="str">
        <f>5200*$C819</f>
        <v>0</v>
      </c>
      <c r="N672" s="72">
        <v>2200</v>
      </c>
      <c r="O672" s="73" t="str">
        <f>28600*$C819</f>
        <v>0</v>
      </c>
      <c r="P672" s="72">
        <v>2200</v>
      </c>
      <c r="Q672" s="73" t="str">
        <f>28600*$C819</f>
        <v>0</v>
      </c>
      <c r="R672" s="72">
        <v>1600</v>
      </c>
      <c r="S672" s="73" t="str">
        <f>20800*$C819</f>
        <v>0</v>
      </c>
      <c r="T672" s="72">
        <v>800</v>
      </c>
      <c r="U672" s="73" t="str">
        <f>10400*$C819</f>
        <v>0</v>
      </c>
      <c r="V672" s="72">
        <v>2800</v>
      </c>
      <c r="W672" s="73" t="str">
        <f>36400*$C819</f>
        <v>0</v>
      </c>
      <c r="X672" s="72">
        <v>800</v>
      </c>
      <c r="Y672" s="73" t="str">
        <f>10400*$C819</f>
        <v>0</v>
      </c>
      <c r="Z672" s="72">
        <v>1200</v>
      </c>
      <c r="AA672" s="73" t="str">
        <f>15600*$C819</f>
        <v>0</v>
      </c>
      <c r="AB672" s="72">
        <v>1600</v>
      </c>
      <c r="AC672" s="73" t="str">
        <f>20800*$C819</f>
        <v>0</v>
      </c>
      <c r="AD672" s="72">
        <v>0</v>
      </c>
      <c r="AE672" s="73">
        <v>0</v>
      </c>
      <c r="AF672" s="72">
        <v>0</v>
      </c>
      <c r="AG672" s="88">
        <v>0</v>
      </c>
      <c r="AH672"/>
    </row>
    <row r="673" spans="1:34">
      <c r="B673" s="114">
        <v>654</v>
      </c>
      <c r="C673" s="117">
        <v>51</v>
      </c>
      <c r="D673" s="117"/>
      <c r="E673" s="117" t="s">
        <v>1298</v>
      </c>
      <c r="F673" s="117" t="s">
        <v>1299</v>
      </c>
      <c r="G673" s="117" t="s">
        <v>1354</v>
      </c>
      <c r="H673" s="117" t="s">
        <v>1355</v>
      </c>
      <c r="I673" s="120" t="s">
        <v>548</v>
      </c>
      <c r="J673" s="84">
        <v>0</v>
      </c>
      <c r="K673" s="73">
        <v>0</v>
      </c>
      <c r="L673" s="72">
        <v>2800</v>
      </c>
      <c r="M673" s="73" t="str">
        <f>14000*$C819</f>
        <v>0</v>
      </c>
      <c r="N673" s="72">
        <v>0</v>
      </c>
      <c r="O673" s="73">
        <v>0</v>
      </c>
      <c r="P673" s="72">
        <v>2800</v>
      </c>
      <c r="Q673" s="73" t="str">
        <f>14000*$C819</f>
        <v>0</v>
      </c>
      <c r="R673" s="72">
        <v>2800</v>
      </c>
      <c r="S673" s="73" t="str">
        <f>14000*$C819</f>
        <v>0</v>
      </c>
      <c r="T673" s="72">
        <v>2800</v>
      </c>
      <c r="U673" s="73" t="str">
        <f>14000*$C819</f>
        <v>0</v>
      </c>
      <c r="V673" s="72">
        <v>0</v>
      </c>
      <c r="W673" s="73">
        <v>0</v>
      </c>
      <c r="X673" s="72">
        <v>2800</v>
      </c>
      <c r="Y673" s="73" t="str">
        <f>14000*$C819</f>
        <v>0</v>
      </c>
      <c r="Z673" s="72">
        <v>0</v>
      </c>
      <c r="AA673" s="73">
        <v>0</v>
      </c>
      <c r="AB673" s="72">
        <v>2800</v>
      </c>
      <c r="AC673" s="73" t="str">
        <f>14000*$C819</f>
        <v>0</v>
      </c>
      <c r="AD673" s="72">
        <v>0</v>
      </c>
      <c r="AE673" s="73">
        <v>0</v>
      </c>
      <c r="AF673" s="72">
        <v>0</v>
      </c>
      <c r="AG673" s="88">
        <v>0</v>
      </c>
      <c r="AH673"/>
    </row>
    <row r="674" spans="1:34">
      <c r="B674" s="114">
        <v>655</v>
      </c>
      <c r="C674" s="117">
        <v>51</v>
      </c>
      <c r="D674" s="117"/>
      <c r="E674" s="117" t="s">
        <v>1298</v>
      </c>
      <c r="F674" s="117" t="s">
        <v>1299</v>
      </c>
      <c r="G674" s="117" t="s">
        <v>1328</v>
      </c>
      <c r="H674" s="117" t="s">
        <v>1329</v>
      </c>
      <c r="I674" s="120" t="s">
        <v>623</v>
      </c>
      <c r="J674" s="84">
        <v>0</v>
      </c>
      <c r="K674" s="73">
        <v>0</v>
      </c>
      <c r="L674" s="72">
        <v>0</v>
      </c>
      <c r="M674" s="73">
        <v>0</v>
      </c>
      <c r="N674" s="72">
        <v>0</v>
      </c>
      <c r="O674" s="73">
        <v>0</v>
      </c>
      <c r="P674" s="72">
        <v>0</v>
      </c>
      <c r="Q674" s="73">
        <v>0</v>
      </c>
      <c r="R674" s="72">
        <v>0</v>
      </c>
      <c r="S674" s="73">
        <v>0</v>
      </c>
      <c r="T674" s="72">
        <v>6000</v>
      </c>
      <c r="U674" s="73" t="str">
        <f>96000*$C819</f>
        <v>0</v>
      </c>
      <c r="V674" s="72">
        <v>1000</v>
      </c>
      <c r="W674" s="73" t="str">
        <f>16000*$C819</f>
        <v>0</v>
      </c>
      <c r="X674" s="72">
        <v>4000</v>
      </c>
      <c r="Y674" s="73" t="str">
        <f>64000*$C819</f>
        <v>0</v>
      </c>
      <c r="Z674" s="72">
        <v>4000</v>
      </c>
      <c r="AA674" s="73" t="str">
        <f>64000*$C819</f>
        <v>0</v>
      </c>
      <c r="AB674" s="72">
        <v>2000</v>
      </c>
      <c r="AC674" s="73" t="str">
        <f>32000*$C819</f>
        <v>0</v>
      </c>
      <c r="AD674" s="72">
        <v>0</v>
      </c>
      <c r="AE674" s="73">
        <v>0</v>
      </c>
      <c r="AF674" s="72">
        <v>0</v>
      </c>
      <c r="AG674" s="88">
        <v>0</v>
      </c>
      <c r="AH674"/>
    </row>
    <row r="675" spans="1:34">
      <c r="B675" s="114">
        <v>656</v>
      </c>
      <c r="C675" s="117">
        <v>51</v>
      </c>
      <c r="D675" s="117"/>
      <c r="E675" s="117" t="s">
        <v>1298</v>
      </c>
      <c r="F675" s="117" t="s">
        <v>1299</v>
      </c>
      <c r="G675" s="117" t="s">
        <v>1333</v>
      </c>
      <c r="H675" s="117" t="s">
        <v>1334</v>
      </c>
      <c r="I675" s="120" t="s">
        <v>623</v>
      </c>
      <c r="J675" s="84">
        <v>0</v>
      </c>
      <c r="K675" s="73">
        <v>0</v>
      </c>
      <c r="L675" s="72">
        <v>4000</v>
      </c>
      <c r="M675" s="73" t="str">
        <f>48000*$C819</f>
        <v>0</v>
      </c>
      <c r="N675" s="72">
        <v>6000</v>
      </c>
      <c r="O675" s="73" t="str">
        <f>72000*$C819</f>
        <v>0</v>
      </c>
      <c r="P675" s="72">
        <v>8000</v>
      </c>
      <c r="Q675" s="73" t="str">
        <f>96000*$C819</f>
        <v>0</v>
      </c>
      <c r="R675" s="72">
        <v>7000</v>
      </c>
      <c r="S675" s="73" t="str">
        <f>84000*$C819</f>
        <v>0</v>
      </c>
      <c r="T675" s="72">
        <v>0</v>
      </c>
      <c r="U675" s="73">
        <v>0</v>
      </c>
      <c r="V675" s="72">
        <v>4000</v>
      </c>
      <c r="W675" s="73" t="str">
        <f>48000*$C819</f>
        <v>0</v>
      </c>
      <c r="X675" s="72">
        <v>4000</v>
      </c>
      <c r="Y675" s="73" t="str">
        <f>48000*$C819</f>
        <v>0</v>
      </c>
      <c r="Z675" s="72">
        <v>6000</v>
      </c>
      <c r="AA675" s="73" t="str">
        <f>72000*$C819</f>
        <v>0</v>
      </c>
      <c r="AB675" s="72">
        <v>0</v>
      </c>
      <c r="AC675" s="73">
        <v>0</v>
      </c>
      <c r="AD675" s="72">
        <v>0</v>
      </c>
      <c r="AE675" s="73">
        <v>0</v>
      </c>
      <c r="AF675" s="72">
        <v>0</v>
      </c>
      <c r="AG675" s="88">
        <v>0</v>
      </c>
      <c r="AH675"/>
    </row>
    <row r="676" spans="1:34">
      <c r="B676" s="114">
        <v>657</v>
      </c>
      <c r="C676" s="117">
        <v>51</v>
      </c>
      <c r="D676" s="117"/>
      <c r="E676" s="117" t="s">
        <v>1298</v>
      </c>
      <c r="F676" s="117" t="s">
        <v>1299</v>
      </c>
      <c r="G676" s="117" t="s">
        <v>1325</v>
      </c>
      <c r="H676" s="117" t="s">
        <v>872</v>
      </c>
      <c r="I676" s="120" t="s">
        <v>548</v>
      </c>
      <c r="J676" s="84">
        <v>0</v>
      </c>
      <c r="K676" s="73">
        <v>0</v>
      </c>
      <c r="L676" s="72">
        <v>0</v>
      </c>
      <c r="M676" s="73">
        <v>0</v>
      </c>
      <c r="N676" s="72">
        <v>12000</v>
      </c>
      <c r="O676" s="73" t="str">
        <f>72000*$C819</f>
        <v>0</v>
      </c>
      <c r="P676" s="72">
        <v>6000</v>
      </c>
      <c r="Q676" s="73" t="str">
        <f>36000*$C819</f>
        <v>0</v>
      </c>
      <c r="R676" s="72">
        <v>6000</v>
      </c>
      <c r="S676" s="73" t="str">
        <f>36000*$C819</f>
        <v>0</v>
      </c>
      <c r="T676" s="72">
        <v>27000</v>
      </c>
      <c r="U676" s="73" t="str">
        <f>162000*$C819</f>
        <v>0</v>
      </c>
      <c r="V676" s="72">
        <v>7500</v>
      </c>
      <c r="W676" s="73" t="str">
        <f>45000*$C819</f>
        <v>0</v>
      </c>
      <c r="X676" s="72">
        <v>12500</v>
      </c>
      <c r="Y676" s="73" t="str">
        <f>75000*$C819</f>
        <v>0</v>
      </c>
      <c r="Z676" s="72">
        <v>6500</v>
      </c>
      <c r="AA676" s="73" t="str">
        <f>39000*$C819</f>
        <v>0</v>
      </c>
      <c r="AB676" s="72">
        <v>2000</v>
      </c>
      <c r="AC676" s="73" t="str">
        <f>12000*$C819</f>
        <v>0</v>
      </c>
      <c r="AD676" s="72">
        <v>0</v>
      </c>
      <c r="AE676" s="73">
        <v>0</v>
      </c>
      <c r="AF676" s="72">
        <v>0</v>
      </c>
      <c r="AG676" s="88">
        <v>0</v>
      </c>
      <c r="AH676"/>
    </row>
    <row r="677" spans="1:34">
      <c r="B677" s="114">
        <v>658</v>
      </c>
      <c r="C677" s="117">
        <v>51</v>
      </c>
      <c r="D677" s="117"/>
      <c r="E677" s="117" t="s">
        <v>1298</v>
      </c>
      <c r="F677" s="117" t="s">
        <v>1299</v>
      </c>
      <c r="G677" s="117" t="s">
        <v>1340</v>
      </c>
      <c r="H677" s="117" t="s">
        <v>1341</v>
      </c>
      <c r="I677" s="120" t="s">
        <v>455</v>
      </c>
      <c r="J677" s="84">
        <v>0</v>
      </c>
      <c r="K677" s="73">
        <v>0</v>
      </c>
      <c r="L677" s="72">
        <v>2000</v>
      </c>
      <c r="M677" s="73" t="str">
        <f>30000*$C819</f>
        <v>0</v>
      </c>
      <c r="N677" s="72">
        <v>2000</v>
      </c>
      <c r="O677" s="73" t="str">
        <f>30000*$C819</f>
        <v>0</v>
      </c>
      <c r="P677" s="72">
        <v>2000</v>
      </c>
      <c r="Q677" s="73" t="str">
        <f>30000*$C819</f>
        <v>0</v>
      </c>
      <c r="R677" s="72">
        <v>0</v>
      </c>
      <c r="S677" s="73">
        <v>0</v>
      </c>
      <c r="T677" s="72">
        <v>0</v>
      </c>
      <c r="U677" s="73">
        <v>0</v>
      </c>
      <c r="V677" s="72">
        <v>2000</v>
      </c>
      <c r="W677" s="73" t="str">
        <f>30000*$C819</f>
        <v>0</v>
      </c>
      <c r="X677" s="72">
        <v>4000</v>
      </c>
      <c r="Y677" s="73" t="str">
        <f>60000*$C819</f>
        <v>0</v>
      </c>
      <c r="Z677" s="72">
        <v>1000</v>
      </c>
      <c r="AA677" s="73" t="str">
        <f>15000*$C819</f>
        <v>0</v>
      </c>
      <c r="AB677" s="72">
        <v>1200</v>
      </c>
      <c r="AC677" s="73" t="str">
        <f>18000*$C819</f>
        <v>0</v>
      </c>
      <c r="AD677" s="72">
        <v>0</v>
      </c>
      <c r="AE677" s="73">
        <v>0</v>
      </c>
      <c r="AF677" s="72">
        <v>0</v>
      </c>
      <c r="AG677" s="88">
        <v>0</v>
      </c>
      <c r="AH677"/>
    </row>
    <row r="678" spans="1:34">
      <c r="B678" s="114">
        <v>659</v>
      </c>
      <c r="C678" s="117">
        <v>51</v>
      </c>
      <c r="D678" s="117"/>
      <c r="E678" s="117" t="s">
        <v>1298</v>
      </c>
      <c r="F678" s="117" t="s">
        <v>1299</v>
      </c>
      <c r="G678" s="117" t="s">
        <v>1335</v>
      </c>
      <c r="H678" s="117" t="s">
        <v>1336</v>
      </c>
      <c r="I678" s="120" t="s">
        <v>1337</v>
      </c>
      <c r="J678" s="84">
        <v>0</v>
      </c>
      <c r="K678" s="73">
        <v>0</v>
      </c>
      <c r="L678" s="72">
        <v>252</v>
      </c>
      <c r="M678" s="73" t="str">
        <f>68292*$C819</f>
        <v>0</v>
      </c>
      <c r="N678" s="72">
        <v>0</v>
      </c>
      <c r="O678" s="73">
        <v>0</v>
      </c>
      <c r="P678" s="72">
        <v>0</v>
      </c>
      <c r="Q678" s="73">
        <v>0</v>
      </c>
      <c r="R678" s="72">
        <v>0</v>
      </c>
      <c r="S678" s="73">
        <v>0</v>
      </c>
      <c r="T678" s="72">
        <v>0</v>
      </c>
      <c r="U678" s="73">
        <v>0</v>
      </c>
      <c r="V678" s="72">
        <v>0</v>
      </c>
      <c r="W678" s="73">
        <v>0</v>
      </c>
      <c r="X678" s="72">
        <v>0</v>
      </c>
      <c r="Y678" s="73">
        <v>0</v>
      </c>
      <c r="Z678" s="72">
        <v>0</v>
      </c>
      <c r="AA678" s="73">
        <v>0</v>
      </c>
      <c r="AB678" s="72">
        <v>126</v>
      </c>
      <c r="AC678" s="73" t="str">
        <f>34146*$C819</f>
        <v>0</v>
      </c>
      <c r="AD678" s="72">
        <v>0</v>
      </c>
      <c r="AE678" s="73">
        <v>0</v>
      </c>
      <c r="AF678" s="72">
        <v>0</v>
      </c>
      <c r="AG678" s="88">
        <v>0</v>
      </c>
      <c r="AH678"/>
    </row>
    <row r="679" spans="1:34">
      <c r="B679" s="114">
        <v>660</v>
      </c>
      <c r="C679" s="117">
        <v>51</v>
      </c>
      <c r="D679" s="117"/>
      <c r="E679" s="117" t="s">
        <v>1298</v>
      </c>
      <c r="F679" s="117" t="s">
        <v>1299</v>
      </c>
      <c r="G679" s="117" t="s">
        <v>1346</v>
      </c>
      <c r="H679" s="117" t="s">
        <v>629</v>
      </c>
      <c r="I679" s="120" t="s">
        <v>623</v>
      </c>
      <c r="J679" s="84">
        <v>100</v>
      </c>
      <c r="K679" s="73" t="str">
        <f>213300*$C819</f>
        <v>0</v>
      </c>
      <c r="L679" s="72">
        <v>72</v>
      </c>
      <c r="M679" s="73" t="str">
        <f>153576*$C819</f>
        <v>0</v>
      </c>
      <c r="N679" s="72">
        <v>398</v>
      </c>
      <c r="O679" s="73" t="str">
        <f>848934*$C819</f>
        <v>0</v>
      </c>
      <c r="P679" s="72">
        <v>249</v>
      </c>
      <c r="Q679" s="73" t="str">
        <f>531117*$C819</f>
        <v>0</v>
      </c>
      <c r="R679" s="72">
        <v>277</v>
      </c>
      <c r="S679" s="73" t="str">
        <f>590841*$C819</f>
        <v>0</v>
      </c>
      <c r="T679" s="72">
        <v>514</v>
      </c>
      <c r="U679" s="73" t="str">
        <f>1096362*$C819</f>
        <v>0</v>
      </c>
      <c r="V679" s="72">
        <v>0</v>
      </c>
      <c r="W679" s="73">
        <v>0</v>
      </c>
      <c r="X679" s="72">
        <v>250</v>
      </c>
      <c r="Y679" s="73" t="str">
        <f>533250*$C819</f>
        <v>0</v>
      </c>
      <c r="Z679" s="72">
        <v>200</v>
      </c>
      <c r="AA679" s="73" t="str">
        <f>426600*$C819</f>
        <v>0</v>
      </c>
      <c r="AB679" s="72">
        <v>0</v>
      </c>
      <c r="AC679" s="73">
        <v>0</v>
      </c>
      <c r="AD679" s="72">
        <v>0</v>
      </c>
      <c r="AE679" s="73">
        <v>0</v>
      </c>
      <c r="AF679" s="72">
        <v>0</v>
      </c>
      <c r="AG679" s="88">
        <v>0</v>
      </c>
      <c r="AH679"/>
    </row>
    <row r="680" spans="1:34">
      <c r="B680" s="114">
        <v>661</v>
      </c>
      <c r="C680" s="117">
        <v>51</v>
      </c>
      <c r="D680" s="117"/>
      <c r="E680" s="117" t="s">
        <v>1298</v>
      </c>
      <c r="F680" s="117" t="s">
        <v>1299</v>
      </c>
      <c r="G680" s="117" t="s">
        <v>1347</v>
      </c>
      <c r="H680" s="117" t="s">
        <v>629</v>
      </c>
      <c r="I680" s="120" t="s">
        <v>623</v>
      </c>
      <c r="J680" s="84">
        <v>97</v>
      </c>
      <c r="K680" s="73" t="str">
        <f>206901*$C819</f>
        <v>0</v>
      </c>
      <c r="L680" s="72">
        <v>24</v>
      </c>
      <c r="M680" s="73" t="str">
        <f>51192*$C819</f>
        <v>0</v>
      </c>
      <c r="N680" s="72">
        <v>506</v>
      </c>
      <c r="O680" s="73" t="str">
        <f>1079298*$C819</f>
        <v>0</v>
      </c>
      <c r="P680" s="72">
        <v>424</v>
      </c>
      <c r="Q680" s="73" t="str">
        <f>904392*$C819</f>
        <v>0</v>
      </c>
      <c r="R680" s="72">
        <v>396</v>
      </c>
      <c r="S680" s="73" t="str">
        <f>844668*$C819</f>
        <v>0</v>
      </c>
      <c r="T680" s="72">
        <v>296</v>
      </c>
      <c r="U680" s="73" t="str">
        <f>631368*$C819</f>
        <v>0</v>
      </c>
      <c r="V680" s="72">
        <v>256</v>
      </c>
      <c r="W680" s="73" t="str">
        <f>546048*$C819</f>
        <v>0</v>
      </c>
      <c r="X680" s="72">
        <v>250</v>
      </c>
      <c r="Y680" s="73" t="str">
        <f>533250*$C819</f>
        <v>0</v>
      </c>
      <c r="Z680" s="72">
        <v>150</v>
      </c>
      <c r="AA680" s="73" t="str">
        <f>319950*$C819</f>
        <v>0</v>
      </c>
      <c r="AB680" s="72">
        <v>0</v>
      </c>
      <c r="AC680" s="73">
        <v>0</v>
      </c>
      <c r="AD680" s="72">
        <v>0</v>
      </c>
      <c r="AE680" s="73">
        <v>0</v>
      </c>
      <c r="AF680" s="72">
        <v>0</v>
      </c>
      <c r="AG680" s="88">
        <v>0</v>
      </c>
      <c r="AH680"/>
    </row>
    <row r="681" spans="1:34">
      <c r="B681" s="114">
        <v>662</v>
      </c>
      <c r="C681" s="117">
        <v>51</v>
      </c>
      <c r="D681" s="117"/>
      <c r="E681" s="117" t="s">
        <v>1298</v>
      </c>
      <c r="F681" s="117" t="s">
        <v>1299</v>
      </c>
      <c r="G681" s="117" t="s">
        <v>1348</v>
      </c>
      <c r="H681" s="117" t="s">
        <v>1349</v>
      </c>
      <c r="I681" s="120" t="s">
        <v>623</v>
      </c>
      <c r="J681" s="84">
        <v>0</v>
      </c>
      <c r="K681" s="73">
        <v>0</v>
      </c>
      <c r="L681" s="72">
        <v>0</v>
      </c>
      <c r="M681" s="73">
        <v>0</v>
      </c>
      <c r="N681" s="72">
        <v>0</v>
      </c>
      <c r="O681" s="73">
        <v>0</v>
      </c>
      <c r="P681" s="72">
        <v>0</v>
      </c>
      <c r="Q681" s="73">
        <v>0</v>
      </c>
      <c r="R681" s="72">
        <v>0</v>
      </c>
      <c r="S681" s="73">
        <v>0</v>
      </c>
      <c r="T681" s="72">
        <v>0</v>
      </c>
      <c r="U681" s="73">
        <v>0</v>
      </c>
      <c r="V681" s="72">
        <v>600</v>
      </c>
      <c r="W681" s="73" t="str">
        <f>126600*$C819</f>
        <v>0</v>
      </c>
      <c r="X681" s="72">
        <v>800</v>
      </c>
      <c r="Y681" s="73" t="str">
        <f>168800*$C819</f>
        <v>0</v>
      </c>
      <c r="Z681" s="72">
        <v>0</v>
      </c>
      <c r="AA681" s="73">
        <v>0</v>
      </c>
      <c r="AB681" s="72">
        <v>0</v>
      </c>
      <c r="AC681" s="73">
        <v>0</v>
      </c>
      <c r="AD681" s="72">
        <v>0</v>
      </c>
      <c r="AE681" s="73">
        <v>0</v>
      </c>
      <c r="AF681" s="72">
        <v>0</v>
      </c>
      <c r="AG681" s="88">
        <v>0</v>
      </c>
      <c r="AH681"/>
    </row>
    <row r="682" spans="1:34">
      <c r="B682" s="114">
        <v>663</v>
      </c>
      <c r="C682" s="117">
        <v>51</v>
      </c>
      <c r="D682" s="117"/>
      <c r="E682" s="117" t="s">
        <v>1298</v>
      </c>
      <c r="F682" s="117" t="s">
        <v>1299</v>
      </c>
      <c r="G682" s="117" t="s">
        <v>1356</v>
      </c>
      <c r="H682" s="117" t="s">
        <v>1074</v>
      </c>
      <c r="I682" s="120" t="s">
        <v>455</v>
      </c>
      <c r="J682" s="84">
        <v>400</v>
      </c>
      <c r="K682" s="73" t="str">
        <f>1088800*$C819</f>
        <v>0</v>
      </c>
      <c r="L682" s="72">
        <v>300</v>
      </c>
      <c r="M682" s="73" t="str">
        <f>816600*$C819</f>
        <v>0</v>
      </c>
      <c r="N682" s="72">
        <v>500</v>
      </c>
      <c r="O682" s="73" t="str">
        <f>1361000*$C819</f>
        <v>0</v>
      </c>
      <c r="P682" s="72">
        <v>0</v>
      </c>
      <c r="Q682" s="73">
        <v>0</v>
      </c>
      <c r="R682" s="72">
        <v>0</v>
      </c>
      <c r="S682" s="73">
        <v>0</v>
      </c>
      <c r="T682" s="72">
        <v>0</v>
      </c>
      <c r="U682" s="73">
        <v>0</v>
      </c>
      <c r="V682" s="72">
        <v>250</v>
      </c>
      <c r="W682" s="73" t="str">
        <f>680500*$C819</f>
        <v>0</v>
      </c>
      <c r="X682" s="72">
        <v>0</v>
      </c>
      <c r="Y682" s="73">
        <v>0</v>
      </c>
      <c r="Z682" s="72">
        <v>0</v>
      </c>
      <c r="AA682" s="73">
        <v>0</v>
      </c>
      <c r="AB682" s="72">
        <v>0</v>
      </c>
      <c r="AC682" s="73">
        <v>0</v>
      </c>
      <c r="AD682" s="72">
        <v>0</v>
      </c>
      <c r="AE682" s="73">
        <v>0</v>
      </c>
      <c r="AF682" s="72">
        <v>0</v>
      </c>
      <c r="AG682" s="88">
        <v>0</v>
      </c>
      <c r="AH682"/>
    </row>
    <row r="683" spans="1:34">
      <c r="B683" s="114">
        <v>664</v>
      </c>
      <c r="C683" s="117">
        <v>51</v>
      </c>
      <c r="D683" s="117"/>
      <c r="E683" s="117" t="s">
        <v>1298</v>
      </c>
      <c r="F683" s="117" t="s">
        <v>1299</v>
      </c>
      <c r="G683" s="117" t="s">
        <v>1357</v>
      </c>
      <c r="H683" s="117" t="s">
        <v>620</v>
      </c>
      <c r="I683" s="120" t="s">
        <v>455</v>
      </c>
      <c r="J683" s="84">
        <v>301</v>
      </c>
      <c r="K683" s="73" t="str">
        <f>870191*$C819</f>
        <v>0</v>
      </c>
      <c r="L683" s="72">
        <v>0</v>
      </c>
      <c r="M683" s="73">
        <v>0</v>
      </c>
      <c r="N683" s="72">
        <v>100</v>
      </c>
      <c r="O683" s="73" t="str">
        <f>289100*$C819</f>
        <v>0</v>
      </c>
      <c r="P683" s="72">
        <v>0</v>
      </c>
      <c r="Q683" s="73">
        <v>0</v>
      </c>
      <c r="R683" s="72">
        <v>0</v>
      </c>
      <c r="S683" s="73">
        <v>0</v>
      </c>
      <c r="T683" s="72">
        <v>0</v>
      </c>
      <c r="U683" s="73">
        <v>0</v>
      </c>
      <c r="V683" s="72">
        <v>0</v>
      </c>
      <c r="W683" s="73">
        <v>0</v>
      </c>
      <c r="X683" s="72">
        <v>0</v>
      </c>
      <c r="Y683" s="73">
        <v>0</v>
      </c>
      <c r="Z683" s="72">
        <v>0</v>
      </c>
      <c r="AA683" s="73">
        <v>0</v>
      </c>
      <c r="AB683" s="72">
        <v>0</v>
      </c>
      <c r="AC683" s="73">
        <v>0</v>
      </c>
      <c r="AD683" s="72">
        <v>0</v>
      </c>
      <c r="AE683" s="73">
        <v>0</v>
      </c>
      <c r="AF683" s="72">
        <v>0</v>
      </c>
      <c r="AG683" s="88">
        <v>0</v>
      </c>
      <c r="AH683"/>
    </row>
    <row r="684" spans="1:34">
      <c r="B684" s="114">
        <v>665</v>
      </c>
      <c r="C684" s="117">
        <v>51</v>
      </c>
      <c r="D684" s="117"/>
      <c r="E684" s="117" t="s">
        <v>1298</v>
      </c>
      <c r="F684" s="117" t="s">
        <v>1299</v>
      </c>
      <c r="G684" s="117" t="s">
        <v>1463</v>
      </c>
      <c r="H684" s="117" t="s">
        <v>246</v>
      </c>
      <c r="I684" s="120" t="s">
        <v>1464</v>
      </c>
      <c r="J684" s="84">
        <v>0</v>
      </c>
      <c r="K684" s="73">
        <v>0</v>
      </c>
      <c r="L684" s="72">
        <v>0</v>
      </c>
      <c r="M684" s="73">
        <v>0</v>
      </c>
      <c r="N684" s="72">
        <v>0</v>
      </c>
      <c r="O684" s="73">
        <v>0</v>
      </c>
      <c r="P684" s="72">
        <v>0</v>
      </c>
      <c r="Q684" s="73">
        <v>0</v>
      </c>
      <c r="R684" s="72">
        <v>0</v>
      </c>
      <c r="S684" s="73">
        <v>0</v>
      </c>
      <c r="T684" s="72">
        <v>0</v>
      </c>
      <c r="U684" s="73">
        <v>0</v>
      </c>
      <c r="V684" s="72">
        <v>0</v>
      </c>
      <c r="W684" s="73">
        <v>0</v>
      </c>
      <c r="X684" s="72">
        <v>0</v>
      </c>
      <c r="Y684" s="73">
        <v>0</v>
      </c>
      <c r="Z684" s="72">
        <v>0</v>
      </c>
      <c r="AA684" s="73">
        <v>0</v>
      </c>
      <c r="AB684" s="72">
        <v>200</v>
      </c>
      <c r="AC684" s="73" t="str">
        <f>3600*$C819</f>
        <v>0</v>
      </c>
      <c r="AD684" s="72">
        <v>0</v>
      </c>
      <c r="AE684" s="73">
        <v>0</v>
      </c>
      <c r="AF684" s="72">
        <v>0</v>
      </c>
      <c r="AG684" s="88">
        <v>0</v>
      </c>
      <c r="AH684"/>
    </row>
    <row r="685" spans="1:34">
      <c r="B685" s="114">
        <v>666</v>
      </c>
      <c r="C685" s="117">
        <v>51</v>
      </c>
      <c r="D685" s="117"/>
      <c r="E685" s="117" t="s">
        <v>1298</v>
      </c>
      <c r="F685" s="117" t="s">
        <v>1299</v>
      </c>
      <c r="G685" s="117" t="s">
        <v>1460</v>
      </c>
      <c r="H685" s="117" t="s">
        <v>1461</v>
      </c>
      <c r="I685" s="120" t="s">
        <v>455</v>
      </c>
      <c r="J685" s="84">
        <v>0</v>
      </c>
      <c r="K685" s="73">
        <v>0</v>
      </c>
      <c r="L685" s="72">
        <v>2000</v>
      </c>
      <c r="M685" s="73" t="str">
        <f>6000*$C819</f>
        <v>0</v>
      </c>
      <c r="N685" s="72">
        <v>0</v>
      </c>
      <c r="O685" s="73">
        <v>0</v>
      </c>
      <c r="P685" s="72">
        <v>0</v>
      </c>
      <c r="Q685" s="73">
        <v>0</v>
      </c>
      <c r="R685" s="72">
        <v>0</v>
      </c>
      <c r="S685" s="73">
        <v>0</v>
      </c>
      <c r="T685" s="72">
        <v>0</v>
      </c>
      <c r="U685" s="73">
        <v>0</v>
      </c>
      <c r="V685" s="72">
        <v>2000</v>
      </c>
      <c r="W685" s="73" t="str">
        <f>6000*$C819</f>
        <v>0</v>
      </c>
      <c r="X685" s="72">
        <v>0</v>
      </c>
      <c r="Y685" s="73">
        <v>0</v>
      </c>
      <c r="Z685" s="72">
        <v>4000</v>
      </c>
      <c r="AA685" s="73" t="str">
        <f>12000*$C819</f>
        <v>0</v>
      </c>
      <c r="AB685" s="72">
        <v>4000</v>
      </c>
      <c r="AC685" s="73" t="str">
        <f>12000*$C819</f>
        <v>0</v>
      </c>
      <c r="AD685" s="72">
        <v>0</v>
      </c>
      <c r="AE685" s="73">
        <v>0</v>
      </c>
      <c r="AF685" s="72">
        <v>0</v>
      </c>
      <c r="AG685" s="88">
        <v>0</v>
      </c>
      <c r="AH685"/>
    </row>
    <row r="686" spans="1:34">
      <c r="B686" s="114">
        <v>667</v>
      </c>
      <c r="C686" s="117">
        <v>51</v>
      </c>
      <c r="D686" s="117"/>
      <c r="E686" s="117" t="s">
        <v>1298</v>
      </c>
      <c r="F686" s="117" t="s">
        <v>1299</v>
      </c>
      <c r="G686" s="117" t="s">
        <v>1393</v>
      </c>
      <c r="H686" s="117" t="s">
        <v>622</v>
      </c>
      <c r="I686" s="120" t="s">
        <v>623</v>
      </c>
      <c r="J686" s="84">
        <v>300</v>
      </c>
      <c r="K686" s="73" t="str">
        <f>316500*$C819</f>
        <v>0</v>
      </c>
      <c r="L686" s="72">
        <v>300</v>
      </c>
      <c r="M686" s="73" t="str">
        <f>316500*$C819</f>
        <v>0</v>
      </c>
      <c r="N686" s="72">
        <v>750</v>
      </c>
      <c r="O686" s="73" t="str">
        <f>791250*$C819</f>
        <v>0</v>
      </c>
      <c r="P686" s="72">
        <v>923</v>
      </c>
      <c r="Q686" s="73" t="str">
        <f>973765*$C819</f>
        <v>0</v>
      </c>
      <c r="R686" s="72">
        <v>1145</v>
      </c>
      <c r="S686" s="73" t="str">
        <f>1207975*$C819</f>
        <v>0</v>
      </c>
      <c r="T686" s="72">
        <v>1603</v>
      </c>
      <c r="U686" s="73" t="str">
        <f>1691165*$C819</f>
        <v>0</v>
      </c>
      <c r="V686" s="72">
        <v>86</v>
      </c>
      <c r="W686" s="73" t="str">
        <f>90730*$C819</f>
        <v>0</v>
      </c>
      <c r="X686" s="72">
        <v>300</v>
      </c>
      <c r="Y686" s="73" t="str">
        <f>316500*$C819</f>
        <v>0</v>
      </c>
      <c r="Z686" s="72">
        <v>450</v>
      </c>
      <c r="AA686" s="73" t="str">
        <f>474750*$C819</f>
        <v>0</v>
      </c>
      <c r="AB686" s="72">
        <v>150</v>
      </c>
      <c r="AC686" s="73" t="str">
        <f>158250*$C819</f>
        <v>0</v>
      </c>
      <c r="AD686" s="72">
        <v>0</v>
      </c>
      <c r="AE686" s="73">
        <v>0</v>
      </c>
      <c r="AF686" s="72">
        <v>0</v>
      </c>
      <c r="AG686" s="88">
        <v>0</v>
      </c>
      <c r="AH686"/>
    </row>
    <row r="687" spans="1:34">
      <c r="B687" s="114">
        <v>668</v>
      </c>
      <c r="C687" s="117">
        <v>51</v>
      </c>
      <c r="D687" s="117"/>
      <c r="E687" s="117" t="s">
        <v>1298</v>
      </c>
      <c r="F687" s="117" t="s">
        <v>1299</v>
      </c>
      <c r="G687" s="117" t="s">
        <v>1395</v>
      </c>
      <c r="H687" s="117" t="s">
        <v>694</v>
      </c>
      <c r="I687" s="120" t="s">
        <v>455</v>
      </c>
      <c r="J687" s="84">
        <v>0</v>
      </c>
      <c r="K687" s="73">
        <v>0</v>
      </c>
      <c r="L687" s="72">
        <v>600</v>
      </c>
      <c r="M687" s="73" t="str">
        <f>201600*$C819</f>
        <v>0</v>
      </c>
      <c r="N687" s="72">
        <v>600</v>
      </c>
      <c r="O687" s="73" t="str">
        <f>201600*$C819</f>
        <v>0</v>
      </c>
      <c r="P687" s="72">
        <v>1200</v>
      </c>
      <c r="Q687" s="73" t="str">
        <f>403200*$C819</f>
        <v>0</v>
      </c>
      <c r="R687" s="72">
        <v>0</v>
      </c>
      <c r="S687" s="73">
        <v>0</v>
      </c>
      <c r="T687" s="72">
        <v>0</v>
      </c>
      <c r="U687" s="73">
        <v>0</v>
      </c>
      <c r="V687" s="72">
        <v>500</v>
      </c>
      <c r="W687" s="73" t="str">
        <f>168000*$C819</f>
        <v>0</v>
      </c>
      <c r="X687" s="72">
        <v>500</v>
      </c>
      <c r="Y687" s="73" t="str">
        <f>168000*$C819</f>
        <v>0</v>
      </c>
      <c r="Z687" s="72">
        <v>0</v>
      </c>
      <c r="AA687" s="73">
        <v>0</v>
      </c>
      <c r="AB687" s="72">
        <v>400</v>
      </c>
      <c r="AC687" s="73" t="str">
        <f>134400*$C819</f>
        <v>0</v>
      </c>
      <c r="AD687" s="72">
        <v>0</v>
      </c>
      <c r="AE687" s="73">
        <v>0</v>
      </c>
      <c r="AF687" s="72">
        <v>0</v>
      </c>
      <c r="AG687" s="88">
        <v>0</v>
      </c>
      <c r="AH687"/>
    </row>
    <row r="688" spans="1:34">
      <c r="B688" s="114">
        <v>669</v>
      </c>
      <c r="C688" s="117">
        <v>51</v>
      </c>
      <c r="D688" s="117"/>
      <c r="E688" s="117" t="s">
        <v>1298</v>
      </c>
      <c r="F688" s="117" t="s">
        <v>1299</v>
      </c>
      <c r="G688" s="117" t="s">
        <v>1465</v>
      </c>
      <c r="H688" s="117" t="s">
        <v>25</v>
      </c>
      <c r="I688" s="120" t="s">
        <v>1466</v>
      </c>
      <c r="J688" s="84">
        <v>0</v>
      </c>
      <c r="K688" s="73">
        <v>0</v>
      </c>
      <c r="L688" s="72">
        <v>0</v>
      </c>
      <c r="M688" s="73">
        <v>0</v>
      </c>
      <c r="N688" s="72">
        <v>0</v>
      </c>
      <c r="O688" s="73">
        <v>0</v>
      </c>
      <c r="P688" s="72">
        <v>0</v>
      </c>
      <c r="Q688" s="73">
        <v>0</v>
      </c>
      <c r="R688" s="72">
        <v>0</v>
      </c>
      <c r="S688" s="73">
        <v>0</v>
      </c>
      <c r="T688" s="72">
        <v>0</v>
      </c>
      <c r="U688" s="73">
        <v>0</v>
      </c>
      <c r="V688" s="72">
        <v>0</v>
      </c>
      <c r="W688" s="73">
        <v>0</v>
      </c>
      <c r="X688" s="72">
        <v>0</v>
      </c>
      <c r="Y688" s="73">
        <v>0</v>
      </c>
      <c r="Z688" s="72">
        <v>0</v>
      </c>
      <c r="AA688" s="73">
        <v>0</v>
      </c>
      <c r="AB688" s="72">
        <v>240</v>
      </c>
      <c r="AC688" s="73" t="str">
        <f>196080*$C819</f>
        <v>0</v>
      </c>
      <c r="AD688" s="72">
        <v>0</v>
      </c>
      <c r="AE688" s="73">
        <v>0</v>
      </c>
      <c r="AF688" s="72">
        <v>0</v>
      </c>
      <c r="AG688" s="88">
        <v>0</v>
      </c>
      <c r="AH688"/>
    </row>
    <row r="689" spans="1:34">
      <c r="B689" s="114">
        <v>670</v>
      </c>
      <c r="C689" s="117">
        <v>51</v>
      </c>
      <c r="D689" s="117"/>
      <c r="E689" s="117" t="s">
        <v>1298</v>
      </c>
      <c r="F689" s="117" t="s">
        <v>1299</v>
      </c>
      <c r="G689" s="117" t="s">
        <v>1396</v>
      </c>
      <c r="H689" s="117" t="s">
        <v>620</v>
      </c>
      <c r="I689" s="120" t="s">
        <v>455</v>
      </c>
      <c r="J689" s="84">
        <v>100</v>
      </c>
      <c r="K689" s="73" t="str">
        <f>221800*$C819</f>
        <v>0</v>
      </c>
      <c r="L689" s="72">
        <v>421</v>
      </c>
      <c r="M689" s="73" t="str">
        <f>933778*$C819</f>
        <v>0</v>
      </c>
      <c r="N689" s="72">
        <v>541</v>
      </c>
      <c r="O689" s="73" t="str">
        <f>1199938*$C819</f>
        <v>0</v>
      </c>
      <c r="P689" s="72">
        <v>200</v>
      </c>
      <c r="Q689" s="73" t="str">
        <f>443600*$C819</f>
        <v>0</v>
      </c>
      <c r="R689" s="72">
        <v>0</v>
      </c>
      <c r="S689" s="73">
        <v>0</v>
      </c>
      <c r="T689" s="72">
        <v>0</v>
      </c>
      <c r="U689" s="73">
        <v>0</v>
      </c>
      <c r="V689" s="72">
        <v>0</v>
      </c>
      <c r="W689" s="73">
        <v>0</v>
      </c>
      <c r="X689" s="72">
        <v>0</v>
      </c>
      <c r="Y689" s="73">
        <v>0</v>
      </c>
      <c r="Z689" s="72">
        <v>0</v>
      </c>
      <c r="AA689" s="73">
        <v>0</v>
      </c>
      <c r="AB689" s="72">
        <v>0</v>
      </c>
      <c r="AC689" s="73">
        <v>0</v>
      </c>
      <c r="AD689" s="72">
        <v>0</v>
      </c>
      <c r="AE689" s="73">
        <v>0</v>
      </c>
      <c r="AF689" s="72">
        <v>0</v>
      </c>
      <c r="AG689" s="88">
        <v>0</v>
      </c>
      <c r="AH689"/>
    </row>
    <row r="690" spans="1:34">
      <c r="B690" s="114">
        <v>671</v>
      </c>
      <c r="C690" s="117">
        <v>51</v>
      </c>
      <c r="D690" s="117"/>
      <c r="E690" s="117" t="s">
        <v>1298</v>
      </c>
      <c r="F690" s="117" t="s">
        <v>1299</v>
      </c>
      <c r="G690" s="117" t="s">
        <v>1467</v>
      </c>
      <c r="H690" s="117" t="s">
        <v>1303</v>
      </c>
      <c r="I690" s="120" t="s">
        <v>455</v>
      </c>
      <c r="J690" s="84">
        <v>0</v>
      </c>
      <c r="K690" s="73">
        <v>0</v>
      </c>
      <c r="L690" s="72">
        <v>1000</v>
      </c>
      <c r="M690" s="73" t="str">
        <f>10000*$C819</f>
        <v>0</v>
      </c>
      <c r="N690" s="72">
        <v>1000</v>
      </c>
      <c r="O690" s="73" t="str">
        <f>10000*$C819</f>
        <v>0</v>
      </c>
      <c r="P690" s="72">
        <v>1000</v>
      </c>
      <c r="Q690" s="73" t="str">
        <f>10000*$C819</f>
        <v>0</v>
      </c>
      <c r="R690" s="72">
        <v>0</v>
      </c>
      <c r="S690" s="73">
        <v>0</v>
      </c>
      <c r="T690" s="72">
        <v>0</v>
      </c>
      <c r="U690" s="73">
        <v>0</v>
      </c>
      <c r="V690" s="72">
        <v>0</v>
      </c>
      <c r="W690" s="73">
        <v>0</v>
      </c>
      <c r="X690" s="72">
        <v>0</v>
      </c>
      <c r="Y690" s="73">
        <v>0</v>
      </c>
      <c r="Z690" s="72">
        <v>0</v>
      </c>
      <c r="AA690" s="73">
        <v>0</v>
      </c>
      <c r="AB690" s="72">
        <v>0</v>
      </c>
      <c r="AC690" s="73">
        <v>0</v>
      </c>
      <c r="AD690" s="72">
        <v>0</v>
      </c>
      <c r="AE690" s="73">
        <v>0</v>
      </c>
      <c r="AF690" s="72">
        <v>0</v>
      </c>
      <c r="AG690" s="88">
        <v>0</v>
      </c>
      <c r="AH690"/>
    </row>
    <row r="691" spans="1:34">
      <c r="B691" s="114">
        <v>672</v>
      </c>
      <c r="C691" s="117">
        <v>51</v>
      </c>
      <c r="D691" s="117"/>
      <c r="E691" s="117" t="s">
        <v>1298</v>
      </c>
      <c r="F691" s="117" t="s">
        <v>1299</v>
      </c>
      <c r="G691" s="117" t="s">
        <v>1398</v>
      </c>
      <c r="H691" s="117" t="s">
        <v>1399</v>
      </c>
      <c r="I691" s="120" t="s">
        <v>1400</v>
      </c>
      <c r="J691" s="84">
        <v>0</v>
      </c>
      <c r="K691" s="73">
        <v>0</v>
      </c>
      <c r="L691" s="72">
        <v>12000</v>
      </c>
      <c r="M691" s="73" t="str">
        <f>84000*$C819</f>
        <v>0</v>
      </c>
      <c r="N691" s="72">
        <v>0</v>
      </c>
      <c r="O691" s="73">
        <v>0</v>
      </c>
      <c r="P691" s="72">
        <v>0</v>
      </c>
      <c r="Q691" s="73">
        <v>0</v>
      </c>
      <c r="R691" s="72">
        <v>0</v>
      </c>
      <c r="S691" s="73">
        <v>0</v>
      </c>
      <c r="T691" s="72">
        <v>0</v>
      </c>
      <c r="U691" s="73">
        <v>0</v>
      </c>
      <c r="V691" s="72">
        <v>0</v>
      </c>
      <c r="W691" s="73">
        <v>0</v>
      </c>
      <c r="X691" s="72">
        <v>0</v>
      </c>
      <c r="Y691" s="73">
        <v>0</v>
      </c>
      <c r="Z691" s="72">
        <v>0</v>
      </c>
      <c r="AA691" s="73">
        <v>0</v>
      </c>
      <c r="AB691" s="72">
        <v>0</v>
      </c>
      <c r="AC691" s="73">
        <v>0</v>
      </c>
      <c r="AD691" s="72">
        <v>0</v>
      </c>
      <c r="AE691" s="73">
        <v>0</v>
      </c>
      <c r="AF691" s="72">
        <v>0</v>
      </c>
      <c r="AG691" s="88">
        <v>0</v>
      </c>
      <c r="AH691"/>
    </row>
    <row r="692" spans="1:34">
      <c r="B692" s="114">
        <v>673</v>
      </c>
      <c r="C692" s="117">
        <v>51</v>
      </c>
      <c r="D692" s="117"/>
      <c r="E692" s="117" t="s">
        <v>1298</v>
      </c>
      <c r="F692" s="117" t="s">
        <v>1299</v>
      </c>
      <c r="G692" s="117" t="s">
        <v>1402</v>
      </c>
      <c r="H692" s="117" t="s">
        <v>1403</v>
      </c>
      <c r="I692" s="120" t="s">
        <v>623</v>
      </c>
      <c r="J692" s="84">
        <v>324</v>
      </c>
      <c r="K692" s="73" t="str">
        <f>752652*$C819</f>
        <v>0</v>
      </c>
      <c r="L692" s="72">
        <v>594</v>
      </c>
      <c r="M692" s="73" t="str">
        <f>1379862*$C819</f>
        <v>0</v>
      </c>
      <c r="N692" s="72">
        <v>1134</v>
      </c>
      <c r="O692" s="73" t="str">
        <f>2634282*$C819</f>
        <v>0</v>
      </c>
      <c r="P692" s="72">
        <v>1512</v>
      </c>
      <c r="Q692" s="73" t="str">
        <f>3512376*$C819</f>
        <v>0</v>
      </c>
      <c r="R692" s="72">
        <v>1728</v>
      </c>
      <c r="S692" s="73" t="str">
        <f>4014144*$C819</f>
        <v>0</v>
      </c>
      <c r="T692" s="72">
        <v>1134</v>
      </c>
      <c r="U692" s="73" t="str">
        <f>2634282*$C819</f>
        <v>0</v>
      </c>
      <c r="V692" s="72">
        <v>756</v>
      </c>
      <c r="W692" s="73" t="str">
        <f>1756188*$C819</f>
        <v>0</v>
      </c>
      <c r="X692" s="72">
        <v>486</v>
      </c>
      <c r="Y692" s="73" t="str">
        <f>1128978*$C819</f>
        <v>0</v>
      </c>
      <c r="Z692" s="72">
        <v>756</v>
      </c>
      <c r="AA692" s="73" t="str">
        <f>1756188*$C819</f>
        <v>0</v>
      </c>
      <c r="AB692" s="72">
        <v>216</v>
      </c>
      <c r="AC692" s="73" t="str">
        <f>501768*$C819</f>
        <v>0</v>
      </c>
      <c r="AD692" s="72">
        <v>0</v>
      </c>
      <c r="AE692" s="73">
        <v>0</v>
      </c>
      <c r="AF692" s="72">
        <v>0</v>
      </c>
      <c r="AG692" s="88">
        <v>0</v>
      </c>
      <c r="AH692"/>
    </row>
    <row r="693" spans="1:34">
      <c r="B693" s="114">
        <v>674</v>
      </c>
      <c r="C693" s="117">
        <v>51</v>
      </c>
      <c r="D693" s="117"/>
      <c r="E693" s="117" t="s">
        <v>1298</v>
      </c>
      <c r="F693" s="117" t="s">
        <v>1299</v>
      </c>
      <c r="G693" s="117" t="s">
        <v>1474</v>
      </c>
      <c r="H693" s="117" t="s">
        <v>1475</v>
      </c>
      <c r="I693" s="120" t="s">
        <v>688</v>
      </c>
      <c r="J693" s="84">
        <v>0</v>
      </c>
      <c r="K693" s="73">
        <v>0</v>
      </c>
      <c r="L693" s="72">
        <v>0</v>
      </c>
      <c r="M693" s="73">
        <v>0</v>
      </c>
      <c r="N693" s="72">
        <v>0</v>
      </c>
      <c r="O693" s="73">
        <v>0</v>
      </c>
      <c r="P693" s="72">
        <v>0</v>
      </c>
      <c r="Q693" s="73">
        <v>0</v>
      </c>
      <c r="R693" s="72">
        <v>0</v>
      </c>
      <c r="S693" s="73">
        <v>0</v>
      </c>
      <c r="T693" s="72">
        <v>0</v>
      </c>
      <c r="U693" s="73">
        <v>0</v>
      </c>
      <c r="V693" s="72">
        <v>0</v>
      </c>
      <c r="W693" s="73">
        <v>0</v>
      </c>
      <c r="X693" s="72">
        <v>0</v>
      </c>
      <c r="Y693" s="73">
        <v>0</v>
      </c>
      <c r="Z693" s="72">
        <v>0</v>
      </c>
      <c r="AA693" s="73">
        <v>0</v>
      </c>
      <c r="AB693" s="72">
        <v>200</v>
      </c>
      <c r="AC693" s="73" t="str">
        <f>5600*$C819</f>
        <v>0</v>
      </c>
      <c r="AD693" s="72">
        <v>0</v>
      </c>
      <c r="AE693" s="73">
        <v>0</v>
      </c>
      <c r="AF693" s="72">
        <v>0</v>
      </c>
      <c r="AG693" s="88">
        <v>0</v>
      </c>
      <c r="AH693"/>
    </row>
    <row r="694" spans="1:34">
      <c r="B694" s="114">
        <v>675</v>
      </c>
      <c r="C694" s="117">
        <v>51</v>
      </c>
      <c r="D694" s="117"/>
      <c r="E694" s="117" t="s">
        <v>1298</v>
      </c>
      <c r="F694" s="117" t="s">
        <v>1299</v>
      </c>
      <c r="G694" s="117" t="s">
        <v>1470</v>
      </c>
      <c r="H694" s="117" t="s">
        <v>305</v>
      </c>
      <c r="I694" s="120" t="s">
        <v>548</v>
      </c>
      <c r="J694" s="84">
        <v>1000</v>
      </c>
      <c r="K694" s="73" t="str">
        <f>11000*$C819</f>
        <v>0</v>
      </c>
      <c r="L694" s="72">
        <v>1500</v>
      </c>
      <c r="M694" s="73" t="str">
        <f>16500*$C819</f>
        <v>0</v>
      </c>
      <c r="N694" s="72">
        <v>2500</v>
      </c>
      <c r="O694" s="73" t="str">
        <f>27500*$C819</f>
        <v>0</v>
      </c>
      <c r="P694" s="72">
        <v>8000</v>
      </c>
      <c r="Q694" s="73" t="str">
        <f>88000*$C819</f>
        <v>0</v>
      </c>
      <c r="R694" s="72">
        <v>2000</v>
      </c>
      <c r="S694" s="73" t="str">
        <f>22000*$C819</f>
        <v>0</v>
      </c>
      <c r="T694" s="72">
        <v>5000</v>
      </c>
      <c r="U694" s="73" t="str">
        <f>55000*$C819</f>
        <v>0</v>
      </c>
      <c r="V694" s="72">
        <v>3000</v>
      </c>
      <c r="W694" s="73" t="str">
        <f>33000*$C819</f>
        <v>0</v>
      </c>
      <c r="X694" s="72">
        <v>3000</v>
      </c>
      <c r="Y694" s="73" t="str">
        <f>33000*$C819</f>
        <v>0</v>
      </c>
      <c r="Z694" s="72">
        <v>4000</v>
      </c>
      <c r="AA694" s="73" t="str">
        <f>44000*$C819</f>
        <v>0</v>
      </c>
      <c r="AB694" s="72">
        <v>1000</v>
      </c>
      <c r="AC694" s="73" t="str">
        <f>11000*$C819</f>
        <v>0</v>
      </c>
      <c r="AD694" s="72">
        <v>0</v>
      </c>
      <c r="AE694" s="73">
        <v>0</v>
      </c>
      <c r="AF694" s="72">
        <v>0</v>
      </c>
      <c r="AG694" s="88">
        <v>0</v>
      </c>
      <c r="AH694"/>
    </row>
    <row r="695" spans="1:34">
      <c r="B695" s="114">
        <v>676</v>
      </c>
      <c r="C695" s="117">
        <v>51</v>
      </c>
      <c r="D695" s="117"/>
      <c r="E695" s="117" t="s">
        <v>1298</v>
      </c>
      <c r="F695" s="117" t="s">
        <v>1299</v>
      </c>
      <c r="G695" s="117" t="s">
        <v>1401</v>
      </c>
      <c r="H695" s="117" t="s">
        <v>1308</v>
      </c>
      <c r="I695" s="120" t="s">
        <v>1301</v>
      </c>
      <c r="J695" s="84">
        <v>1800</v>
      </c>
      <c r="K695" s="73" t="str">
        <f>28800*$C819</f>
        <v>0</v>
      </c>
      <c r="L695" s="72">
        <v>1800</v>
      </c>
      <c r="M695" s="73" t="str">
        <f>28800*$C819</f>
        <v>0</v>
      </c>
      <c r="N695" s="72">
        <v>4200</v>
      </c>
      <c r="O695" s="73" t="str">
        <f>67200*$C819</f>
        <v>0</v>
      </c>
      <c r="P695" s="72">
        <v>4800</v>
      </c>
      <c r="Q695" s="73" t="str">
        <f>76800*$C819</f>
        <v>0</v>
      </c>
      <c r="R695" s="72">
        <v>4200</v>
      </c>
      <c r="S695" s="73" t="str">
        <f>67200*$C819</f>
        <v>0</v>
      </c>
      <c r="T695" s="72">
        <v>3600</v>
      </c>
      <c r="U695" s="73" t="str">
        <f>57600*$C819</f>
        <v>0</v>
      </c>
      <c r="V695" s="72">
        <v>3000</v>
      </c>
      <c r="W695" s="73" t="str">
        <f>48000*$C819</f>
        <v>0</v>
      </c>
      <c r="X695" s="72">
        <v>2400</v>
      </c>
      <c r="Y695" s="73" t="str">
        <f>38400*$C819</f>
        <v>0</v>
      </c>
      <c r="Z695" s="72">
        <v>3000</v>
      </c>
      <c r="AA695" s="73" t="str">
        <f>48000*$C819</f>
        <v>0</v>
      </c>
      <c r="AB695" s="72">
        <v>1200</v>
      </c>
      <c r="AC695" s="73" t="str">
        <f>19200*$C819</f>
        <v>0</v>
      </c>
      <c r="AD695" s="72">
        <v>0</v>
      </c>
      <c r="AE695" s="73">
        <v>0</v>
      </c>
      <c r="AF695" s="72">
        <v>0</v>
      </c>
      <c r="AG695" s="88">
        <v>0</v>
      </c>
      <c r="AH695"/>
    </row>
    <row r="696" spans="1:34">
      <c r="B696" s="114">
        <v>677</v>
      </c>
      <c r="C696" s="117">
        <v>51</v>
      </c>
      <c r="D696" s="117"/>
      <c r="E696" s="117" t="s">
        <v>1298</v>
      </c>
      <c r="F696" s="117" t="s">
        <v>1299</v>
      </c>
      <c r="G696" s="117" t="s">
        <v>1404</v>
      </c>
      <c r="H696" s="117" t="s">
        <v>555</v>
      </c>
      <c r="I696" s="120" t="s">
        <v>623</v>
      </c>
      <c r="J696" s="84">
        <v>1200</v>
      </c>
      <c r="K696" s="73" t="str">
        <f>177600*$C819</f>
        <v>0</v>
      </c>
      <c r="L696" s="72">
        <v>1440</v>
      </c>
      <c r="M696" s="73" t="str">
        <f>213120*$C819</f>
        <v>0</v>
      </c>
      <c r="N696" s="72">
        <v>4320</v>
      </c>
      <c r="O696" s="73" t="str">
        <f>639360*$C819</f>
        <v>0</v>
      </c>
      <c r="P696" s="72">
        <v>4800</v>
      </c>
      <c r="Q696" s="73" t="str">
        <f>710400*$C819</f>
        <v>0</v>
      </c>
      <c r="R696" s="72">
        <v>6600</v>
      </c>
      <c r="S696" s="73" t="str">
        <f>976800*$C819</f>
        <v>0</v>
      </c>
      <c r="T696" s="72">
        <v>5400</v>
      </c>
      <c r="U696" s="73" t="str">
        <f>799200*$C819</f>
        <v>0</v>
      </c>
      <c r="V696" s="72">
        <v>6600</v>
      </c>
      <c r="W696" s="73" t="str">
        <f>976800*$C819</f>
        <v>0</v>
      </c>
      <c r="X696" s="72">
        <v>5400</v>
      </c>
      <c r="Y696" s="73" t="str">
        <f>799200*$C819</f>
        <v>0</v>
      </c>
      <c r="Z696" s="72">
        <v>6000</v>
      </c>
      <c r="AA696" s="73" t="str">
        <f>888000*$C819</f>
        <v>0</v>
      </c>
      <c r="AB696" s="72">
        <v>3480</v>
      </c>
      <c r="AC696" s="73" t="str">
        <f>515040*$C819</f>
        <v>0</v>
      </c>
      <c r="AD696" s="72">
        <v>0</v>
      </c>
      <c r="AE696" s="73">
        <v>0</v>
      </c>
      <c r="AF696" s="72">
        <v>0</v>
      </c>
      <c r="AG696" s="88">
        <v>0</v>
      </c>
      <c r="AH696"/>
    </row>
    <row r="697" spans="1:34">
      <c r="B697" s="114">
        <v>678</v>
      </c>
      <c r="C697" s="117">
        <v>51</v>
      </c>
      <c r="D697" s="117"/>
      <c r="E697" s="117" t="s">
        <v>1298</v>
      </c>
      <c r="F697" s="117" t="s">
        <v>1299</v>
      </c>
      <c r="G697" s="117" t="s">
        <v>1469</v>
      </c>
      <c r="H697" s="117" t="s">
        <v>1020</v>
      </c>
      <c r="I697" s="120" t="s">
        <v>623</v>
      </c>
      <c r="J697" s="84">
        <v>3000</v>
      </c>
      <c r="K697" s="73" t="str">
        <f>9000*$C819</f>
        <v>0</v>
      </c>
      <c r="L697" s="72">
        <v>6000</v>
      </c>
      <c r="M697" s="73" t="str">
        <f>18000*$C819</f>
        <v>0</v>
      </c>
      <c r="N697" s="72">
        <v>16000</v>
      </c>
      <c r="O697" s="73" t="str">
        <f>48000*$C819</f>
        <v>0</v>
      </c>
      <c r="P697" s="72">
        <v>22000</v>
      </c>
      <c r="Q697" s="73" t="str">
        <f>66000*$C819</f>
        <v>0</v>
      </c>
      <c r="R697" s="72">
        <v>18000</v>
      </c>
      <c r="S697" s="73" t="str">
        <f>54000*$C819</f>
        <v>0</v>
      </c>
      <c r="T697" s="72">
        <v>8000</v>
      </c>
      <c r="U697" s="73" t="str">
        <f>24000*$C819</f>
        <v>0</v>
      </c>
      <c r="V697" s="72">
        <v>14000</v>
      </c>
      <c r="W697" s="73" t="str">
        <f>42000*$C819</f>
        <v>0</v>
      </c>
      <c r="X697" s="72">
        <v>12000</v>
      </c>
      <c r="Y697" s="73" t="str">
        <f>36000*$C819</f>
        <v>0</v>
      </c>
      <c r="Z697" s="72">
        <v>12000</v>
      </c>
      <c r="AA697" s="73" t="str">
        <f>36000*$C819</f>
        <v>0</v>
      </c>
      <c r="AB697" s="72">
        <v>0</v>
      </c>
      <c r="AC697" s="73">
        <v>0</v>
      </c>
      <c r="AD697" s="72">
        <v>0</v>
      </c>
      <c r="AE697" s="73">
        <v>0</v>
      </c>
      <c r="AF697" s="72">
        <v>0</v>
      </c>
      <c r="AG697" s="88">
        <v>0</v>
      </c>
      <c r="AH697"/>
    </row>
    <row r="698" spans="1:34">
      <c r="B698" s="114">
        <v>679</v>
      </c>
      <c r="C698" s="117">
        <v>51</v>
      </c>
      <c r="D698" s="117"/>
      <c r="E698" s="117" t="s">
        <v>1298</v>
      </c>
      <c r="F698" s="117" t="s">
        <v>1299</v>
      </c>
      <c r="G698" s="117" t="s">
        <v>1473</v>
      </c>
      <c r="H698" s="117" t="s">
        <v>292</v>
      </c>
      <c r="I698" s="120" t="s">
        <v>1337</v>
      </c>
      <c r="J698" s="84">
        <v>0</v>
      </c>
      <c r="K698" s="73">
        <v>0</v>
      </c>
      <c r="L698" s="72">
        <v>0</v>
      </c>
      <c r="M698" s="73">
        <v>0</v>
      </c>
      <c r="N698" s="72">
        <v>0</v>
      </c>
      <c r="O698" s="73">
        <v>0</v>
      </c>
      <c r="P698" s="72">
        <v>0</v>
      </c>
      <c r="Q698" s="73">
        <v>0</v>
      </c>
      <c r="R698" s="72">
        <v>0</v>
      </c>
      <c r="S698" s="73">
        <v>0</v>
      </c>
      <c r="T698" s="72">
        <v>0</v>
      </c>
      <c r="U698" s="73">
        <v>0</v>
      </c>
      <c r="V698" s="72">
        <v>0</v>
      </c>
      <c r="W698" s="73">
        <v>0</v>
      </c>
      <c r="X698" s="72">
        <v>420</v>
      </c>
      <c r="Y698" s="73" t="str">
        <f>67200*$C819</f>
        <v>0</v>
      </c>
      <c r="Z698" s="72">
        <v>0</v>
      </c>
      <c r="AA698" s="73">
        <v>0</v>
      </c>
      <c r="AB698" s="72">
        <v>140</v>
      </c>
      <c r="AC698" s="73" t="str">
        <f>22400*$C819</f>
        <v>0</v>
      </c>
      <c r="AD698" s="72">
        <v>0</v>
      </c>
      <c r="AE698" s="73">
        <v>0</v>
      </c>
      <c r="AF698" s="72">
        <v>0</v>
      </c>
      <c r="AG698" s="88">
        <v>0</v>
      </c>
      <c r="AH698"/>
    </row>
    <row r="699" spans="1:34">
      <c r="B699" s="114">
        <v>680</v>
      </c>
      <c r="C699" s="117">
        <v>51</v>
      </c>
      <c r="D699" s="117"/>
      <c r="E699" s="117" t="s">
        <v>1298</v>
      </c>
      <c r="F699" s="117" t="s">
        <v>1299</v>
      </c>
      <c r="G699" s="117" t="s">
        <v>1405</v>
      </c>
      <c r="H699" s="117" t="s">
        <v>659</v>
      </c>
      <c r="I699" s="120" t="s">
        <v>623</v>
      </c>
      <c r="J699" s="84">
        <v>100</v>
      </c>
      <c r="K699" s="73" t="str">
        <f>43600*$C819</f>
        <v>0</v>
      </c>
      <c r="L699" s="72">
        <v>600</v>
      </c>
      <c r="M699" s="73" t="str">
        <f>261600*$C819</f>
        <v>0</v>
      </c>
      <c r="N699" s="72">
        <v>1500</v>
      </c>
      <c r="O699" s="73" t="str">
        <f>654000*$C819</f>
        <v>0</v>
      </c>
      <c r="P699" s="72">
        <v>600</v>
      </c>
      <c r="Q699" s="73" t="str">
        <f>261600*$C819</f>
        <v>0</v>
      </c>
      <c r="R699" s="72">
        <v>2100</v>
      </c>
      <c r="S699" s="73" t="str">
        <f>915600*$C819</f>
        <v>0</v>
      </c>
      <c r="T699" s="72">
        <v>1700</v>
      </c>
      <c r="U699" s="73" t="str">
        <f>741200*$C819</f>
        <v>0</v>
      </c>
      <c r="V699" s="72">
        <v>1300</v>
      </c>
      <c r="W699" s="73" t="str">
        <f>566800*$C819</f>
        <v>0</v>
      </c>
      <c r="X699" s="72">
        <v>600</v>
      </c>
      <c r="Y699" s="73" t="str">
        <f>261600*$C819</f>
        <v>0</v>
      </c>
      <c r="Z699" s="72">
        <v>800</v>
      </c>
      <c r="AA699" s="73" t="str">
        <f>348800*$C819</f>
        <v>0</v>
      </c>
      <c r="AB699" s="72">
        <v>200</v>
      </c>
      <c r="AC699" s="73" t="str">
        <f>87200*$C819</f>
        <v>0</v>
      </c>
      <c r="AD699" s="72">
        <v>0</v>
      </c>
      <c r="AE699" s="73">
        <v>0</v>
      </c>
      <c r="AF699" s="72">
        <v>0</v>
      </c>
      <c r="AG699" s="88">
        <v>0</v>
      </c>
      <c r="AH699"/>
    </row>
    <row r="700" spans="1:34">
      <c r="B700" s="114">
        <v>681</v>
      </c>
      <c r="C700" s="117">
        <v>51</v>
      </c>
      <c r="D700" s="117"/>
      <c r="E700" s="117" t="s">
        <v>1298</v>
      </c>
      <c r="F700" s="117" t="s">
        <v>1299</v>
      </c>
      <c r="G700" s="117" t="s">
        <v>1408</v>
      </c>
      <c r="H700" s="117" t="s">
        <v>622</v>
      </c>
      <c r="I700" s="120" t="s">
        <v>623</v>
      </c>
      <c r="J700" s="84">
        <v>300</v>
      </c>
      <c r="K700" s="73" t="str">
        <f>316500*$C819</f>
        <v>0</v>
      </c>
      <c r="L700" s="72">
        <v>296</v>
      </c>
      <c r="M700" s="73" t="str">
        <f>312280*$C819</f>
        <v>0</v>
      </c>
      <c r="N700" s="72">
        <v>749</v>
      </c>
      <c r="O700" s="73" t="str">
        <f>790195*$C819</f>
        <v>0</v>
      </c>
      <c r="P700" s="72">
        <v>493</v>
      </c>
      <c r="Q700" s="73" t="str">
        <f>520115*$C819</f>
        <v>0</v>
      </c>
      <c r="R700" s="72">
        <v>1575</v>
      </c>
      <c r="S700" s="73" t="str">
        <f>1661625*$C819</f>
        <v>0</v>
      </c>
      <c r="T700" s="72">
        <v>894</v>
      </c>
      <c r="U700" s="73" t="str">
        <f>943170*$C819</f>
        <v>0</v>
      </c>
      <c r="V700" s="72">
        <v>597</v>
      </c>
      <c r="W700" s="73" t="str">
        <f>629835*$C819</f>
        <v>0</v>
      </c>
      <c r="X700" s="72">
        <v>450</v>
      </c>
      <c r="Y700" s="73" t="str">
        <f>474750*$C819</f>
        <v>0</v>
      </c>
      <c r="Z700" s="72">
        <v>450</v>
      </c>
      <c r="AA700" s="73" t="str">
        <f>474750*$C819</f>
        <v>0</v>
      </c>
      <c r="AB700" s="72">
        <v>150</v>
      </c>
      <c r="AC700" s="73" t="str">
        <f>158250*$C819</f>
        <v>0</v>
      </c>
      <c r="AD700" s="72">
        <v>0</v>
      </c>
      <c r="AE700" s="73">
        <v>0</v>
      </c>
      <c r="AF700" s="72">
        <v>0</v>
      </c>
      <c r="AG700" s="88">
        <v>0</v>
      </c>
      <c r="AH700"/>
    </row>
    <row r="701" spans="1:34">
      <c r="B701" s="114">
        <v>682</v>
      </c>
      <c r="C701" s="117">
        <v>51</v>
      </c>
      <c r="D701" s="117"/>
      <c r="E701" s="117" t="s">
        <v>1298</v>
      </c>
      <c r="F701" s="117" t="s">
        <v>1299</v>
      </c>
      <c r="G701" s="117" t="s">
        <v>1468</v>
      </c>
      <c r="H701" s="117" t="s">
        <v>1390</v>
      </c>
      <c r="I701" s="120" t="s">
        <v>548</v>
      </c>
      <c r="J701" s="84">
        <v>600</v>
      </c>
      <c r="K701" s="73" t="str">
        <f>28800*$C819</f>
        <v>0</v>
      </c>
      <c r="L701" s="72">
        <v>600</v>
      </c>
      <c r="M701" s="73" t="str">
        <f>28800*$C819</f>
        <v>0</v>
      </c>
      <c r="N701" s="72">
        <v>2100</v>
      </c>
      <c r="O701" s="73" t="str">
        <f>100800*$C819</f>
        <v>0</v>
      </c>
      <c r="P701" s="72">
        <v>2400</v>
      </c>
      <c r="Q701" s="73" t="str">
        <f>115200*$C819</f>
        <v>0</v>
      </c>
      <c r="R701" s="72">
        <v>3000</v>
      </c>
      <c r="S701" s="73" t="str">
        <f>144000*$C819</f>
        <v>0</v>
      </c>
      <c r="T701" s="72">
        <v>1500</v>
      </c>
      <c r="U701" s="73" t="str">
        <f>72000*$C819</f>
        <v>0</v>
      </c>
      <c r="V701" s="72">
        <v>900</v>
      </c>
      <c r="W701" s="73" t="str">
        <f>43200*$C819</f>
        <v>0</v>
      </c>
      <c r="X701" s="72">
        <v>2400</v>
      </c>
      <c r="Y701" s="73" t="str">
        <f>115200*$C819</f>
        <v>0</v>
      </c>
      <c r="Z701" s="72">
        <v>0</v>
      </c>
      <c r="AA701" s="73">
        <v>0</v>
      </c>
      <c r="AB701" s="72">
        <v>300</v>
      </c>
      <c r="AC701" s="73" t="str">
        <f>14400*$C819</f>
        <v>0</v>
      </c>
      <c r="AD701" s="72">
        <v>0</v>
      </c>
      <c r="AE701" s="73">
        <v>0</v>
      </c>
      <c r="AF701" s="72">
        <v>0</v>
      </c>
      <c r="AG701" s="88">
        <v>0</v>
      </c>
      <c r="AH701"/>
    </row>
    <row r="702" spans="1:34">
      <c r="B702" s="114">
        <v>683</v>
      </c>
      <c r="C702" s="117">
        <v>51</v>
      </c>
      <c r="D702" s="117"/>
      <c r="E702" s="117" t="s">
        <v>1298</v>
      </c>
      <c r="F702" s="117" t="s">
        <v>1299</v>
      </c>
      <c r="G702" s="117" t="s">
        <v>1471</v>
      </c>
      <c r="H702" s="117" t="s">
        <v>1472</v>
      </c>
      <c r="I702" s="120" t="s">
        <v>548</v>
      </c>
      <c r="J702" s="84">
        <v>432</v>
      </c>
      <c r="K702" s="73" t="str">
        <f>841104*$C819</f>
        <v>0</v>
      </c>
      <c r="L702" s="72">
        <v>648</v>
      </c>
      <c r="M702" s="73" t="str">
        <f>1261656*$C819</f>
        <v>0</v>
      </c>
      <c r="N702" s="72">
        <v>1080</v>
      </c>
      <c r="O702" s="73" t="str">
        <f>2102760*$C819</f>
        <v>0</v>
      </c>
      <c r="P702" s="72">
        <v>648</v>
      </c>
      <c r="Q702" s="73" t="str">
        <f>1261656*$C819</f>
        <v>0</v>
      </c>
      <c r="R702" s="72">
        <v>1944</v>
      </c>
      <c r="S702" s="73" t="str">
        <f>3784968*$C819</f>
        <v>0</v>
      </c>
      <c r="T702" s="72">
        <v>648</v>
      </c>
      <c r="U702" s="73" t="str">
        <f>1261656*$C819</f>
        <v>0</v>
      </c>
      <c r="V702" s="72">
        <v>648</v>
      </c>
      <c r="W702" s="73" t="str">
        <f>1261656*$C819</f>
        <v>0</v>
      </c>
      <c r="X702" s="72">
        <v>864</v>
      </c>
      <c r="Y702" s="73" t="str">
        <f>1682208*$C819</f>
        <v>0</v>
      </c>
      <c r="Z702" s="72">
        <v>432</v>
      </c>
      <c r="AA702" s="73" t="str">
        <f>841104*$C819</f>
        <v>0</v>
      </c>
      <c r="AB702" s="72">
        <v>216</v>
      </c>
      <c r="AC702" s="73" t="str">
        <f>420552*$C819</f>
        <v>0</v>
      </c>
      <c r="AD702" s="72">
        <v>0</v>
      </c>
      <c r="AE702" s="73">
        <v>0</v>
      </c>
      <c r="AF702" s="72">
        <v>0</v>
      </c>
      <c r="AG702" s="88">
        <v>0</v>
      </c>
      <c r="AH702"/>
    </row>
    <row r="703" spans="1:34">
      <c r="B703" s="114">
        <v>684</v>
      </c>
      <c r="C703" s="117">
        <v>51</v>
      </c>
      <c r="D703" s="117"/>
      <c r="E703" s="117" t="s">
        <v>1298</v>
      </c>
      <c r="F703" s="117" t="s">
        <v>1299</v>
      </c>
      <c r="G703" s="117" t="s">
        <v>1410</v>
      </c>
      <c r="H703" s="117" t="s">
        <v>1411</v>
      </c>
      <c r="I703" s="120"/>
      <c r="J703" s="84">
        <v>0</v>
      </c>
      <c r="K703" s="73">
        <v>0</v>
      </c>
      <c r="L703" s="72">
        <v>0</v>
      </c>
      <c r="M703" s="73">
        <v>0</v>
      </c>
      <c r="N703" s="72">
        <v>0</v>
      </c>
      <c r="O703" s="73">
        <v>0</v>
      </c>
      <c r="P703" s="72">
        <v>0</v>
      </c>
      <c r="Q703" s="73">
        <v>0</v>
      </c>
      <c r="R703" s="72">
        <v>3</v>
      </c>
      <c r="S703" s="73" t="str">
        <f>13155*$C819</f>
        <v>0</v>
      </c>
      <c r="T703" s="72">
        <v>6</v>
      </c>
      <c r="U703" s="73" t="str">
        <f>26310*$C819</f>
        <v>0</v>
      </c>
      <c r="V703" s="72">
        <v>10</v>
      </c>
      <c r="W703" s="73" t="str">
        <f>43850*$C819</f>
        <v>0</v>
      </c>
      <c r="X703" s="72">
        <v>0</v>
      </c>
      <c r="Y703" s="73">
        <v>0</v>
      </c>
      <c r="Z703" s="72">
        <v>0</v>
      </c>
      <c r="AA703" s="73">
        <v>0</v>
      </c>
      <c r="AB703" s="72">
        <v>0</v>
      </c>
      <c r="AC703" s="73">
        <v>0</v>
      </c>
      <c r="AD703" s="72">
        <v>0</v>
      </c>
      <c r="AE703" s="73">
        <v>0</v>
      </c>
      <c r="AF703" s="72">
        <v>0</v>
      </c>
      <c r="AG703" s="88">
        <v>0</v>
      </c>
      <c r="AH703"/>
    </row>
    <row r="704" spans="1:34">
      <c r="B704" s="114">
        <v>685</v>
      </c>
      <c r="C704" s="117">
        <v>51</v>
      </c>
      <c r="D704" s="117"/>
      <c r="E704" s="117" t="s">
        <v>1298</v>
      </c>
      <c r="F704" s="117" t="s">
        <v>1299</v>
      </c>
      <c r="G704" s="117" t="s">
        <v>1476</v>
      </c>
      <c r="H704" s="117" t="s">
        <v>1477</v>
      </c>
      <c r="I704" s="120" t="s">
        <v>1301</v>
      </c>
      <c r="J704" s="84">
        <v>144</v>
      </c>
      <c r="K704" s="73" t="str">
        <f>312624*$C819</f>
        <v>0</v>
      </c>
      <c r="L704" s="72">
        <v>0</v>
      </c>
      <c r="M704" s="73">
        <v>0</v>
      </c>
      <c r="N704" s="72">
        <v>216</v>
      </c>
      <c r="O704" s="73" t="str">
        <f>468936*$C819</f>
        <v>0</v>
      </c>
      <c r="P704" s="72">
        <v>0</v>
      </c>
      <c r="Q704" s="73">
        <v>0</v>
      </c>
      <c r="R704" s="72">
        <v>0</v>
      </c>
      <c r="S704" s="73">
        <v>0</v>
      </c>
      <c r="T704" s="72">
        <v>0</v>
      </c>
      <c r="U704" s="73">
        <v>0</v>
      </c>
      <c r="V704" s="72">
        <v>0</v>
      </c>
      <c r="W704" s="73">
        <v>0</v>
      </c>
      <c r="X704" s="72">
        <v>0</v>
      </c>
      <c r="Y704" s="73">
        <v>0</v>
      </c>
      <c r="Z704" s="72">
        <v>0</v>
      </c>
      <c r="AA704" s="73">
        <v>0</v>
      </c>
      <c r="AB704" s="72">
        <v>0</v>
      </c>
      <c r="AC704" s="73">
        <v>0</v>
      </c>
      <c r="AD704" s="72">
        <v>0</v>
      </c>
      <c r="AE704" s="73">
        <v>0</v>
      </c>
      <c r="AF704" s="72">
        <v>0</v>
      </c>
      <c r="AG704" s="88">
        <v>0</v>
      </c>
      <c r="AH704"/>
    </row>
    <row r="705" spans="1:34">
      <c r="B705" s="114">
        <v>686</v>
      </c>
      <c r="C705" s="117">
        <v>51</v>
      </c>
      <c r="D705" s="117"/>
      <c r="E705" s="117" t="s">
        <v>1298</v>
      </c>
      <c r="F705" s="117" t="s">
        <v>1299</v>
      </c>
      <c r="G705" s="117" t="s">
        <v>1406</v>
      </c>
      <c r="H705" s="117" t="s">
        <v>1407</v>
      </c>
      <c r="I705" s="120" t="s">
        <v>688</v>
      </c>
      <c r="J705" s="84">
        <v>0</v>
      </c>
      <c r="K705" s="73">
        <v>0</v>
      </c>
      <c r="L705" s="72">
        <v>120</v>
      </c>
      <c r="M705" s="73" t="str">
        <f>30960*$C819</f>
        <v>0</v>
      </c>
      <c r="N705" s="72">
        <v>0</v>
      </c>
      <c r="O705" s="73">
        <v>0</v>
      </c>
      <c r="P705" s="72">
        <v>0</v>
      </c>
      <c r="Q705" s="73">
        <v>0</v>
      </c>
      <c r="R705" s="72">
        <v>0</v>
      </c>
      <c r="S705" s="73">
        <v>0</v>
      </c>
      <c r="T705" s="72">
        <v>0</v>
      </c>
      <c r="U705" s="73">
        <v>0</v>
      </c>
      <c r="V705" s="72">
        <v>0</v>
      </c>
      <c r="W705" s="73">
        <v>0</v>
      </c>
      <c r="X705" s="72">
        <v>0</v>
      </c>
      <c r="Y705" s="73">
        <v>0</v>
      </c>
      <c r="Z705" s="72">
        <v>0</v>
      </c>
      <c r="AA705" s="73">
        <v>0</v>
      </c>
      <c r="AB705" s="72">
        <v>0</v>
      </c>
      <c r="AC705" s="73">
        <v>0</v>
      </c>
      <c r="AD705" s="72">
        <v>0</v>
      </c>
      <c r="AE705" s="73">
        <v>0</v>
      </c>
      <c r="AF705" s="72">
        <v>0</v>
      </c>
      <c r="AG705" s="88">
        <v>0</v>
      </c>
      <c r="AH705"/>
    </row>
    <row r="706" spans="1:34">
      <c r="B706" s="114">
        <v>687</v>
      </c>
      <c r="C706" s="117">
        <v>51</v>
      </c>
      <c r="D706" s="117"/>
      <c r="E706" s="117" t="s">
        <v>1298</v>
      </c>
      <c r="F706" s="117" t="s">
        <v>1299</v>
      </c>
      <c r="G706" s="117" t="s">
        <v>1415</v>
      </c>
      <c r="H706" s="117" t="s">
        <v>1416</v>
      </c>
      <c r="I706" s="120" t="s">
        <v>623</v>
      </c>
      <c r="J706" s="84">
        <v>2000</v>
      </c>
      <c r="K706" s="73" t="str">
        <f>14000*$C819</f>
        <v>0</v>
      </c>
      <c r="L706" s="72">
        <v>2000</v>
      </c>
      <c r="M706" s="73" t="str">
        <f>14000*$C819</f>
        <v>0</v>
      </c>
      <c r="N706" s="72">
        <v>14000</v>
      </c>
      <c r="O706" s="73" t="str">
        <f>98000*$C819</f>
        <v>0</v>
      </c>
      <c r="P706" s="72">
        <v>8000</v>
      </c>
      <c r="Q706" s="73" t="str">
        <f>56000*$C819</f>
        <v>0</v>
      </c>
      <c r="R706" s="72">
        <v>16000</v>
      </c>
      <c r="S706" s="73" t="str">
        <f>112000*$C819</f>
        <v>0</v>
      </c>
      <c r="T706" s="72">
        <v>16000</v>
      </c>
      <c r="U706" s="73" t="str">
        <f>112000*$C819</f>
        <v>0</v>
      </c>
      <c r="V706" s="72">
        <v>4000</v>
      </c>
      <c r="W706" s="73" t="str">
        <f>28000*$C819</f>
        <v>0</v>
      </c>
      <c r="X706" s="72">
        <v>6000</v>
      </c>
      <c r="Y706" s="73" t="str">
        <f>42000*$C819</f>
        <v>0</v>
      </c>
      <c r="Z706" s="72">
        <v>8000</v>
      </c>
      <c r="AA706" s="73" t="str">
        <f>56000*$C819</f>
        <v>0</v>
      </c>
      <c r="AB706" s="72">
        <v>2000</v>
      </c>
      <c r="AC706" s="73" t="str">
        <f>14000*$C819</f>
        <v>0</v>
      </c>
      <c r="AD706" s="72">
        <v>0</v>
      </c>
      <c r="AE706" s="73">
        <v>0</v>
      </c>
      <c r="AF706" s="72">
        <v>0</v>
      </c>
      <c r="AG706" s="88">
        <v>0</v>
      </c>
      <c r="AH706"/>
    </row>
    <row r="707" spans="1:34">
      <c r="B707" s="114">
        <v>688</v>
      </c>
      <c r="C707" s="117">
        <v>51</v>
      </c>
      <c r="D707" s="117"/>
      <c r="E707" s="117" t="s">
        <v>1298</v>
      </c>
      <c r="F707" s="117" t="s">
        <v>1299</v>
      </c>
      <c r="G707" s="117" t="s">
        <v>1478</v>
      </c>
      <c r="H707" s="117" t="s">
        <v>1479</v>
      </c>
      <c r="I707" s="120" t="s">
        <v>548</v>
      </c>
      <c r="J707" s="84">
        <v>6000</v>
      </c>
      <c r="K707" s="73" t="str">
        <f>30000*$C819</f>
        <v>0</v>
      </c>
      <c r="L707" s="72">
        <v>14000</v>
      </c>
      <c r="M707" s="73" t="str">
        <f>70000*$C819</f>
        <v>0</v>
      </c>
      <c r="N707" s="72">
        <v>41000</v>
      </c>
      <c r="O707" s="73" t="str">
        <f>205000*$C819</f>
        <v>0</v>
      </c>
      <c r="P707" s="72">
        <v>48000</v>
      </c>
      <c r="Q707" s="73" t="str">
        <f>240000*$C819</f>
        <v>0</v>
      </c>
      <c r="R707" s="72">
        <v>50000</v>
      </c>
      <c r="S707" s="73" t="str">
        <f>250000*$C819</f>
        <v>0</v>
      </c>
      <c r="T707" s="72">
        <v>42000</v>
      </c>
      <c r="U707" s="73" t="str">
        <f>210000*$C819</f>
        <v>0</v>
      </c>
      <c r="V707" s="72">
        <v>46500</v>
      </c>
      <c r="W707" s="73" t="str">
        <f>232500*$C819</f>
        <v>0</v>
      </c>
      <c r="X707" s="72">
        <v>113500</v>
      </c>
      <c r="Y707" s="73" t="str">
        <f>567500*$C819</f>
        <v>0</v>
      </c>
      <c r="Z707" s="72">
        <v>44000</v>
      </c>
      <c r="AA707" s="73" t="str">
        <f>220000*$C819</f>
        <v>0</v>
      </c>
      <c r="AB707" s="72">
        <v>11000</v>
      </c>
      <c r="AC707" s="73" t="str">
        <f>55000*$C819</f>
        <v>0</v>
      </c>
      <c r="AD707" s="72">
        <v>0</v>
      </c>
      <c r="AE707" s="73">
        <v>0</v>
      </c>
      <c r="AF707" s="72">
        <v>0</v>
      </c>
      <c r="AG707" s="88">
        <v>0</v>
      </c>
      <c r="AH707"/>
    </row>
    <row r="708" spans="1:34">
      <c r="B708" s="114">
        <v>689</v>
      </c>
      <c r="C708" s="117">
        <v>51</v>
      </c>
      <c r="D708" s="117"/>
      <c r="E708" s="117" t="s">
        <v>1298</v>
      </c>
      <c r="F708" s="117" t="s">
        <v>1299</v>
      </c>
      <c r="G708" s="117" t="s">
        <v>1483</v>
      </c>
      <c r="H708" s="117" t="s">
        <v>1481</v>
      </c>
      <c r="I708" s="120" t="s">
        <v>623</v>
      </c>
      <c r="J708" s="84">
        <v>2500</v>
      </c>
      <c r="K708" s="73" t="str">
        <f>282500*$C819</f>
        <v>0</v>
      </c>
      <c r="L708" s="72">
        <v>500</v>
      </c>
      <c r="M708" s="73" t="str">
        <f>56500*$C819</f>
        <v>0</v>
      </c>
      <c r="N708" s="72">
        <v>10000</v>
      </c>
      <c r="O708" s="73" t="str">
        <f>1130000*$C819</f>
        <v>0</v>
      </c>
      <c r="P708" s="72">
        <v>11000</v>
      </c>
      <c r="Q708" s="73" t="str">
        <f>1243000*$C819</f>
        <v>0</v>
      </c>
      <c r="R708" s="72">
        <v>9000</v>
      </c>
      <c r="S708" s="73" t="str">
        <f>1017000*$C819</f>
        <v>0</v>
      </c>
      <c r="T708" s="72">
        <v>7500</v>
      </c>
      <c r="U708" s="73" t="str">
        <f>847500*$C819</f>
        <v>0</v>
      </c>
      <c r="V708" s="72">
        <v>6500</v>
      </c>
      <c r="W708" s="73" t="str">
        <f>734500*$C819</f>
        <v>0</v>
      </c>
      <c r="X708" s="72">
        <v>7500</v>
      </c>
      <c r="Y708" s="73" t="str">
        <f>847500*$C819</f>
        <v>0</v>
      </c>
      <c r="Z708" s="72">
        <v>7000</v>
      </c>
      <c r="AA708" s="73" t="str">
        <f>791000*$C819</f>
        <v>0</v>
      </c>
      <c r="AB708" s="72">
        <v>2100</v>
      </c>
      <c r="AC708" s="73" t="str">
        <f>237300*$C819</f>
        <v>0</v>
      </c>
      <c r="AD708" s="72">
        <v>0</v>
      </c>
      <c r="AE708" s="73">
        <v>0</v>
      </c>
      <c r="AF708" s="72">
        <v>0</v>
      </c>
      <c r="AG708" s="88">
        <v>0</v>
      </c>
      <c r="AH708"/>
    </row>
    <row r="709" spans="1:34">
      <c r="B709" s="114">
        <v>690</v>
      </c>
      <c r="C709" s="117">
        <v>51</v>
      </c>
      <c r="D709" s="117"/>
      <c r="E709" s="117" t="s">
        <v>1298</v>
      </c>
      <c r="F709" s="117" t="s">
        <v>1299</v>
      </c>
      <c r="G709" s="117" t="s">
        <v>1485</v>
      </c>
      <c r="H709" s="117" t="s">
        <v>1390</v>
      </c>
      <c r="I709" s="120" t="s">
        <v>455</v>
      </c>
      <c r="J709" s="84">
        <v>0</v>
      </c>
      <c r="K709" s="73">
        <v>0</v>
      </c>
      <c r="L709" s="72">
        <v>1500</v>
      </c>
      <c r="M709" s="73" t="str">
        <f>55500*$C819</f>
        <v>0</v>
      </c>
      <c r="N709" s="72">
        <v>1500</v>
      </c>
      <c r="O709" s="73" t="str">
        <f>55500*$C819</f>
        <v>0</v>
      </c>
      <c r="P709" s="72">
        <v>3000</v>
      </c>
      <c r="Q709" s="73" t="str">
        <f>111000*$C819</f>
        <v>0</v>
      </c>
      <c r="R709" s="72">
        <v>0</v>
      </c>
      <c r="S709" s="73">
        <v>0</v>
      </c>
      <c r="T709" s="72">
        <v>0</v>
      </c>
      <c r="U709" s="73">
        <v>0</v>
      </c>
      <c r="V709" s="72">
        <v>0</v>
      </c>
      <c r="W709" s="73">
        <v>0</v>
      </c>
      <c r="X709" s="72">
        <v>1000</v>
      </c>
      <c r="Y709" s="73" t="str">
        <f>37000*$C819</f>
        <v>0</v>
      </c>
      <c r="Z709" s="72">
        <v>0</v>
      </c>
      <c r="AA709" s="73">
        <v>0</v>
      </c>
      <c r="AB709" s="72">
        <v>400</v>
      </c>
      <c r="AC709" s="73" t="str">
        <f>14800*$C819</f>
        <v>0</v>
      </c>
      <c r="AD709" s="72">
        <v>0</v>
      </c>
      <c r="AE709" s="73">
        <v>0</v>
      </c>
      <c r="AF709" s="72">
        <v>0</v>
      </c>
      <c r="AG709" s="88">
        <v>0</v>
      </c>
      <c r="AH709"/>
    </row>
    <row r="710" spans="1:34">
      <c r="B710" s="114">
        <v>691</v>
      </c>
      <c r="C710" s="117">
        <v>51</v>
      </c>
      <c r="D710" s="117"/>
      <c r="E710" s="117" t="s">
        <v>1298</v>
      </c>
      <c r="F710" s="117" t="s">
        <v>1299</v>
      </c>
      <c r="G710" s="117" t="s">
        <v>1413</v>
      </c>
      <c r="H710" s="117" t="s">
        <v>1403</v>
      </c>
      <c r="I710" s="120" t="s">
        <v>623</v>
      </c>
      <c r="J710" s="84">
        <v>486</v>
      </c>
      <c r="K710" s="73" t="str">
        <f>971514*$C819</f>
        <v>0</v>
      </c>
      <c r="L710" s="72">
        <v>1215</v>
      </c>
      <c r="M710" s="73" t="str">
        <f>2428785*$C819</f>
        <v>0</v>
      </c>
      <c r="N710" s="72">
        <v>3321</v>
      </c>
      <c r="O710" s="73" t="str">
        <f>6638679*$C819</f>
        <v>0</v>
      </c>
      <c r="P710" s="72">
        <v>3402</v>
      </c>
      <c r="Q710" s="73" t="str">
        <f>6800598*$C819</f>
        <v>0</v>
      </c>
      <c r="R710" s="72">
        <v>3564</v>
      </c>
      <c r="S710" s="73" t="str">
        <f>7124436*$C819</f>
        <v>0</v>
      </c>
      <c r="T710" s="72">
        <v>3888</v>
      </c>
      <c r="U710" s="73" t="str">
        <f>7772112*$C819</f>
        <v>0</v>
      </c>
      <c r="V710" s="72">
        <v>3159</v>
      </c>
      <c r="W710" s="73" t="str">
        <f>6314841*$C819</f>
        <v>0</v>
      </c>
      <c r="X710" s="72">
        <v>2268</v>
      </c>
      <c r="Y710" s="73" t="str">
        <f>4533732*$C819</f>
        <v>0</v>
      </c>
      <c r="Z710" s="72">
        <v>2736</v>
      </c>
      <c r="AA710" s="73" t="str">
        <f>5469264*$C819</f>
        <v>0</v>
      </c>
      <c r="AB710" s="72">
        <v>648</v>
      </c>
      <c r="AC710" s="73" t="str">
        <f>1295352*$C819</f>
        <v>0</v>
      </c>
      <c r="AD710" s="72">
        <v>0</v>
      </c>
      <c r="AE710" s="73">
        <v>0</v>
      </c>
      <c r="AF710" s="72">
        <v>0</v>
      </c>
      <c r="AG710" s="88">
        <v>0</v>
      </c>
      <c r="AH710"/>
    </row>
    <row r="711" spans="1:34">
      <c r="B711" s="114">
        <v>692</v>
      </c>
      <c r="C711" s="117">
        <v>51</v>
      </c>
      <c r="D711" s="117"/>
      <c r="E711" s="117" t="s">
        <v>1298</v>
      </c>
      <c r="F711" s="117" t="s">
        <v>1299</v>
      </c>
      <c r="G711" s="117" t="s">
        <v>1480</v>
      </c>
      <c r="H711" s="117" t="s">
        <v>1481</v>
      </c>
      <c r="I711" s="120" t="s">
        <v>623</v>
      </c>
      <c r="J711" s="84">
        <v>150</v>
      </c>
      <c r="K711" s="73" t="str">
        <f>39900*$C819</f>
        <v>0</v>
      </c>
      <c r="L711" s="72">
        <v>150</v>
      </c>
      <c r="M711" s="73" t="str">
        <f>39900*$C819</f>
        <v>0</v>
      </c>
      <c r="N711" s="72">
        <v>450</v>
      </c>
      <c r="O711" s="73" t="str">
        <f>119700*$C819</f>
        <v>0</v>
      </c>
      <c r="P711" s="72">
        <v>1800</v>
      </c>
      <c r="Q711" s="73" t="str">
        <f>478800*$C819</f>
        <v>0</v>
      </c>
      <c r="R711" s="72">
        <v>1800</v>
      </c>
      <c r="S711" s="73" t="str">
        <f>478800*$C819</f>
        <v>0</v>
      </c>
      <c r="T711" s="72">
        <v>600</v>
      </c>
      <c r="U711" s="73" t="str">
        <f>159600*$C819</f>
        <v>0</v>
      </c>
      <c r="V711" s="72">
        <v>1500</v>
      </c>
      <c r="W711" s="73" t="str">
        <f>399000*$C819</f>
        <v>0</v>
      </c>
      <c r="X711" s="72">
        <v>720</v>
      </c>
      <c r="Y711" s="73" t="str">
        <f>191520*$C819</f>
        <v>0</v>
      </c>
      <c r="Z711" s="72">
        <v>780</v>
      </c>
      <c r="AA711" s="73" t="str">
        <f>207480*$C819</f>
        <v>0</v>
      </c>
      <c r="AB711" s="72">
        <v>0</v>
      </c>
      <c r="AC711" s="73">
        <v>0</v>
      </c>
      <c r="AD711" s="72">
        <v>0</v>
      </c>
      <c r="AE711" s="73">
        <v>0</v>
      </c>
      <c r="AF711" s="72">
        <v>0</v>
      </c>
      <c r="AG711" s="88">
        <v>0</v>
      </c>
      <c r="AH711"/>
    </row>
    <row r="712" spans="1:34">
      <c r="B712" s="114">
        <v>693</v>
      </c>
      <c r="C712" s="117">
        <v>51</v>
      </c>
      <c r="D712" s="117"/>
      <c r="E712" s="117" t="s">
        <v>1298</v>
      </c>
      <c r="F712" s="117" t="s">
        <v>1299</v>
      </c>
      <c r="G712" s="117" t="s">
        <v>1484</v>
      </c>
      <c r="H712" s="117" t="s">
        <v>782</v>
      </c>
      <c r="I712" s="120" t="s">
        <v>1301</v>
      </c>
      <c r="J712" s="84">
        <v>576</v>
      </c>
      <c r="K712" s="73" t="str">
        <f>150912*$C819</f>
        <v>0</v>
      </c>
      <c r="L712" s="72">
        <v>720</v>
      </c>
      <c r="M712" s="73" t="str">
        <f>188640*$C819</f>
        <v>0</v>
      </c>
      <c r="N712" s="72">
        <v>1104</v>
      </c>
      <c r="O712" s="73" t="str">
        <f>289248*$C819</f>
        <v>0</v>
      </c>
      <c r="P712" s="72">
        <v>864</v>
      </c>
      <c r="Q712" s="73" t="str">
        <f>226368*$C819</f>
        <v>0</v>
      </c>
      <c r="R712" s="72">
        <v>936</v>
      </c>
      <c r="S712" s="73" t="str">
        <f>245232*$C819</f>
        <v>0</v>
      </c>
      <c r="T712" s="72">
        <v>846</v>
      </c>
      <c r="U712" s="73" t="str">
        <f>221652*$C819</f>
        <v>0</v>
      </c>
      <c r="V712" s="72">
        <v>576</v>
      </c>
      <c r="W712" s="73" t="str">
        <f>150912*$C819</f>
        <v>0</v>
      </c>
      <c r="X712" s="72">
        <v>648</v>
      </c>
      <c r="Y712" s="73" t="str">
        <f>169776*$C819</f>
        <v>0</v>
      </c>
      <c r="Z712" s="72">
        <v>540</v>
      </c>
      <c r="AA712" s="73" t="str">
        <f>141480*$C819</f>
        <v>0</v>
      </c>
      <c r="AB712" s="72">
        <v>324</v>
      </c>
      <c r="AC712" s="73" t="str">
        <f>84888*$C819</f>
        <v>0</v>
      </c>
      <c r="AD712" s="72">
        <v>0</v>
      </c>
      <c r="AE712" s="73">
        <v>0</v>
      </c>
      <c r="AF712" s="72">
        <v>0</v>
      </c>
      <c r="AG712" s="88">
        <v>0</v>
      </c>
      <c r="AH712"/>
    </row>
    <row r="713" spans="1:34">
      <c r="B713" s="114">
        <v>694</v>
      </c>
      <c r="C713" s="117">
        <v>51</v>
      </c>
      <c r="D713" s="117"/>
      <c r="E713" s="117" t="s">
        <v>1298</v>
      </c>
      <c r="F713" s="117" t="s">
        <v>1299</v>
      </c>
      <c r="G713" s="117" t="s">
        <v>1482</v>
      </c>
      <c r="H713" s="117" t="s">
        <v>1435</v>
      </c>
      <c r="I713" s="120" t="s">
        <v>623</v>
      </c>
      <c r="J713" s="84">
        <v>500</v>
      </c>
      <c r="K713" s="73" t="str">
        <f>23000*$C819</f>
        <v>0</v>
      </c>
      <c r="L713" s="72">
        <v>1500</v>
      </c>
      <c r="M713" s="73" t="str">
        <f>69000*$C819</f>
        <v>0</v>
      </c>
      <c r="N713" s="72">
        <v>3000</v>
      </c>
      <c r="O713" s="73" t="str">
        <f>138000*$C819</f>
        <v>0</v>
      </c>
      <c r="P713" s="72">
        <v>6000</v>
      </c>
      <c r="Q713" s="73" t="str">
        <f>276000*$C819</f>
        <v>0</v>
      </c>
      <c r="R713" s="72">
        <v>3500</v>
      </c>
      <c r="S713" s="73" t="str">
        <f>161000*$C819</f>
        <v>0</v>
      </c>
      <c r="T713" s="72">
        <v>4500</v>
      </c>
      <c r="U713" s="73" t="str">
        <f>207000*$C819</f>
        <v>0</v>
      </c>
      <c r="V713" s="72">
        <v>2000</v>
      </c>
      <c r="W713" s="73" t="str">
        <f>92000*$C819</f>
        <v>0</v>
      </c>
      <c r="X713" s="72">
        <v>4500</v>
      </c>
      <c r="Y713" s="73" t="str">
        <f>207000*$C819</f>
        <v>0</v>
      </c>
      <c r="Z713" s="72">
        <v>3000</v>
      </c>
      <c r="AA713" s="73" t="str">
        <f>138000*$C819</f>
        <v>0</v>
      </c>
      <c r="AB713" s="72">
        <v>800</v>
      </c>
      <c r="AC713" s="73" t="str">
        <f>36800*$C819</f>
        <v>0</v>
      </c>
      <c r="AD713" s="72">
        <v>0</v>
      </c>
      <c r="AE713" s="73">
        <v>0</v>
      </c>
      <c r="AF713" s="72">
        <v>0</v>
      </c>
      <c r="AG713" s="88">
        <v>0</v>
      </c>
      <c r="AH713"/>
    </row>
    <row r="714" spans="1:34">
      <c r="B714" s="114">
        <v>695</v>
      </c>
      <c r="C714" s="117">
        <v>51</v>
      </c>
      <c r="D714" s="117"/>
      <c r="E714" s="117" t="s">
        <v>1298</v>
      </c>
      <c r="F714" s="117" t="s">
        <v>1299</v>
      </c>
      <c r="G714" s="117" t="s">
        <v>621</v>
      </c>
      <c r="H714" s="117" t="s">
        <v>622</v>
      </c>
      <c r="I714" s="120" t="s">
        <v>623</v>
      </c>
      <c r="J714" s="84">
        <v>0</v>
      </c>
      <c r="K714" s="73">
        <v>0</v>
      </c>
      <c r="L714" s="72">
        <v>0</v>
      </c>
      <c r="M714" s="73">
        <v>0</v>
      </c>
      <c r="N714" s="72">
        <v>0</v>
      </c>
      <c r="O714" s="73">
        <v>0</v>
      </c>
      <c r="P714" s="72">
        <v>0</v>
      </c>
      <c r="Q714" s="73">
        <v>0</v>
      </c>
      <c r="R714" s="72">
        <v>0</v>
      </c>
      <c r="S714" s="73">
        <v>0</v>
      </c>
      <c r="T714" s="72">
        <v>0</v>
      </c>
      <c r="U714" s="73">
        <v>0</v>
      </c>
      <c r="V714" s="72">
        <v>0</v>
      </c>
      <c r="W714" s="73">
        <v>0</v>
      </c>
      <c r="X714" s="72">
        <v>0</v>
      </c>
      <c r="Y714" s="73">
        <v>0</v>
      </c>
      <c r="Z714" s="72">
        <v>0</v>
      </c>
      <c r="AA714" s="73">
        <v>0</v>
      </c>
      <c r="AB714" s="72">
        <v>232</v>
      </c>
      <c r="AC714" s="73" t="str">
        <f>429432*$C819</f>
        <v>0</v>
      </c>
      <c r="AD714" s="72">
        <v>0</v>
      </c>
      <c r="AE714" s="73">
        <v>0</v>
      </c>
      <c r="AF714" s="72">
        <v>0</v>
      </c>
      <c r="AG714" s="88">
        <v>0</v>
      </c>
      <c r="AH714"/>
    </row>
    <row r="715" spans="1:34">
      <c r="B715" s="114">
        <v>696</v>
      </c>
      <c r="C715" s="117">
        <v>51</v>
      </c>
      <c r="D715" s="117"/>
      <c r="E715" s="117" t="s">
        <v>1298</v>
      </c>
      <c r="F715" s="117" t="s">
        <v>1299</v>
      </c>
      <c r="G715" s="117" t="s">
        <v>1412</v>
      </c>
      <c r="H715" s="117" t="s">
        <v>1355</v>
      </c>
      <c r="I715" s="120" t="s">
        <v>548</v>
      </c>
      <c r="J715" s="84">
        <v>1000</v>
      </c>
      <c r="K715" s="73" t="str">
        <f>8000*$C819</f>
        <v>0</v>
      </c>
      <c r="L715" s="72">
        <v>3000</v>
      </c>
      <c r="M715" s="73" t="str">
        <f>24000*$C819</f>
        <v>0</v>
      </c>
      <c r="N715" s="72">
        <v>5000</v>
      </c>
      <c r="O715" s="73" t="str">
        <f>40000*$C819</f>
        <v>0</v>
      </c>
      <c r="P715" s="72">
        <v>8000</v>
      </c>
      <c r="Q715" s="73" t="str">
        <f>64000*$C819</f>
        <v>0</v>
      </c>
      <c r="R715" s="72">
        <v>7000</v>
      </c>
      <c r="S715" s="73" t="str">
        <f>56000*$C819</f>
        <v>0</v>
      </c>
      <c r="T715" s="72">
        <v>6000</v>
      </c>
      <c r="U715" s="73" t="str">
        <f>48000*$C819</f>
        <v>0</v>
      </c>
      <c r="V715" s="72">
        <v>5000</v>
      </c>
      <c r="W715" s="73" t="str">
        <f>40000*$C819</f>
        <v>0</v>
      </c>
      <c r="X715" s="72">
        <v>3000</v>
      </c>
      <c r="Y715" s="73" t="str">
        <f>24000*$C819</f>
        <v>0</v>
      </c>
      <c r="Z715" s="72">
        <v>5000</v>
      </c>
      <c r="AA715" s="73" t="str">
        <f>40000*$C819</f>
        <v>0</v>
      </c>
      <c r="AB715" s="72">
        <v>3000</v>
      </c>
      <c r="AC715" s="73" t="str">
        <f>24000*$C819</f>
        <v>0</v>
      </c>
      <c r="AD715" s="72">
        <v>0</v>
      </c>
      <c r="AE715" s="73">
        <v>0</v>
      </c>
      <c r="AF715" s="72">
        <v>0</v>
      </c>
      <c r="AG715" s="88">
        <v>0</v>
      </c>
      <c r="AH715"/>
    </row>
    <row r="716" spans="1:34">
      <c r="B716" s="114">
        <v>697</v>
      </c>
      <c r="C716" s="117">
        <v>51</v>
      </c>
      <c r="D716" s="117"/>
      <c r="E716" s="117" t="s">
        <v>1298</v>
      </c>
      <c r="F716" s="117" t="s">
        <v>1299</v>
      </c>
      <c r="G716" s="117" t="s">
        <v>1486</v>
      </c>
      <c r="H716" s="117" t="s">
        <v>292</v>
      </c>
      <c r="I716" s="120" t="s">
        <v>1337</v>
      </c>
      <c r="J716" s="84">
        <v>0</v>
      </c>
      <c r="K716" s="73">
        <v>0</v>
      </c>
      <c r="L716" s="72">
        <v>0</v>
      </c>
      <c r="M716" s="73">
        <v>0</v>
      </c>
      <c r="N716" s="72">
        <v>0</v>
      </c>
      <c r="O716" s="73">
        <v>0</v>
      </c>
      <c r="P716" s="72">
        <v>0</v>
      </c>
      <c r="Q716" s="73">
        <v>0</v>
      </c>
      <c r="R716" s="72">
        <v>0</v>
      </c>
      <c r="S716" s="73">
        <v>0</v>
      </c>
      <c r="T716" s="72">
        <v>0</v>
      </c>
      <c r="U716" s="73">
        <v>0</v>
      </c>
      <c r="V716" s="72">
        <v>0</v>
      </c>
      <c r="W716" s="73">
        <v>0</v>
      </c>
      <c r="X716" s="72">
        <v>400</v>
      </c>
      <c r="Y716" s="73" t="str">
        <f>22800*$C819</f>
        <v>0</v>
      </c>
      <c r="Z716" s="72">
        <v>0</v>
      </c>
      <c r="AA716" s="73">
        <v>0</v>
      </c>
      <c r="AB716" s="72">
        <v>200</v>
      </c>
      <c r="AC716" s="73" t="str">
        <f>11400*$C819</f>
        <v>0</v>
      </c>
      <c r="AD716" s="72">
        <v>0</v>
      </c>
      <c r="AE716" s="73">
        <v>0</v>
      </c>
      <c r="AF716" s="72">
        <v>0</v>
      </c>
      <c r="AG716" s="88">
        <v>0</v>
      </c>
      <c r="AH716"/>
    </row>
    <row r="717" spans="1:34">
      <c r="B717" s="114">
        <v>698</v>
      </c>
      <c r="C717" s="117">
        <v>51</v>
      </c>
      <c r="D717" s="117"/>
      <c r="E717" s="117" t="s">
        <v>1298</v>
      </c>
      <c r="F717" s="117" t="s">
        <v>1299</v>
      </c>
      <c r="G717" s="117" t="s">
        <v>1414</v>
      </c>
      <c r="H717" s="117" t="s">
        <v>629</v>
      </c>
      <c r="I717" s="120" t="s">
        <v>623</v>
      </c>
      <c r="J717" s="84">
        <v>200</v>
      </c>
      <c r="K717" s="73" t="str">
        <f>385000*$C819</f>
        <v>0</v>
      </c>
      <c r="L717" s="72">
        <v>430</v>
      </c>
      <c r="M717" s="73" t="str">
        <f>827750*$C819</f>
        <v>0</v>
      </c>
      <c r="N717" s="72">
        <v>511</v>
      </c>
      <c r="O717" s="73" t="str">
        <f>983675*$C819</f>
        <v>0</v>
      </c>
      <c r="P717" s="72">
        <v>1596</v>
      </c>
      <c r="Q717" s="73" t="str">
        <f>3072300*$C819</f>
        <v>0</v>
      </c>
      <c r="R717" s="72">
        <v>1544</v>
      </c>
      <c r="S717" s="73" t="str">
        <f>2972200*$C819</f>
        <v>0</v>
      </c>
      <c r="T717" s="72">
        <v>468</v>
      </c>
      <c r="U717" s="73" t="str">
        <f>900900*$C819</f>
        <v>0</v>
      </c>
      <c r="V717" s="72">
        <v>520</v>
      </c>
      <c r="W717" s="73" t="str">
        <f>1001000*$C819</f>
        <v>0</v>
      </c>
      <c r="X717" s="72">
        <v>280</v>
      </c>
      <c r="Y717" s="73" t="str">
        <f>539000*$C819</f>
        <v>0</v>
      </c>
      <c r="Z717" s="72">
        <v>300</v>
      </c>
      <c r="AA717" s="73" t="str">
        <f>577500*$C819</f>
        <v>0</v>
      </c>
      <c r="AB717" s="72">
        <v>0</v>
      </c>
      <c r="AC717" s="73">
        <v>0</v>
      </c>
      <c r="AD717" s="72">
        <v>0</v>
      </c>
      <c r="AE717" s="73">
        <v>0</v>
      </c>
      <c r="AF717" s="72">
        <v>0</v>
      </c>
      <c r="AG717" s="88">
        <v>0</v>
      </c>
      <c r="AH717"/>
    </row>
    <row r="718" spans="1:34">
      <c r="B718" s="114">
        <v>699</v>
      </c>
      <c r="C718" s="117">
        <v>51</v>
      </c>
      <c r="D718" s="117"/>
      <c r="E718" s="117" t="s">
        <v>1298</v>
      </c>
      <c r="F718" s="117" t="s">
        <v>1299</v>
      </c>
      <c r="G718" s="117" t="s">
        <v>1489</v>
      </c>
      <c r="H718" s="117" t="s">
        <v>1386</v>
      </c>
      <c r="I718" s="120" t="s">
        <v>548</v>
      </c>
      <c r="J718" s="84">
        <v>0</v>
      </c>
      <c r="K718" s="73">
        <v>0</v>
      </c>
      <c r="L718" s="72">
        <v>0</v>
      </c>
      <c r="M718" s="73">
        <v>0</v>
      </c>
      <c r="N718" s="72">
        <v>533</v>
      </c>
      <c r="O718" s="73" t="str">
        <f>3404804*$C819</f>
        <v>0</v>
      </c>
      <c r="P718" s="72">
        <v>528</v>
      </c>
      <c r="Q718" s="73" t="str">
        <f>3372864*$C819</f>
        <v>0</v>
      </c>
      <c r="R718" s="72">
        <v>0</v>
      </c>
      <c r="S718" s="73">
        <v>0</v>
      </c>
      <c r="T718" s="72">
        <v>0</v>
      </c>
      <c r="U718" s="73">
        <v>0</v>
      </c>
      <c r="V718" s="72">
        <v>0</v>
      </c>
      <c r="W718" s="73">
        <v>0</v>
      </c>
      <c r="X718" s="72">
        <v>0</v>
      </c>
      <c r="Y718" s="73">
        <v>0</v>
      </c>
      <c r="Z718" s="72">
        <v>0</v>
      </c>
      <c r="AA718" s="73">
        <v>0</v>
      </c>
      <c r="AB718" s="72">
        <v>0</v>
      </c>
      <c r="AC718" s="73">
        <v>0</v>
      </c>
      <c r="AD718" s="72">
        <v>0</v>
      </c>
      <c r="AE718" s="73">
        <v>0</v>
      </c>
      <c r="AF718" s="72">
        <v>0</v>
      </c>
      <c r="AG718" s="88">
        <v>0</v>
      </c>
      <c r="AH718"/>
    </row>
    <row r="719" spans="1:34">
      <c r="B719" s="114">
        <v>700</v>
      </c>
      <c r="C719" s="117">
        <v>51</v>
      </c>
      <c r="D719" s="117"/>
      <c r="E719" s="117" t="s">
        <v>1298</v>
      </c>
      <c r="F719" s="117" t="s">
        <v>1299</v>
      </c>
      <c r="G719" s="117" t="s">
        <v>1418</v>
      </c>
      <c r="H719" s="117" t="s">
        <v>1308</v>
      </c>
      <c r="I719" s="120" t="s">
        <v>1301</v>
      </c>
      <c r="J719" s="84">
        <v>300</v>
      </c>
      <c r="K719" s="73" t="str">
        <f>4200*$C819</f>
        <v>0</v>
      </c>
      <c r="L719" s="72">
        <v>300</v>
      </c>
      <c r="M719" s="73" t="str">
        <f>4200*$C819</f>
        <v>0</v>
      </c>
      <c r="N719" s="72">
        <v>300</v>
      </c>
      <c r="O719" s="73" t="str">
        <f>4200*$C819</f>
        <v>0</v>
      </c>
      <c r="P719" s="72">
        <v>0</v>
      </c>
      <c r="Q719" s="73">
        <v>0</v>
      </c>
      <c r="R719" s="72">
        <v>0</v>
      </c>
      <c r="S719" s="73">
        <v>0</v>
      </c>
      <c r="T719" s="72">
        <v>0</v>
      </c>
      <c r="U719" s="73">
        <v>0</v>
      </c>
      <c r="V719" s="72">
        <v>0</v>
      </c>
      <c r="W719" s="73">
        <v>0</v>
      </c>
      <c r="X719" s="72">
        <v>0</v>
      </c>
      <c r="Y719" s="73">
        <v>0</v>
      </c>
      <c r="Z719" s="72">
        <v>0</v>
      </c>
      <c r="AA719" s="73">
        <v>0</v>
      </c>
      <c r="AB719" s="72">
        <v>0</v>
      </c>
      <c r="AC719" s="73">
        <v>0</v>
      </c>
      <c r="AD719" s="72">
        <v>0</v>
      </c>
      <c r="AE719" s="73">
        <v>0</v>
      </c>
      <c r="AF719" s="72">
        <v>0</v>
      </c>
      <c r="AG719" s="88">
        <v>0</v>
      </c>
      <c r="AH719"/>
    </row>
    <row r="720" spans="1:34">
      <c r="B720" s="114">
        <v>701</v>
      </c>
      <c r="C720" s="117">
        <v>51</v>
      </c>
      <c r="D720" s="117"/>
      <c r="E720" s="117" t="s">
        <v>1298</v>
      </c>
      <c r="F720" s="117" t="s">
        <v>1299</v>
      </c>
      <c r="G720" s="117" t="s">
        <v>1417</v>
      </c>
      <c r="H720" s="117" t="s">
        <v>620</v>
      </c>
      <c r="I720" s="120" t="s">
        <v>455</v>
      </c>
      <c r="J720" s="84">
        <v>300</v>
      </c>
      <c r="K720" s="73" t="str">
        <f>867300*$C819</f>
        <v>0</v>
      </c>
      <c r="L720" s="72">
        <v>0</v>
      </c>
      <c r="M720" s="73">
        <v>0</v>
      </c>
      <c r="N720" s="72">
        <v>100</v>
      </c>
      <c r="O720" s="73" t="str">
        <f>289100*$C819</f>
        <v>0</v>
      </c>
      <c r="P720" s="72">
        <v>0</v>
      </c>
      <c r="Q720" s="73">
        <v>0</v>
      </c>
      <c r="R720" s="72">
        <v>0</v>
      </c>
      <c r="S720" s="73">
        <v>0</v>
      </c>
      <c r="T720" s="72">
        <v>0</v>
      </c>
      <c r="U720" s="73">
        <v>0</v>
      </c>
      <c r="V720" s="72">
        <v>0</v>
      </c>
      <c r="W720" s="73">
        <v>0</v>
      </c>
      <c r="X720" s="72">
        <v>0</v>
      </c>
      <c r="Y720" s="73">
        <v>0</v>
      </c>
      <c r="Z720" s="72">
        <v>0</v>
      </c>
      <c r="AA720" s="73">
        <v>0</v>
      </c>
      <c r="AB720" s="72">
        <v>0</v>
      </c>
      <c r="AC720" s="73">
        <v>0</v>
      </c>
      <c r="AD720" s="72">
        <v>0</v>
      </c>
      <c r="AE720" s="73">
        <v>0</v>
      </c>
      <c r="AF720" s="72">
        <v>0</v>
      </c>
      <c r="AG720" s="88">
        <v>0</v>
      </c>
      <c r="AH720"/>
    </row>
    <row r="721" spans="1:34">
      <c r="B721" s="114">
        <v>702</v>
      </c>
      <c r="C721" s="117">
        <v>51</v>
      </c>
      <c r="D721" s="117"/>
      <c r="E721" s="117" t="s">
        <v>1298</v>
      </c>
      <c r="F721" s="117" t="s">
        <v>1299</v>
      </c>
      <c r="G721" s="117" t="s">
        <v>1307</v>
      </c>
      <c r="H721" s="117" t="s">
        <v>1308</v>
      </c>
      <c r="I721" s="120" t="s">
        <v>548</v>
      </c>
      <c r="J721" s="84">
        <v>4000</v>
      </c>
      <c r="K721" s="73" t="str">
        <f>52000*$C819</f>
        <v>0</v>
      </c>
      <c r="L721" s="72">
        <v>4800</v>
      </c>
      <c r="M721" s="73" t="str">
        <f>62400*$C819</f>
        <v>0</v>
      </c>
      <c r="N721" s="72">
        <v>6400</v>
      </c>
      <c r="O721" s="73" t="str">
        <f>83200*$C819</f>
        <v>0</v>
      </c>
      <c r="P721" s="72">
        <v>6400</v>
      </c>
      <c r="Q721" s="73" t="str">
        <f>83200*$C819</f>
        <v>0</v>
      </c>
      <c r="R721" s="72">
        <v>6400</v>
      </c>
      <c r="S721" s="73" t="str">
        <f>83200*$C819</f>
        <v>0</v>
      </c>
      <c r="T721" s="72">
        <v>6800</v>
      </c>
      <c r="U721" s="73" t="str">
        <f>88400*$C819</f>
        <v>0</v>
      </c>
      <c r="V721" s="72">
        <v>7200</v>
      </c>
      <c r="W721" s="73" t="str">
        <f>93600*$C819</f>
        <v>0</v>
      </c>
      <c r="X721" s="72">
        <v>6000</v>
      </c>
      <c r="Y721" s="73" t="str">
        <f>78000*$C819</f>
        <v>0</v>
      </c>
      <c r="Z721" s="72">
        <v>7200</v>
      </c>
      <c r="AA721" s="73" t="str">
        <f>93600*$C819</f>
        <v>0</v>
      </c>
      <c r="AB721" s="72">
        <v>3200</v>
      </c>
      <c r="AC721" s="73" t="str">
        <f>41600*$C819</f>
        <v>0</v>
      </c>
      <c r="AD721" s="72">
        <v>0</v>
      </c>
      <c r="AE721" s="73">
        <v>0</v>
      </c>
      <c r="AF721" s="72">
        <v>0</v>
      </c>
      <c r="AG721" s="88">
        <v>0</v>
      </c>
      <c r="AH721"/>
    </row>
    <row r="722" spans="1:34">
      <c r="B722" s="114">
        <v>703</v>
      </c>
      <c r="C722" s="117">
        <v>51</v>
      </c>
      <c r="D722" s="117"/>
      <c r="E722" s="117" t="s">
        <v>1298</v>
      </c>
      <c r="F722" s="117" t="s">
        <v>1299</v>
      </c>
      <c r="G722" s="117" t="s">
        <v>1492</v>
      </c>
      <c r="H722" s="117" t="s">
        <v>1390</v>
      </c>
      <c r="I722" s="120" t="s">
        <v>623</v>
      </c>
      <c r="J722" s="84">
        <v>750</v>
      </c>
      <c r="K722" s="73" t="str">
        <f>38250*$C819</f>
        <v>0</v>
      </c>
      <c r="L722" s="72">
        <v>250</v>
      </c>
      <c r="M722" s="73" t="str">
        <f>12750*$C819</f>
        <v>0</v>
      </c>
      <c r="N722" s="72">
        <v>1000</v>
      </c>
      <c r="O722" s="73" t="str">
        <f>51000*$C819</f>
        <v>0</v>
      </c>
      <c r="P722" s="72">
        <v>750</v>
      </c>
      <c r="Q722" s="73" t="str">
        <f>38250*$C819</f>
        <v>0</v>
      </c>
      <c r="R722" s="72">
        <v>2000</v>
      </c>
      <c r="S722" s="73" t="str">
        <f>102000*$C819</f>
        <v>0</v>
      </c>
      <c r="T722" s="72">
        <v>500</v>
      </c>
      <c r="U722" s="73" t="str">
        <f>25500*$C819</f>
        <v>0</v>
      </c>
      <c r="V722" s="72">
        <v>1750</v>
      </c>
      <c r="W722" s="73" t="str">
        <f>89250*$C819</f>
        <v>0</v>
      </c>
      <c r="X722" s="72">
        <v>250</v>
      </c>
      <c r="Y722" s="73" t="str">
        <f>12750*$C819</f>
        <v>0</v>
      </c>
      <c r="Z722" s="72">
        <v>1250</v>
      </c>
      <c r="AA722" s="73" t="str">
        <f>63750*$C819</f>
        <v>0</v>
      </c>
      <c r="AB722" s="72">
        <v>500</v>
      </c>
      <c r="AC722" s="73" t="str">
        <f>25500*$C819</f>
        <v>0</v>
      </c>
      <c r="AD722" s="72">
        <v>0</v>
      </c>
      <c r="AE722" s="73">
        <v>0</v>
      </c>
      <c r="AF722" s="72">
        <v>0</v>
      </c>
      <c r="AG722" s="88">
        <v>0</v>
      </c>
      <c r="AH722"/>
    </row>
    <row r="723" spans="1:34">
      <c r="B723" s="114">
        <v>704</v>
      </c>
      <c r="C723" s="117">
        <v>51</v>
      </c>
      <c r="D723" s="117"/>
      <c r="E723" s="117" t="s">
        <v>1298</v>
      </c>
      <c r="F723" s="117" t="s">
        <v>1299</v>
      </c>
      <c r="G723" s="117" t="s">
        <v>1310</v>
      </c>
      <c r="H723" s="117" t="s">
        <v>1311</v>
      </c>
      <c r="I723" s="120" t="s">
        <v>548</v>
      </c>
      <c r="J723" s="84">
        <v>1680</v>
      </c>
      <c r="K723" s="73" t="str">
        <f>6259680*$C819</f>
        <v>0</v>
      </c>
      <c r="L723" s="72">
        <v>2100</v>
      </c>
      <c r="M723" s="73" t="str">
        <f>7824600*$C819</f>
        <v>0</v>
      </c>
      <c r="N723" s="72">
        <v>3500</v>
      </c>
      <c r="O723" s="73" t="str">
        <f>13041000*$C819</f>
        <v>0</v>
      </c>
      <c r="P723" s="72">
        <v>2800</v>
      </c>
      <c r="Q723" s="73" t="str">
        <f>10432800*$C819</f>
        <v>0</v>
      </c>
      <c r="R723" s="72">
        <v>2800</v>
      </c>
      <c r="S723" s="73" t="str">
        <f>10432800*$C819</f>
        <v>0</v>
      </c>
      <c r="T723" s="72">
        <v>1680</v>
      </c>
      <c r="U723" s="73" t="str">
        <f>6259680*$C819</f>
        <v>0</v>
      </c>
      <c r="V723" s="72">
        <v>1960</v>
      </c>
      <c r="W723" s="73" t="str">
        <f>7302960*$C819</f>
        <v>0</v>
      </c>
      <c r="X723" s="72">
        <v>2380</v>
      </c>
      <c r="Y723" s="73" t="str">
        <f>8867880*$C819</f>
        <v>0</v>
      </c>
      <c r="Z723" s="72">
        <v>1400</v>
      </c>
      <c r="AA723" s="73" t="str">
        <f>5216400*$C819</f>
        <v>0</v>
      </c>
      <c r="AB723" s="72">
        <v>1260</v>
      </c>
      <c r="AC723" s="73" t="str">
        <f>4694760*$C819</f>
        <v>0</v>
      </c>
      <c r="AD723" s="72">
        <v>0</v>
      </c>
      <c r="AE723" s="73">
        <v>0</v>
      </c>
      <c r="AF723" s="72">
        <v>0</v>
      </c>
      <c r="AG723" s="88">
        <v>0</v>
      </c>
      <c r="AH723"/>
    </row>
    <row r="724" spans="1:34">
      <c r="B724" s="114">
        <v>705</v>
      </c>
      <c r="C724" s="117">
        <v>51</v>
      </c>
      <c r="D724" s="117"/>
      <c r="E724" s="117" t="s">
        <v>1298</v>
      </c>
      <c r="F724" s="117" t="s">
        <v>1299</v>
      </c>
      <c r="G724" s="117" t="s">
        <v>1302</v>
      </c>
      <c r="H724" s="117" t="s">
        <v>1303</v>
      </c>
      <c r="I724" s="120" t="s">
        <v>623</v>
      </c>
      <c r="J724" s="84">
        <v>400</v>
      </c>
      <c r="K724" s="73" t="str">
        <f>4000*$C819</f>
        <v>0</v>
      </c>
      <c r="L724" s="72">
        <v>400</v>
      </c>
      <c r="M724" s="73" t="str">
        <f>4000*$C819</f>
        <v>0</v>
      </c>
      <c r="N724" s="72">
        <v>800</v>
      </c>
      <c r="O724" s="73" t="str">
        <f>8000*$C819</f>
        <v>0</v>
      </c>
      <c r="P724" s="72">
        <v>800</v>
      </c>
      <c r="Q724" s="73" t="str">
        <f>8000*$C819</f>
        <v>0</v>
      </c>
      <c r="R724" s="72">
        <v>1200</v>
      </c>
      <c r="S724" s="73" t="str">
        <f>12000*$C819</f>
        <v>0</v>
      </c>
      <c r="T724" s="72">
        <v>0</v>
      </c>
      <c r="U724" s="73">
        <v>0</v>
      </c>
      <c r="V724" s="72">
        <v>2000</v>
      </c>
      <c r="W724" s="73" t="str">
        <f>20000*$C819</f>
        <v>0</v>
      </c>
      <c r="X724" s="72">
        <v>3400</v>
      </c>
      <c r="Y724" s="73" t="str">
        <f>34000*$C819</f>
        <v>0</v>
      </c>
      <c r="Z724" s="72">
        <v>2200</v>
      </c>
      <c r="AA724" s="73" t="str">
        <f>22000*$C819</f>
        <v>0</v>
      </c>
      <c r="AB724" s="72">
        <v>3000</v>
      </c>
      <c r="AC724" s="73" t="str">
        <f>30000*$C819</f>
        <v>0</v>
      </c>
      <c r="AD724" s="72">
        <v>0</v>
      </c>
      <c r="AE724" s="73">
        <v>0</v>
      </c>
      <c r="AF724" s="72">
        <v>0</v>
      </c>
      <c r="AG724" s="88">
        <v>0</v>
      </c>
      <c r="AH724"/>
    </row>
    <row r="725" spans="1:34">
      <c r="B725" s="114">
        <v>706</v>
      </c>
      <c r="C725" s="117">
        <v>51</v>
      </c>
      <c r="D725" s="117"/>
      <c r="E725" s="117" t="s">
        <v>1298</v>
      </c>
      <c r="F725" s="117" t="s">
        <v>1299</v>
      </c>
      <c r="G725" s="117" t="s">
        <v>1306</v>
      </c>
      <c r="H725" s="117" t="s">
        <v>694</v>
      </c>
      <c r="I725" s="120" t="s">
        <v>623</v>
      </c>
      <c r="J725" s="84">
        <v>240</v>
      </c>
      <c r="K725" s="73" t="str">
        <f>49920*$C819</f>
        <v>0</v>
      </c>
      <c r="L725" s="72">
        <v>360</v>
      </c>
      <c r="M725" s="73" t="str">
        <f>74880*$C819</f>
        <v>0</v>
      </c>
      <c r="N725" s="72">
        <v>2760</v>
      </c>
      <c r="O725" s="73" t="str">
        <f>574080*$C819</f>
        <v>0</v>
      </c>
      <c r="P725" s="72">
        <v>3000</v>
      </c>
      <c r="Q725" s="73" t="str">
        <f>624000*$C819</f>
        <v>0</v>
      </c>
      <c r="R725" s="72">
        <v>1560</v>
      </c>
      <c r="S725" s="73" t="str">
        <f>324480*$C819</f>
        <v>0</v>
      </c>
      <c r="T725" s="72">
        <v>2020</v>
      </c>
      <c r="U725" s="73" t="str">
        <f>420160*$C819</f>
        <v>0</v>
      </c>
      <c r="V725" s="72">
        <v>2000</v>
      </c>
      <c r="W725" s="73" t="str">
        <f>416000*$C819</f>
        <v>0</v>
      </c>
      <c r="X725" s="72">
        <v>900</v>
      </c>
      <c r="Y725" s="73" t="str">
        <f>187200*$C819</f>
        <v>0</v>
      </c>
      <c r="Z725" s="72">
        <v>1300</v>
      </c>
      <c r="AA725" s="73" t="str">
        <f>270400*$C819</f>
        <v>0</v>
      </c>
      <c r="AB725" s="72">
        <v>200</v>
      </c>
      <c r="AC725" s="73" t="str">
        <f>41600*$C819</f>
        <v>0</v>
      </c>
      <c r="AD725" s="72">
        <v>0</v>
      </c>
      <c r="AE725" s="73">
        <v>0</v>
      </c>
      <c r="AF725" s="72">
        <v>0</v>
      </c>
      <c r="AG725" s="88">
        <v>0</v>
      </c>
      <c r="AH725"/>
    </row>
    <row r="726" spans="1:34">
      <c r="B726" s="114">
        <v>707</v>
      </c>
      <c r="C726" s="117">
        <v>51</v>
      </c>
      <c r="D726" s="117"/>
      <c r="E726" s="117" t="s">
        <v>1298</v>
      </c>
      <c r="F726" s="117" t="s">
        <v>1299</v>
      </c>
      <c r="G726" s="117" t="s">
        <v>1304</v>
      </c>
      <c r="H726" s="117" t="s">
        <v>1305</v>
      </c>
      <c r="I726" s="120" t="s">
        <v>623</v>
      </c>
      <c r="J726" s="84">
        <v>0</v>
      </c>
      <c r="K726" s="73">
        <v>0</v>
      </c>
      <c r="L726" s="72">
        <v>1000</v>
      </c>
      <c r="M726" s="73" t="str">
        <f>25000*$C819</f>
        <v>0</v>
      </c>
      <c r="N726" s="72">
        <v>4000</v>
      </c>
      <c r="O726" s="73" t="str">
        <f>100000*$C819</f>
        <v>0</v>
      </c>
      <c r="P726" s="72">
        <v>5000</v>
      </c>
      <c r="Q726" s="73" t="str">
        <f>125000*$C819</f>
        <v>0</v>
      </c>
      <c r="R726" s="72">
        <v>3000</v>
      </c>
      <c r="S726" s="73" t="str">
        <f>75000*$C819</f>
        <v>0</v>
      </c>
      <c r="T726" s="72">
        <v>1000</v>
      </c>
      <c r="U726" s="73" t="str">
        <f>25000*$C819</f>
        <v>0</v>
      </c>
      <c r="V726" s="72">
        <v>2000</v>
      </c>
      <c r="W726" s="73" t="str">
        <f>50000*$C819</f>
        <v>0</v>
      </c>
      <c r="X726" s="72">
        <v>2000</v>
      </c>
      <c r="Y726" s="73" t="str">
        <f>50000*$C819</f>
        <v>0</v>
      </c>
      <c r="Z726" s="72">
        <v>3000</v>
      </c>
      <c r="AA726" s="73" t="str">
        <f>75000*$C819</f>
        <v>0</v>
      </c>
      <c r="AB726" s="72">
        <v>1000</v>
      </c>
      <c r="AC726" s="73" t="str">
        <f>25000*$C819</f>
        <v>0</v>
      </c>
      <c r="AD726" s="72">
        <v>0</v>
      </c>
      <c r="AE726" s="73">
        <v>0</v>
      </c>
      <c r="AF726" s="72">
        <v>0</v>
      </c>
      <c r="AG726" s="88">
        <v>0</v>
      </c>
      <c r="AH726"/>
    </row>
    <row r="727" spans="1:34">
      <c r="B727" s="114">
        <v>708</v>
      </c>
      <c r="C727" s="117">
        <v>51</v>
      </c>
      <c r="D727" s="117"/>
      <c r="E727" s="117" t="s">
        <v>1298</v>
      </c>
      <c r="F727" s="117" t="s">
        <v>1299</v>
      </c>
      <c r="G727" s="117" t="s">
        <v>1300</v>
      </c>
      <c r="H727" s="117" t="s">
        <v>828</v>
      </c>
      <c r="I727" s="120" t="s">
        <v>1301</v>
      </c>
      <c r="J727" s="84">
        <v>560</v>
      </c>
      <c r="K727" s="73" t="str">
        <f>146720*$C819</f>
        <v>0</v>
      </c>
      <c r="L727" s="72">
        <v>720</v>
      </c>
      <c r="M727" s="73" t="str">
        <f>188640*$C819</f>
        <v>0</v>
      </c>
      <c r="N727" s="72">
        <v>1080</v>
      </c>
      <c r="O727" s="73" t="str">
        <f>282960*$C819</f>
        <v>0</v>
      </c>
      <c r="P727" s="72">
        <v>900</v>
      </c>
      <c r="Q727" s="73" t="str">
        <f>235800*$C819</f>
        <v>0</v>
      </c>
      <c r="R727" s="72">
        <v>980</v>
      </c>
      <c r="S727" s="73" t="str">
        <f>256760*$C819</f>
        <v>0</v>
      </c>
      <c r="T727" s="72">
        <v>620</v>
      </c>
      <c r="U727" s="73" t="str">
        <f>162440*$C819</f>
        <v>0</v>
      </c>
      <c r="V727" s="72">
        <v>360</v>
      </c>
      <c r="W727" s="73" t="str">
        <f>94320*$C819</f>
        <v>0</v>
      </c>
      <c r="X727" s="72">
        <v>880</v>
      </c>
      <c r="Y727" s="73" t="str">
        <f>230560*$C819</f>
        <v>0</v>
      </c>
      <c r="Z727" s="72">
        <v>880</v>
      </c>
      <c r="AA727" s="73" t="str">
        <f>230560*$C819</f>
        <v>0</v>
      </c>
      <c r="AB727" s="72">
        <v>440</v>
      </c>
      <c r="AC727" s="73" t="str">
        <f>115280*$C819</f>
        <v>0</v>
      </c>
      <c r="AD727" s="72">
        <v>0</v>
      </c>
      <c r="AE727" s="73">
        <v>0</v>
      </c>
      <c r="AF727" s="72">
        <v>0</v>
      </c>
      <c r="AG727" s="88">
        <v>0</v>
      </c>
      <c r="AH727"/>
    </row>
    <row r="728" spans="1:34">
      <c r="B728" s="114">
        <v>709</v>
      </c>
      <c r="C728" s="117">
        <v>51</v>
      </c>
      <c r="D728" s="117"/>
      <c r="E728" s="117" t="s">
        <v>1298</v>
      </c>
      <c r="F728" s="117" t="s">
        <v>1299</v>
      </c>
      <c r="G728" s="117" t="s">
        <v>1320</v>
      </c>
      <c r="H728" s="117" t="s">
        <v>957</v>
      </c>
      <c r="I728" s="120" t="s">
        <v>455</v>
      </c>
      <c r="J728" s="84">
        <v>0</v>
      </c>
      <c r="K728" s="73">
        <v>0</v>
      </c>
      <c r="L728" s="72">
        <v>2000</v>
      </c>
      <c r="M728" s="73" t="str">
        <f>30000*$C819</f>
        <v>0</v>
      </c>
      <c r="N728" s="72">
        <v>2000</v>
      </c>
      <c r="O728" s="73" t="str">
        <f>30000*$C819</f>
        <v>0</v>
      </c>
      <c r="P728" s="72">
        <v>4000</v>
      </c>
      <c r="Q728" s="73" t="str">
        <f>60000*$C819</f>
        <v>0</v>
      </c>
      <c r="R728" s="72">
        <v>0</v>
      </c>
      <c r="S728" s="73">
        <v>0</v>
      </c>
      <c r="T728" s="72">
        <v>0</v>
      </c>
      <c r="U728" s="73">
        <v>0</v>
      </c>
      <c r="V728" s="72">
        <v>0</v>
      </c>
      <c r="W728" s="73">
        <v>0</v>
      </c>
      <c r="X728" s="72">
        <v>0</v>
      </c>
      <c r="Y728" s="73">
        <v>0</v>
      </c>
      <c r="Z728" s="72">
        <v>0</v>
      </c>
      <c r="AA728" s="73">
        <v>0</v>
      </c>
      <c r="AB728" s="72">
        <v>1000</v>
      </c>
      <c r="AC728" s="73" t="str">
        <f>15000*$C819</f>
        <v>0</v>
      </c>
      <c r="AD728" s="72">
        <v>0</v>
      </c>
      <c r="AE728" s="73">
        <v>0</v>
      </c>
      <c r="AF728" s="72">
        <v>0</v>
      </c>
      <c r="AG728" s="88">
        <v>0</v>
      </c>
      <c r="AH728"/>
    </row>
    <row r="729" spans="1:34">
      <c r="B729" s="114">
        <v>710</v>
      </c>
      <c r="C729" s="117">
        <v>51</v>
      </c>
      <c r="D729" s="117"/>
      <c r="E729" s="117" t="s">
        <v>1298</v>
      </c>
      <c r="F729" s="117" t="s">
        <v>1299</v>
      </c>
      <c r="G729" s="117" t="s">
        <v>1321</v>
      </c>
      <c r="H729" s="117" t="s">
        <v>1322</v>
      </c>
      <c r="I729" s="120" t="s">
        <v>455</v>
      </c>
      <c r="J729" s="84">
        <v>0</v>
      </c>
      <c r="K729" s="73">
        <v>0</v>
      </c>
      <c r="L729" s="72">
        <v>2000</v>
      </c>
      <c r="M729" s="73" t="str">
        <f>464000*$C819</f>
        <v>0</v>
      </c>
      <c r="N729" s="72">
        <v>2000</v>
      </c>
      <c r="O729" s="73" t="str">
        <f>464000*$C819</f>
        <v>0</v>
      </c>
      <c r="P729" s="72">
        <v>2000</v>
      </c>
      <c r="Q729" s="73" t="str">
        <f>464000*$C819</f>
        <v>0</v>
      </c>
      <c r="R729" s="72">
        <v>0</v>
      </c>
      <c r="S729" s="73">
        <v>0</v>
      </c>
      <c r="T729" s="72">
        <v>0</v>
      </c>
      <c r="U729" s="73">
        <v>0</v>
      </c>
      <c r="V729" s="72">
        <v>0</v>
      </c>
      <c r="W729" s="73">
        <v>0</v>
      </c>
      <c r="X729" s="72">
        <v>0</v>
      </c>
      <c r="Y729" s="73">
        <v>0</v>
      </c>
      <c r="Z729" s="72">
        <v>0</v>
      </c>
      <c r="AA729" s="73">
        <v>0</v>
      </c>
      <c r="AB729" s="72">
        <v>60</v>
      </c>
      <c r="AC729" s="73" t="str">
        <f>13920*$C819</f>
        <v>0</v>
      </c>
      <c r="AD729" s="72">
        <v>0</v>
      </c>
      <c r="AE729" s="73">
        <v>0</v>
      </c>
      <c r="AF729" s="72">
        <v>0</v>
      </c>
      <c r="AG729" s="88">
        <v>0</v>
      </c>
      <c r="AH729"/>
    </row>
    <row r="730" spans="1:34">
      <c r="B730" s="114">
        <v>711</v>
      </c>
      <c r="C730" s="117">
        <v>51</v>
      </c>
      <c r="D730" s="117"/>
      <c r="E730" s="117" t="s">
        <v>1298</v>
      </c>
      <c r="F730" s="117" t="s">
        <v>1299</v>
      </c>
      <c r="G730" s="117" t="s">
        <v>1490</v>
      </c>
      <c r="H730" s="117" t="s">
        <v>1491</v>
      </c>
      <c r="I730" s="120" t="s">
        <v>548</v>
      </c>
      <c r="J730" s="84">
        <v>924</v>
      </c>
      <c r="K730" s="73" t="str">
        <f>2362668*$C819</f>
        <v>0</v>
      </c>
      <c r="L730" s="72">
        <v>1320</v>
      </c>
      <c r="M730" s="73" t="str">
        <f>3375240*$C819</f>
        <v>0</v>
      </c>
      <c r="N730" s="72">
        <v>2178</v>
      </c>
      <c r="O730" s="73" t="str">
        <f>5569146*$C819</f>
        <v>0</v>
      </c>
      <c r="P730" s="72">
        <v>528</v>
      </c>
      <c r="Q730" s="73" t="str">
        <f>1350096*$C819</f>
        <v>0</v>
      </c>
      <c r="R730" s="72">
        <v>1848</v>
      </c>
      <c r="S730" s="73" t="str">
        <f>4725336*$C819</f>
        <v>0</v>
      </c>
      <c r="T730" s="72">
        <v>1716</v>
      </c>
      <c r="U730" s="73" t="str">
        <f>4387812*$C819</f>
        <v>0</v>
      </c>
      <c r="V730" s="72">
        <v>1320</v>
      </c>
      <c r="W730" s="73" t="str">
        <f>3375240*$C819</f>
        <v>0</v>
      </c>
      <c r="X730" s="72">
        <v>1386</v>
      </c>
      <c r="Y730" s="73" t="str">
        <f>3544002*$C819</f>
        <v>0</v>
      </c>
      <c r="Z730" s="72">
        <v>480</v>
      </c>
      <c r="AA730" s="73" t="str">
        <f>1227360*$C819</f>
        <v>0</v>
      </c>
      <c r="AB730" s="72">
        <v>792</v>
      </c>
      <c r="AC730" s="73" t="str">
        <f>2025144*$C819</f>
        <v>0</v>
      </c>
      <c r="AD730" s="72">
        <v>0</v>
      </c>
      <c r="AE730" s="73">
        <v>0</v>
      </c>
      <c r="AF730" s="72">
        <v>0</v>
      </c>
      <c r="AG730" s="88">
        <v>0</v>
      </c>
      <c r="AH730"/>
    </row>
    <row r="731" spans="1:34">
      <c r="B731" s="114">
        <v>712</v>
      </c>
      <c r="C731" s="117">
        <v>51</v>
      </c>
      <c r="D731" s="117"/>
      <c r="E731" s="117" t="s">
        <v>1298</v>
      </c>
      <c r="F731" s="117" t="s">
        <v>1299</v>
      </c>
      <c r="G731" s="117" t="s">
        <v>1493</v>
      </c>
      <c r="H731" s="117" t="s">
        <v>1494</v>
      </c>
      <c r="I731" s="120" t="s">
        <v>623</v>
      </c>
      <c r="J731" s="84">
        <v>0</v>
      </c>
      <c r="K731" s="73">
        <v>0</v>
      </c>
      <c r="L731" s="72">
        <v>980</v>
      </c>
      <c r="M731" s="73" t="str">
        <f>632100*$C819</f>
        <v>0</v>
      </c>
      <c r="N731" s="72">
        <v>2020</v>
      </c>
      <c r="O731" s="73" t="str">
        <f>1302900*$C819</f>
        <v>0</v>
      </c>
      <c r="P731" s="72">
        <v>1200</v>
      </c>
      <c r="Q731" s="73" t="str">
        <f>774000*$C819</f>
        <v>0</v>
      </c>
      <c r="R731" s="72">
        <v>1200</v>
      </c>
      <c r="S731" s="73" t="str">
        <f>774000*$C819</f>
        <v>0</v>
      </c>
      <c r="T731" s="72">
        <v>1200</v>
      </c>
      <c r="U731" s="73" t="str">
        <f>774000*$C819</f>
        <v>0</v>
      </c>
      <c r="V731" s="72">
        <v>600</v>
      </c>
      <c r="W731" s="73" t="str">
        <f>387000*$C819</f>
        <v>0</v>
      </c>
      <c r="X731" s="72">
        <v>1100</v>
      </c>
      <c r="Y731" s="73" t="str">
        <f>709500*$C819</f>
        <v>0</v>
      </c>
      <c r="Z731" s="72">
        <v>1100</v>
      </c>
      <c r="AA731" s="73" t="str">
        <f>709500*$C819</f>
        <v>0</v>
      </c>
      <c r="AB731" s="72">
        <v>40</v>
      </c>
      <c r="AC731" s="73" t="str">
        <f>25800*$C819</f>
        <v>0</v>
      </c>
      <c r="AD731" s="72">
        <v>0</v>
      </c>
      <c r="AE731" s="73">
        <v>0</v>
      </c>
      <c r="AF731" s="72">
        <v>0</v>
      </c>
      <c r="AG731" s="88">
        <v>0</v>
      </c>
      <c r="AH731"/>
    </row>
    <row r="732" spans="1:34">
      <c r="B732" s="114">
        <v>713</v>
      </c>
      <c r="C732" s="117">
        <v>51</v>
      </c>
      <c r="D732" s="117"/>
      <c r="E732" s="117" t="s">
        <v>1298</v>
      </c>
      <c r="F732" s="117" t="s">
        <v>1299</v>
      </c>
      <c r="G732" s="117" t="s">
        <v>1318</v>
      </c>
      <c r="H732" s="117" t="s">
        <v>1319</v>
      </c>
      <c r="I732" s="120" t="s">
        <v>455</v>
      </c>
      <c r="J732" s="84">
        <v>0</v>
      </c>
      <c r="K732" s="73">
        <v>0</v>
      </c>
      <c r="L732" s="72">
        <v>1000</v>
      </c>
      <c r="M732" s="73" t="str">
        <f>35000*$C819</f>
        <v>0</v>
      </c>
      <c r="N732" s="72">
        <v>1000</v>
      </c>
      <c r="O732" s="73" t="str">
        <f>35000*$C819</f>
        <v>0</v>
      </c>
      <c r="P732" s="72">
        <v>2500</v>
      </c>
      <c r="Q732" s="73" t="str">
        <f>87500*$C819</f>
        <v>0</v>
      </c>
      <c r="R732" s="72">
        <v>0</v>
      </c>
      <c r="S732" s="73">
        <v>0</v>
      </c>
      <c r="T732" s="72">
        <v>0</v>
      </c>
      <c r="U732" s="73">
        <v>0</v>
      </c>
      <c r="V732" s="72">
        <v>500</v>
      </c>
      <c r="W732" s="73" t="str">
        <f>17500*$C819</f>
        <v>0</v>
      </c>
      <c r="X732" s="72">
        <v>500</v>
      </c>
      <c r="Y732" s="73" t="str">
        <f>17500*$C819</f>
        <v>0</v>
      </c>
      <c r="Z732" s="72">
        <v>1000</v>
      </c>
      <c r="AA732" s="73" t="str">
        <f>35000*$C819</f>
        <v>0</v>
      </c>
      <c r="AB732" s="72">
        <v>200</v>
      </c>
      <c r="AC732" s="73" t="str">
        <f>7000*$C819</f>
        <v>0</v>
      </c>
      <c r="AD732" s="72">
        <v>0</v>
      </c>
      <c r="AE732" s="73">
        <v>0</v>
      </c>
      <c r="AF732" s="72">
        <v>0</v>
      </c>
      <c r="AG732" s="88">
        <v>0</v>
      </c>
      <c r="AH732"/>
    </row>
    <row r="733" spans="1:34">
      <c r="B733" s="114">
        <v>714</v>
      </c>
      <c r="C733" s="117">
        <v>51</v>
      </c>
      <c r="D733" s="117"/>
      <c r="E733" s="117" t="s">
        <v>1298</v>
      </c>
      <c r="F733" s="117" t="s">
        <v>1299</v>
      </c>
      <c r="G733" s="117" t="s">
        <v>1312</v>
      </c>
      <c r="H733" s="117" t="s">
        <v>25</v>
      </c>
      <c r="I733" s="120" t="s">
        <v>1313</v>
      </c>
      <c r="J733" s="84">
        <v>0</v>
      </c>
      <c r="K733" s="73">
        <v>0</v>
      </c>
      <c r="L733" s="72">
        <v>0</v>
      </c>
      <c r="M733" s="73">
        <v>0</v>
      </c>
      <c r="N733" s="72">
        <v>0</v>
      </c>
      <c r="O733" s="73">
        <v>0</v>
      </c>
      <c r="P733" s="72">
        <v>0</v>
      </c>
      <c r="Q733" s="73">
        <v>0</v>
      </c>
      <c r="R733" s="72">
        <v>0</v>
      </c>
      <c r="S733" s="73">
        <v>0</v>
      </c>
      <c r="T733" s="72">
        <v>0</v>
      </c>
      <c r="U733" s="73">
        <v>0</v>
      </c>
      <c r="V733" s="72">
        <v>240</v>
      </c>
      <c r="W733" s="73" t="str">
        <f>213840*$C819</f>
        <v>0</v>
      </c>
      <c r="X733" s="72">
        <v>0</v>
      </c>
      <c r="Y733" s="73">
        <v>0</v>
      </c>
      <c r="Z733" s="72">
        <v>0</v>
      </c>
      <c r="AA733" s="73">
        <v>0</v>
      </c>
      <c r="AB733" s="72">
        <v>240</v>
      </c>
      <c r="AC733" s="73" t="str">
        <f>213840*$C819</f>
        <v>0</v>
      </c>
      <c r="AD733" s="72">
        <v>0</v>
      </c>
      <c r="AE733" s="73">
        <v>0</v>
      </c>
      <c r="AF733" s="72">
        <v>0</v>
      </c>
      <c r="AG733" s="88">
        <v>0</v>
      </c>
      <c r="AH733"/>
    </row>
    <row r="734" spans="1:34">
      <c r="B734" s="114">
        <v>715</v>
      </c>
      <c r="C734" s="117">
        <v>51</v>
      </c>
      <c r="D734" s="117"/>
      <c r="E734" s="117" t="s">
        <v>1298</v>
      </c>
      <c r="F734" s="117" t="s">
        <v>1299</v>
      </c>
      <c r="G734" s="117" t="s">
        <v>1309</v>
      </c>
      <c r="H734" s="117" t="s">
        <v>629</v>
      </c>
      <c r="I734" s="120" t="s">
        <v>623</v>
      </c>
      <c r="J734" s="84">
        <v>200</v>
      </c>
      <c r="K734" s="73" t="str">
        <f>385000*$C819</f>
        <v>0</v>
      </c>
      <c r="L734" s="72">
        <v>587</v>
      </c>
      <c r="M734" s="73" t="str">
        <f>1129975*$C819</f>
        <v>0</v>
      </c>
      <c r="N734" s="72">
        <v>413</v>
      </c>
      <c r="O734" s="73" t="str">
        <f>795025*$C819</f>
        <v>0</v>
      </c>
      <c r="P734" s="72">
        <v>1882</v>
      </c>
      <c r="Q734" s="73" t="str">
        <f>3622850*$C819</f>
        <v>0</v>
      </c>
      <c r="R734" s="72">
        <v>1194</v>
      </c>
      <c r="S734" s="73" t="str">
        <f>2298450*$C819</f>
        <v>0</v>
      </c>
      <c r="T734" s="72">
        <v>499</v>
      </c>
      <c r="U734" s="73" t="str">
        <f>960575*$C819</f>
        <v>0</v>
      </c>
      <c r="V734" s="72">
        <v>869</v>
      </c>
      <c r="W734" s="73" t="str">
        <f>1672825*$C819</f>
        <v>0</v>
      </c>
      <c r="X734" s="72">
        <v>265</v>
      </c>
      <c r="Y734" s="73" t="str">
        <f>510125*$C819</f>
        <v>0</v>
      </c>
      <c r="Z734" s="72">
        <v>420</v>
      </c>
      <c r="AA734" s="73" t="str">
        <f>808500*$C819</f>
        <v>0</v>
      </c>
      <c r="AB734" s="72">
        <v>0</v>
      </c>
      <c r="AC734" s="73">
        <v>0</v>
      </c>
      <c r="AD734" s="72">
        <v>0</v>
      </c>
      <c r="AE734" s="73">
        <v>0</v>
      </c>
      <c r="AF734" s="72">
        <v>0</v>
      </c>
      <c r="AG734" s="88">
        <v>0</v>
      </c>
      <c r="AH734"/>
    </row>
    <row r="735" spans="1:34">
      <c r="B735" s="114">
        <v>716</v>
      </c>
      <c r="C735" s="117">
        <v>51</v>
      </c>
      <c r="D735" s="117"/>
      <c r="E735" s="117" t="s">
        <v>1298</v>
      </c>
      <c r="F735" s="117" t="s">
        <v>1299</v>
      </c>
      <c r="G735" s="117" t="s">
        <v>1342</v>
      </c>
      <c r="H735" s="117" t="s">
        <v>640</v>
      </c>
      <c r="I735" s="120" t="s">
        <v>455</v>
      </c>
      <c r="J735" s="84">
        <v>300</v>
      </c>
      <c r="K735" s="73" t="str">
        <f>372900*$C819</f>
        <v>0</v>
      </c>
      <c r="L735" s="72">
        <v>50</v>
      </c>
      <c r="M735" s="73" t="str">
        <f>62150*$C819</f>
        <v>0</v>
      </c>
      <c r="N735" s="72">
        <v>350</v>
      </c>
      <c r="O735" s="73" t="str">
        <f>435050*$C819</f>
        <v>0</v>
      </c>
      <c r="P735" s="72">
        <v>200</v>
      </c>
      <c r="Q735" s="73" t="str">
        <f>248600*$C819</f>
        <v>0</v>
      </c>
      <c r="R735" s="72">
        <v>0</v>
      </c>
      <c r="S735" s="73">
        <v>0</v>
      </c>
      <c r="T735" s="72">
        <v>0</v>
      </c>
      <c r="U735" s="73">
        <v>0</v>
      </c>
      <c r="V735" s="72">
        <v>0</v>
      </c>
      <c r="W735" s="73">
        <v>0</v>
      </c>
      <c r="X735" s="72">
        <v>298</v>
      </c>
      <c r="Y735" s="73" t="str">
        <f>370414*$C819</f>
        <v>0</v>
      </c>
      <c r="Z735" s="72">
        <v>0</v>
      </c>
      <c r="AA735" s="73">
        <v>0</v>
      </c>
      <c r="AB735" s="72">
        <v>0</v>
      </c>
      <c r="AC735" s="73">
        <v>0</v>
      </c>
      <c r="AD735" s="72">
        <v>0</v>
      </c>
      <c r="AE735" s="73">
        <v>0</v>
      </c>
      <c r="AF735" s="72">
        <v>0</v>
      </c>
      <c r="AG735" s="88">
        <v>0</v>
      </c>
      <c r="AH735"/>
    </row>
    <row r="736" spans="1:34">
      <c r="B736" s="114">
        <v>717</v>
      </c>
      <c r="C736" s="117">
        <v>51</v>
      </c>
      <c r="D736" s="117"/>
      <c r="E736" s="117" t="s">
        <v>1298</v>
      </c>
      <c r="F736" s="117" t="s">
        <v>1299</v>
      </c>
      <c r="G736" s="117" t="s">
        <v>1343</v>
      </c>
      <c r="H736" s="117" t="s">
        <v>1324</v>
      </c>
      <c r="I736" s="120" t="s">
        <v>548</v>
      </c>
      <c r="J736" s="84">
        <v>0</v>
      </c>
      <c r="K736" s="73">
        <v>0</v>
      </c>
      <c r="L736" s="72">
        <v>0</v>
      </c>
      <c r="M736" s="73">
        <v>0</v>
      </c>
      <c r="N736" s="72">
        <v>532</v>
      </c>
      <c r="O736" s="73" t="str">
        <f>3447892*$C819</f>
        <v>0</v>
      </c>
      <c r="P736" s="72">
        <v>528</v>
      </c>
      <c r="Q736" s="73" t="str">
        <f>3421968*$C819</f>
        <v>0</v>
      </c>
      <c r="R736" s="72">
        <v>0</v>
      </c>
      <c r="S736" s="73">
        <v>0</v>
      </c>
      <c r="T736" s="72">
        <v>0</v>
      </c>
      <c r="U736" s="73">
        <v>0</v>
      </c>
      <c r="V736" s="72">
        <v>0</v>
      </c>
      <c r="W736" s="73">
        <v>0</v>
      </c>
      <c r="X736" s="72">
        <v>0</v>
      </c>
      <c r="Y736" s="73">
        <v>0</v>
      </c>
      <c r="Z736" s="72">
        <v>0</v>
      </c>
      <c r="AA736" s="73">
        <v>0</v>
      </c>
      <c r="AB736" s="72">
        <v>0</v>
      </c>
      <c r="AC736" s="73">
        <v>0</v>
      </c>
      <c r="AD736" s="72">
        <v>0</v>
      </c>
      <c r="AE736" s="73">
        <v>0</v>
      </c>
      <c r="AF736" s="72">
        <v>0</v>
      </c>
      <c r="AG736" s="88">
        <v>0</v>
      </c>
      <c r="AH736"/>
    </row>
    <row r="737" spans="1:34">
      <c r="B737" s="114">
        <v>718</v>
      </c>
      <c r="C737" s="117">
        <v>51</v>
      </c>
      <c r="D737" s="117"/>
      <c r="E737" s="117" t="s">
        <v>1298</v>
      </c>
      <c r="F737" s="117" t="s">
        <v>1299</v>
      </c>
      <c r="G737" s="117" t="s">
        <v>1323</v>
      </c>
      <c r="H737" s="117" t="s">
        <v>1324</v>
      </c>
      <c r="I737" s="120" t="s">
        <v>548</v>
      </c>
      <c r="J737" s="84">
        <v>0</v>
      </c>
      <c r="K737" s="73">
        <v>0</v>
      </c>
      <c r="L737" s="72">
        <v>0</v>
      </c>
      <c r="M737" s="73">
        <v>0</v>
      </c>
      <c r="N737" s="72">
        <v>532</v>
      </c>
      <c r="O737" s="73" t="str">
        <f>3447892*$C819</f>
        <v>0</v>
      </c>
      <c r="P737" s="72">
        <v>528</v>
      </c>
      <c r="Q737" s="73" t="str">
        <f>3421968*$C819</f>
        <v>0</v>
      </c>
      <c r="R737" s="72">
        <v>0</v>
      </c>
      <c r="S737" s="73">
        <v>0</v>
      </c>
      <c r="T737" s="72">
        <v>0</v>
      </c>
      <c r="U737" s="73">
        <v>0</v>
      </c>
      <c r="V737" s="72">
        <v>0</v>
      </c>
      <c r="W737" s="73">
        <v>0</v>
      </c>
      <c r="X737" s="72">
        <v>0</v>
      </c>
      <c r="Y737" s="73">
        <v>0</v>
      </c>
      <c r="Z737" s="72">
        <v>0</v>
      </c>
      <c r="AA737" s="73">
        <v>0</v>
      </c>
      <c r="AB737" s="72">
        <v>0</v>
      </c>
      <c r="AC737" s="73">
        <v>0</v>
      </c>
      <c r="AD737" s="72">
        <v>0</v>
      </c>
      <c r="AE737" s="73">
        <v>0</v>
      </c>
      <c r="AF737" s="72">
        <v>0</v>
      </c>
      <c r="AG737" s="88">
        <v>0</v>
      </c>
      <c r="AH737"/>
    </row>
    <row r="738" spans="1:34">
      <c r="B738" s="114">
        <v>719</v>
      </c>
      <c r="C738" s="117">
        <v>51</v>
      </c>
      <c r="D738" s="117"/>
      <c r="E738" s="117" t="s">
        <v>1298</v>
      </c>
      <c r="F738" s="117" t="s">
        <v>1299</v>
      </c>
      <c r="G738" s="117" t="s">
        <v>1316</v>
      </c>
      <c r="H738" s="117" t="s">
        <v>1317</v>
      </c>
      <c r="I738" s="120" t="s">
        <v>688</v>
      </c>
      <c r="J738" s="84">
        <v>0</v>
      </c>
      <c r="K738" s="73">
        <v>0</v>
      </c>
      <c r="L738" s="72">
        <v>36</v>
      </c>
      <c r="M738" s="73" t="str">
        <f>86688*$C819</f>
        <v>0</v>
      </c>
      <c r="N738" s="72">
        <v>0</v>
      </c>
      <c r="O738" s="73">
        <v>0</v>
      </c>
      <c r="P738" s="72">
        <v>0</v>
      </c>
      <c r="Q738" s="73">
        <v>0</v>
      </c>
      <c r="R738" s="72">
        <v>0</v>
      </c>
      <c r="S738" s="73">
        <v>0</v>
      </c>
      <c r="T738" s="72">
        <v>0</v>
      </c>
      <c r="U738" s="73">
        <v>0</v>
      </c>
      <c r="V738" s="72">
        <v>0</v>
      </c>
      <c r="W738" s="73">
        <v>0</v>
      </c>
      <c r="X738" s="72">
        <v>0</v>
      </c>
      <c r="Y738" s="73">
        <v>0</v>
      </c>
      <c r="Z738" s="72">
        <v>0</v>
      </c>
      <c r="AA738" s="73">
        <v>0</v>
      </c>
      <c r="AB738" s="72">
        <v>0</v>
      </c>
      <c r="AC738" s="73">
        <v>0</v>
      </c>
      <c r="AD738" s="72">
        <v>0</v>
      </c>
      <c r="AE738" s="73">
        <v>0</v>
      </c>
      <c r="AF738" s="72">
        <v>0</v>
      </c>
      <c r="AG738" s="88">
        <v>0</v>
      </c>
      <c r="AH738"/>
    </row>
    <row r="739" spans="1:34">
      <c r="B739" s="114">
        <v>720</v>
      </c>
      <c r="C739" s="117">
        <v>51</v>
      </c>
      <c r="D739" s="117"/>
      <c r="E739" s="117" t="s">
        <v>1298</v>
      </c>
      <c r="F739" s="117" t="s">
        <v>1299</v>
      </c>
      <c r="G739" s="117" t="s">
        <v>1422</v>
      </c>
      <c r="H739" s="117" t="s">
        <v>1423</v>
      </c>
      <c r="I739" s="120" t="s">
        <v>623</v>
      </c>
      <c r="J739" s="84">
        <v>288</v>
      </c>
      <c r="K739" s="73" t="str">
        <f>63072*$C819</f>
        <v>0</v>
      </c>
      <c r="L739" s="72">
        <v>0</v>
      </c>
      <c r="M739" s="73">
        <v>0</v>
      </c>
      <c r="N739" s="72">
        <v>720</v>
      </c>
      <c r="O739" s="73" t="str">
        <f>157680*$C819</f>
        <v>0</v>
      </c>
      <c r="P739" s="72">
        <v>3456</v>
      </c>
      <c r="Q739" s="73" t="str">
        <f>756864*$C819</f>
        <v>0</v>
      </c>
      <c r="R739" s="72">
        <v>2880</v>
      </c>
      <c r="S739" s="73" t="str">
        <f>630720*$C819</f>
        <v>0</v>
      </c>
      <c r="T739" s="72">
        <v>4464</v>
      </c>
      <c r="U739" s="73" t="str">
        <f>977616*$C819</f>
        <v>0</v>
      </c>
      <c r="V739" s="72">
        <v>1296</v>
      </c>
      <c r="W739" s="73" t="str">
        <f>283824*$C819</f>
        <v>0</v>
      </c>
      <c r="X739" s="72">
        <v>864</v>
      </c>
      <c r="Y739" s="73" t="str">
        <f>189216*$C819</f>
        <v>0</v>
      </c>
      <c r="Z739" s="72">
        <v>2016</v>
      </c>
      <c r="AA739" s="73" t="str">
        <f>441504*$C819</f>
        <v>0</v>
      </c>
      <c r="AB739" s="72">
        <v>624</v>
      </c>
      <c r="AC739" s="73" t="str">
        <f>136656*$C819</f>
        <v>0</v>
      </c>
      <c r="AD739" s="72">
        <v>0</v>
      </c>
      <c r="AE739" s="73">
        <v>0</v>
      </c>
      <c r="AF739" s="72">
        <v>0</v>
      </c>
      <c r="AG739" s="88">
        <v>0</v>
      </c>
      <c r="AH739"/>
    </row>
    <row r="740" spans="1:34">
      <c r="B740" s="114">
        <v>721</v>
      </c>
      <c r="C740" s="117">
        <v>51</v>
      </c>
      <c r="D740" s="117"/>
      <c r="E740" s="117" t="s">
        <v>1298</v>
      </c>
      <c r="F740" s="117" t="s">
        <v>1299</v>
      </c>
      <c r="G740" s="117" t="s">
        <v>1428</v>
      </c>
      <c r="H740" s="117" t="s">
        <v>1399</v>
      </c>
      <c r="I740" s="120" t="s">
        <v>1363</v>
      </c>
      <c r="J740" s="84">
        <v>36000</v>
      </c>
      <c r="K740" s="73" t="str">
        <f>108000*$C819</f>
        <v>0</v>
      </c>
      <c r="L740" s="72">
        <v>105000</v>
      </c>
      <c r="M740" s="73" t="str">
        <f>315000*$C819</f>
        <v>0</v>
      </c>
      <c r="N740" s="72">
        <v>477000</v>
      </c>
      <c r="O740" s="73" t="str">
        <f>1431000*$C819</f>
        <v>0</v>
      </c>
      <c r="P740" s="72">
        <v>306000</v>
      </c>
      <c r="Q740" s="73" t="str">
        <f>918000*$C819</f>
        <v>0</v>
      </c>
      <c r="R740" s="72">
        <v>480000</v>
      </c>
      <c r="S740" s="73" t="str">
        <f>1440000*$C819</f>
        <v>0</v>
      </c>
      <c r="T740" s="72">
        <v>270000</v>
      </c>
      <c r="U740" s="73" t="str">
        <f>810000*$C819</f>
        <v>0</v>
      </c>
      <c r="V740" s="72">
        <v>396000</v>
      </c>
      <c r="W740" s="73" t="str">
        <f>1188000*$C819</f>
        <v>0</v>
      </c>
      <c r="X740" s="72">
        <v>234000</v>
      </c>
      <c r="Y740" s="73" t="str">
        <f>702000*$C819</f>
        <v>0</v>
      </c>
      <c r="Z740" s="72">
        <v>276000</v>
      </c>
      <c r="AA740" s="73" t="str">
        <f>828000*$C819</f>
        <v>0</v>
      </c>
      <c r="AB740" s="72">
        <v>90000</v>
      </c>
      <c r="AC740" s="73" t="str">
        <f>270000*$C819</f>
        <v>0</v>
      </c>
      <c r="AD740" s="72">
        <v>0</v>
      </c>
      <c r="AE740" s="73">
        <v>0</v>
      </c>
      <c r="AF740" s="72">
        <v>0</v>
      </c>
      <c r="AG740" s="88">
        <v>0</v>
      </c>
      <c r="AH740"/>
    </row>
    <row r="741" spans="1:34">
      <c r="B741" s="114">
        <v>722</v>
      </c>
      <c r="C741" s="117">
        <v>51</v>
      </c>
      <c r="D741" s="117"/>
      <c r="E741" s="117" t="s">
        <v>1298</v>
      </c>
      <c r="F741" s="117" t="s">
        <v>1299</v>
      </c>
      <c r="G741" s="117" t="s">
        <v>1424</v>
      </c>
      <c r="H741" s="117" t="s">
        <v>1425</v>
      </c>
      <c r="I741" s="120" t="s">
        <v>623</v>
      </c>
      <c r="J741" s="84">
        <v>1260</v>
      </c>
      <c r="K741" s="73" t="str">
        <f>306180*$C819</f>
        <v>0</v>
      </c>
      <c r="L741" s="72">
        <v>990</v>
      </c>
      <c r="M741" s="73" t="str">
        <f>240570*$C819</f>
        <v>0</v>
      </c>
      <c r="N741" s="72">
        <v>3150</v>
      </c>
      <c r="O741" s="73" t="str">
        <f>765450*$C819</f>
        <v>0</v>
      </c>
      <c r="P741" s="72">
        <v>4255</v>
      </c>
      <c r="Q741" s="73" t="str">
        <f>1033965*$C819</f>
        <v>0</v>
      </c>
      <c r="R741" s="72">
        <v>1590</v>
      </c>
      <c r="S741" s="73" t="str">
        <f>386370*$C819</f>
        <v>0</v>
      </c>
      <c r="T741" s="72">
        <v>2250</v>
      </c>
      <c r="U741" s="73" t="str">
        <f>546750*$C819</f>
        <v>0</v>
      </c>
      <c r="V741" s="72">
        <v>3120</v>
      </c>
      <c r="W741" s="73" t="str">
        <f>758160*$C819</f>
        <v>0</v>
      </c>
      <c r="X741" s="72">
        <v>2100</v>
      </c>
      <c r="Y741" s="73" t="str">
        <f>510300*$C819</f>
        <v>0</v>
      </c>
      <c r="Z741" s="72">
        <v>2700</v>
      </c>
      <c r="AA741" s="73" t="str">
        <f>656100*$C819</f>
        <v>0</v>
      </c>
      <c r="AB741" s="72">
        <v>630</v>
      </c>
      <c r="AC741" s="73" t="str">
        <f>153090*$C819</f>
        <v>0</v>
      </c>
      <c r="AD741" s="72">
        <v>0</v>
      </c>
      <c r="AE741" s="73">
        <v>0</v>
      </c>
      <c r="AF741" s="72">
        <v>0</v>
      </c>
      <c r="AG741" s="88">
        <v>0</v>
      </c>
      <c r="AH741"/>
    </row>
    <row r="742" spans="1:34">
      <c r="B742" s="114">
        <v>723</v>
      </c>
      <c r="C742" s="117">
        <v>51</v>
      </c>
      <c r="D742" s="117"/>
      <c r="E742" s="117" t="s">
        <v>1298</v>
      </c>
      <c r="F742" s="117" t="s">
        <v>1299</v>
      </c>
      <c r="G742" s="117" t="s">
        <v>1421</v>
      </c>
      <c r="H742" s="117" t="s">
        <v>828</v>
      </c>
      <c r="I742" s="120" t="s">
        <v>1301</v>
      </c>
      <c r="J742" s="84">
        <v>560</v>
      </c>
      <c r="K742" s="73" t="str">
        <f>146720*$C819</f>
        <v>0</v>
      </c>
      <c r="L742" s="72">
        <v>720</v>
      </c>
      <c r="M742" s="73" t="str">
        <f>188640*$C819</f>
        <v>0</v>
      </c>
      <c r="N742" s="72">
        <v>1200</v>
      </c>
      <c r="O742" s="73" t="str">
        <f>314400*$C819</f>
        <v>0</v>
      </c>
      <c r="P742" s="72">
        <v>840</v>
      </c>
      <c r="Q742" s="73" t="str">
        <f>220080*$C819</f>
        <v>0</v>
      </c>
      <c r="R742" s="72">
        <v>1000</v>
      </c>
      <c r="S742" s="73" t="str">
        <f>262000*$C819</f>
        <v>0</v>
      </c>
      <c r="T742" s="72">
        <v>600</v>
      </c>
      <c r="U742" s="73" t="str">
        <f>157200*$C819</f>
        <v>0</v>
      </c>
      <c r="V742" s="72">
        <v>440</v>
      </c>
      <c r="W742" s="73" t="str">
        <f>115280*$C819</f>
        <v>0</v>
      </c>
      <c r="X742" s="72">
        <v>660</v>
      </c>
      <c r="Y742" s="73" t="str">
        <f>172920*$C819</f>
        <v>0</v>
      </c>
      <c r="Z742" s="72">
        <v>1226</v>
      </c>
      <c r="AA742" s="73" t="str">
        <f>321212*$C819</f>
        <v>0</v>
      </c>
      <c r="AB742" s="72">
        <v>440</v>
      </c>
      <c r="AC742" s="73" t="str">
        <f>115280*$C819</f>
        <v>0</v>
      </c>
      <c r="AD742" s="72">
        <v>0</v>
      </c>
      <c r="AE742" s="73">
        <v>0</v>
      </c>
      <c r="AF742" s="72">
        <v>0</v>
      </c>
      <c r="AG742" s="88">
        <v>0</v>
      </c>
      <c r="AH742"/>
    </row>
    <row r="743" spans="1:34">
      <c r="B743" s="114">
        <v>724</v>
      </c>
      <c r="C743" s="117">
        <v>51</v>
      </c>
      <c r="D743" s="117"/>
      <c r="E743" s="117" t="s">
        <v>1298</v>
      </c>
      <c r="F743" s="117" t="s">
        <v>1299</v>
      </c>
      <c r="G743" s="117" t="s">
        <v>1358</v>
      </c>
      <c r="H743" s="117" t="s">
        <v>1359</v>
      </c>
      <c r="I743" s="120" t="s">
        <v>548</v>
      </c>
      <c r="J743" s="84">
        <v>2000</v>
      </c>
      <c r="K743" s="73" t="str">
        <f>18000*$C819</f>
        <v>0</v>
      </c>
      <c r="L743" s="72">
        <v>2000</v>
      </c>
      <c r="M743" s="73" t="str">
        <f>18000*$C819</f>
        <v>0</v>
      </c>
      <c r="N743" s="72">
        <v>4000</v>
      </c>
      <c r="O743" s="73" t="str">
        <f>36000*$C819</f>
        <v>0</v>
      </c>
      <c r="P743" s="72">
        <v>4000</v>
      </c>
      <c r="Q743" s="73" t="str">
        <f>36000*$C819</f>
        <v>0</v>
      </c>
      <c r="R743" s="72">
        <v>4000</v>
      </c>
      <c r="S743" s="73" t="str">
        <f>36000*$C819</f>
        <v>0</v>
      </c>
      <c r="T743" s="72">
        <v>0</v>
      </c>
      <c r="U743" s="73">
        <v>0</v>
      </c>
      <c r="V743" s="72">
        <v>2000</v>
      </c>
      <c r="W743" s="73" t="str">
        <f>18000*$C819</f>
        <v>0</v>
      </c>
      <c r="X743" s="72">
        <v>4000</v>
      </c>
      <c r="Y743" s="73" t="str">
        <f>36000*$C819</f>
        <v>0</v>
      </c>
      <c r="Z743" s="72">
        <v>2000</v>
      </c>
      <c r="AA743" s="73" t="str">
        <f>18000*$C819</f>
        <v>0</v>
      </c>
      <c r="AB743" s="72">
        <v>2000</v>
      </c>
      <c r="AC743" s="73" t="str">
        <f>18000*$C819</f>
        <v>0</v>
      </c>
      <c r="AD743" s="72">
        <v>0</v>
      </c>
      <c r="AE743" s="73">
        <v>0</v>
      </c>
      <c r="AF743" s="72">
        <v>0</v>
      </c>
      <c r="AG743" s="88">
        <v>0</v>
      </c>
      <c r="AH743"/>
    </row>
    <row r="744" spans="1:34">
      <c r="B744" s="114">
        <v>725</v>
      </c>
      <c r="C744" s="117">
        <v>51</v>
      </c>
      <c r="D744" s="117"/>
      <c r="E744" s="117" t="s">
        <v>1298</v>
      </c>
      <c r="F744" s="117" t="s">
        <v>1299</v>
      </c>
      <c r="G744" s="117" t="s">
        <v>1430</v>
      </c>
      <c r="H744" s="117" t="s">
        <v>1431</v>
      </c>
      <c r="I744" s="120" t="s">
        <v>999</v>
      </c>
      <c r="J744" s="84">
        <v>0</v>
      </c>
      <c r="K744" s="73">
        <v>0</v>
      </c>
      <c r="L744" s="72">
        <v>0</v>
      </c>
      <c r="M744" s="73">
        <v>0</v>
      </c>
      <c r="N744" s="72">
        <v>0</v>
      </c>
      <c r="O744" s="73">
        <v>0</v>
      </c>
      <c r="P744" s="72">
        <v>0</v>
      </c>
      <c r="Q744" s="73">
        <v>0</v>
      </c>
      <c r="R744" s="72">
        <v>0</v>
      </c>
      <c r="S744" s="73">
        <v>0</v>
      </c>
      <c r="T744" s="72">
        <v>0</v>
      </c>
      <c r="U744" s="73">
        <v>0</v>
      </c>
      <c r="V744" s="72">
        <v>0</v>
      </c>
      <c r="W744" s="73">
        <v>0</v>
      </c>
      <c r="X744" s="72">
        <v>0</v>
      </c>
      <c r="Y744" s="73">
        <v>0</v>
      </c>
      <c r="Z744" s="72">
        <v>0</v>
      </c>
      <c r="AA744" s="73">
        <v>0</v>
      </c>
      <c r="AB744" s="72">
        <v>4000</v>
      </c>
      <c r="AC744" s="73" t="str">
        <f>12000*$C819</f>
        <v>0</v>
      </c>
      <c r="AD744" s="72">
        <v>0</v>
      </c>
      <c r="AE744" s="73">
        <v>0</v>
      </c>
      <c r="AF744" s="72">
        <v>0</v>
      </c>
      <c r="AG744" s="88">
        <v>0</v>
      </c>
      <c r="AH744"/>
    </row>
    <row r="745" spans="1:34">
      <c r="B745" s="114">
        <v>726</v>
      </c>
      <c r="C745" s="117">
        <v>51</v>
      </c>
      <c r="D745" s="117"/>
      <c r="E745" s="117" t="s">
        <v>1298</v>
      </c>
      <c r="F745" s="117" t="s">
        <v>1299</v>
      </c>
      <c r="G745" s="117" t="s">
        <v>1426</v>
      </c>
      <c r="H745" s="117" t="s">
        <v>1427</v>
      </c>
      <c r="I745" s="120" t="s">
        <v>623</v>
      </c>
      <c r="J745" s="84">
        <v>0</v>
      </c>
      <c r="K745" s="73">
        <v>0</v>
      </c>
      <c r="L745" s="72">
        <v>0</v>
      </c>
      <c r="M745" s="73">
        <v>0</v>
      </c>
      <c r="N745" s="72">
        <v>2400</v>
      </c>
      <c r="O745" s="73" t="str">
        <f>9600*$C819</f>
        <v>0</v>
      </c>
      <c r="P745" s="72">
        <v>2400</v>
      </c>
      <c r="Q745" s="73" t="str">
        <f>9600*$C819</f>
        <v>0</v>
      </c>
      <c r="R745" s="72">
        <v>2400</v>
      </c>
      <c r="S745" s="73" t="str">
        <f>9600*$C819</f>
        <v>0</v>
      </c>
      <c r="T745" s="72">
        <v>1200</v>
      </c>
      <c r="U745" s="73" t="str">
        <f>4800*$C819</f>
        <v>0</v>
      </c>
      <c r="V745" s="72">
        <v>3600</v>
      </c>
      <c r="W745" s="73" t="str">
        <f>14400*$C819</f>
        <v>0</v>
      </c>
      <c r="X745" s="72">
        <v>1700</v>
      </c>
      <c r="Y745" s="73" t="str">
        <f>6800*$C819</f>
        <v>0</v>
      </c>
      <c r="Z745" s="72">
        <v>500</v>
      </c>
      <c r="AA745" s="73" t="str">
        <f>2000*$C819</f>
        <v>0</v>
      </c>
      <c r="AB745" s="72">
        <v>0</v>
      </c>
      <c r="AC745" s="73">
        <v>0</v>
      </c>
      <c r="AD745" s="72">
        <v>0</v>
      </c>
      <c r="AE745" s="73">
        <v>0</v>
      </c>
      <c r="AF745" s="72">
        <v>0</v>
      </c>
      <c r="AG745" s="88">
        <v>0</v>
      </c>
      <c r="AH745"/>
    </row>
    <row r="746" spans="1:34">
      <c r="B746" s="114">
        <v>727</v>
      </c>
      <c r="C746" s="117">
        <v>51</v>
      </c>
      <c r="D746" s="117"/>
      <c r="E746" s="117" t="s">
        <v>1298</v>
      </c>
      <c r="F746" s="117" t="s">
        <v>1299</v>
      </c>
      <c r="G746" s="117" t="s">
        <v>1429</v>
      </c>
      <c r="H746" s="117" t="s">
        <v>629</v>
      </c>
      <c r="I746" s="120" t="s">
        <v>623</v>
      </c>
      <c r="J746" s="84">
        <v>50</v>
      </c>
      <c r="K746" s="73" t="str">
        <f>120550*$C819</f>
        <v>0</v>
      </c>
      <c r="L746" s="72">
        <v>263</v>
      </c>
      <c r="M746" s="73" t="str">
        <f>634093*$C819</f>
        <v>0</v>
      </c>
      <c r="N746" s="72">
        <v>405</v>
      </c>
      <c r="O746" s="73" t="str">
        <f>976455*$C819</f>
        <v>0</v>
      </c>
      <c r="P746" s="72">
        <v>285</v>
      </c>
      <c r="Q746" s="73" t="str">
        <f>687135*$C819</f>
        <v>0</v>
      </c>
      <c r="R746" s="72">
        <v>115</v>
      </c>
      <c r="S746" s="73" t="str">
        <f>277265*$C819</f>
        <v>0</v>
      </c>
      <c r="T746" s="72">
        <v>453</v>
      </c>
      <c r="U746" s="73" t="str">
        <f>1092183*$C819</f>
        <v>0</v>
      </c>
      <c r="V746" s="72">
        <v>200</v>
      </c>
      <c r="W746" s="73" t="str">
        <f>482200*$C819</f>
        <v>0</v>
      </c>
      <c r="X746" s="72">
        <v>150</v>
      </c>
      <c r="Y746" s="73" t="str">
        <f>361650*$C819</f>
        <v>0</v>
      </c>
      <c r="Z746" s="72">
        <v>200</v>
      </c>
      <c r="AA746" s="73" t="str">
        <f>482200*$C819</f>
        <v>0</v>
      </c>
      <c r="AB746" s="72">
        <v>0</v>
      </c>
      <c r="AC746" s="73">
        <v>0</v>
      </c>
      <c r="AD746" s="72">
        <v>0</v>
      </c>
      <c r="AE746" s="73">
        <v>0</v>
      </c>
      <c r="AF746" s="72">
        <v>0</v>
      </c>
      <c r="AG746" s="88">
        <v>0</v>
      </c>
      <c r="AH746"/>
    </row>
    <row r="747" spans="1:34">
      <c r="B747" s="114">
        <v>728</v>
      </c>
      <c r="C747" s="117">
        <v>51</v>
      </c>
      <c r="D747" s="117"/>
      <c r="E747" s="117" t="s">
        <v>1298</v>
      </c>
      <c r="F747" s="117" t="s">
        <v>1299</v>
      </c>
      <c r="G747" s="117" t="s">
        <v>1361</v>
      </c>
      <c r="H747" s="117" t="s">
        <v>627</v>
      </c>
      <c r="I747" s="120" t="s">
        <v>455</v>
      </c>
      <c r="J747" s="84">
        <v>150</v>
      </c>
      <c r="K747" s="73" t="str">
        <f>186450*$C819</f>
        <v>0</v>
      </c>
      <c r="L747" s="72">
        <v>50</v>
      </c>
      <c r="M747" s="73" t="str">
        <f>62150*$C819</f>
        <v>0</v>
      </c>
      <c r="N747" s="72">
        <v>150</v>
      </c>
      <c r="O747" s="73" t="str">
        <f>186450*$C819</f>
        <v>0</v>
      </c>
      <c r="P747" s="72">
        <v>100</v>
      </c>
      <c r="Q747" s="73" t="str">
        <f>124300*$C819</f>
        <v>0</v>
      </c>
      <c r="R747" s="72">
        <v>0</v>
      </c>
      <c r="S747" s="73">
        <v>0</v>
      </c>
      <c r="T747" s="72">
        <v>0</v>
      </c>
      <c r="U747" s="73">
        <v>0</v>
      </c>
      <c r="V747" s="72">
        <v>200</v>
      </c>
      <c r="W747" s="73" t="str">
        <f>248600*$C819</f>
        <v>0</v>
      </c>
      <c r="X747" s="72">
        <v>300</v>
      </c>
      <c r="Y747" s="73" t="str">
        <f>372900*$C819</f>
        <v>0</v>
      </c>
      <c r="Z747" s="72">
        <v>0</v>
      </c>
      <c r="AA747" s="73">
        <v>0</v>
      </c>
      <c r="AB747" s="72">
        <v>0</v>
      </c>
      <c r="AC747" s="73">
        <v>0</v>
      </c>
      <c r="AD747" s="72">
        <v>0</v>
      </c>
      <c r="AE747" s="73">
        <v>0</v>
      </c>
      <c r="AF747" s="72">
        <v>0</v>
      </c>
      <c r="AG747" s="88">
        <v>0</v>
      </c>
      <c r="AH747"/>
    </row>
    <row r="748" spans="1:34">
      <c r="B748" s="114">
        <v>729</v>
      </c>
      <c r="C748" s="117">
        <v>51</v>
      </c>
      <c r="D748" s="117"/>
      <c r="E748" s="117" t="s">
        <v>1298</v>
      </c>
      <c r="F748" s="117" t="s">
        <v>1299</v>
      </c>
      <c r="G748" s="117" t="s">
        <v>1360</v>
      </c>
      <c r="H748" s="117" t="s">
        <v>694</v>
      </c>
      <c r="I748" s="120" t="s">
        <v>455</v>
      </c>
      <c r="J748" s="84">
        <v>0</v>
      </c>
      <c r="K748" s="73">
        <v>0</v>
      </c>
      <c r="L748" s="72">
        <v>200</v>
      </c>
      <c r="M748" s="73" t="str">
        <f>81200*$C819</f>
        <v>0</v>
      </c>
      <c r="N748" s="72">
        <v>400</v>
      </c>
      <c r="O748" s="73" t="str">
        <f>162400*$C819</f>
        <v>0</v>
      </c>
      <c r="P748" s="72">
        <v>200</v>
      </c>
      <c r="Q748" s="73" t="str">
        <f>81200*$C819</f>
        <v>0</v>
      </c>
      <c r="R748" s="72">
        <v>0</v>
      </c>
      <c r="S748" s="73">
        <v>0</v>
      </c>
      <c r="T748" s="72">
        <v>0</v>
      </c>
      <c r="U748" s="73">
        <v>0</v>
      </c>
      <c r="V748" s="72">
        <v>200</v>
      </c>
      <c r="W748" s="73" t="str">
        <f>81200*$C819</f>
        <v>0</v>
      </c>
      <c r="X748" s="72">
        <v>300</v>
      </c>
      <c r="Y748" s="73" t="str">
        <f>121800*$C819</f>
        <v>0</v>
      </c>
      <c r="Z748" s="72">
        <v>0</v>
      </c>
      <c r="AA748" s="73">
        <v>0</v>
      </c>
      <c r="AB748" s="72">
        <v>0</v>
      </c>
      <c r="AC748" s="73">
        <v>0</v>
      </c>
      <c r="AD748" s="72">
        <v>0</v>
      </c>
      <c r="AE748" s="73">
        <v>0</v>
      </c>
      <c r="AF748" s="72">
        <v>0</v>
      </c>
      <c r="AG748" s="88">
        <v>0</v>
      </c>
      <c r="AH748"/>
    </row>
    <row r="749" spans="1:34">
      <c r="B749" s="114">
        <v>730</v>
      </c>
      <c r="C749" s="117">
        <v>51</v>
      </c>
      <c r="D749" s="117"/>
      <c r="E749" s="117" t="s">
        <v>1298</v>
      </c>
      <c r="F749" s="117" t="s">
        <v>1299</v>
      </c>
      <c r="G749" s="117" t="s">
        <v>1419</v>
      </c>
      <c r="H749" s="117" t="s">
        <v>232</v>
      </c>
      <c r="I749" s="120" t="s">
        <v>1420</v>
      </c>
      <c r="J749" s="84">
        <v>3000</v>
      </c>
      <c r="K749" s="73" t="str">
        <f>54000*$C819</f>
        <v>0</v>
      </c>
      <c r="L749" s="72">
        <v>1500</v>
      </c>
      <c r="M749" s="73" t="str">
        <f>27000*$C819</f>
        <v>0</v>
      </c>
      <c r="N749" s="72">
        <v>0</v>
      </c>
      <c r="O749" s="73">
        <v>0</v>
      </c>
      <c r="P749" s="72">
        <v>2000</v>
      </c>
      <c r="Q749" s="73" t="str">
        <f>36000*$C819</f>
        <v>0</v>
      </c>
      <c r="R749" s="72">
        <v>0</v>
      </c>
      <c r="S749" s="73">
        <v>0</v>
      </c>
      <c r="T749" s="72">
        <v>4000</v>
      </c>
      <c r="U749" s="73" t="str">
        <f>72000*$C819</f>
        <v>0</v>
      </c>
      <c r="V749" s="72">
        <v>0</v>
      </c>
      <c r="W749" s="73">
        <v>0</v>
      </c>
      <c r="X749" s="72">
        <v>2000</v>
      </c>
      <c r="Y749" s="73" t="str">
        <f>36000*$C819</f>
        <v>0</v>
      </c>
      <c r="Z749" s="72">
        <v>0</v>
      </c>
      <c r="AA749" s="73">
        <v>0</v>
      </c>
      <c r="AB749" s="72">
        <v>0</v>
      </c>
      <c r="AC749" s="73">
        <v>0</v>
      </c>
      <c r="AD749" s="72">
        <v>0</v>
      </c>
      <c r="AE749" s="73">
        <v>0</v>
      </c>
      <c r="AF749" s="72">
        <v>0</v>
      </c>
      <c r="AG749" s="88">
        <v>0</v>
      </c>
      <c r="AH749"/>
    </row>
    <row r="750" spans="1:34">
      <c r="B750" s="114">
        <v>731</v>
      </c>
      <c r="C750" s="117">
        <v>51</v>
      </c>
      <c r="D750" s="117"/>
      <c r="E750" s="117" t="s">
        <v>1298</v>
      </c>
      <c r="F750" s="117" t="s">
        <v>1299</v>
      </c>
      <c r="G750" s="117" t="s">
        <v>1432</v>
      </c>
      <c r="H750" s="117" t="s">
        <v>620</v>
      </c>
      <c r="I750" s="120" t="s">
        <v>455</v>
      </c>
      <c r="J750" s="84">
        <v>50</v>
      </c>
      <c r="K750" s="73" t="str">
        <f>127550*$C819</f>
        <v>0</v>
      </c>
      <c r="L750" s="72">
        <v>150</v>
      </c>
      <c r="M750" s="73" t="str">
        <f>382650*$C819</f>
        <v>0</v>
      </c>
      <c r="N750" s="72">
        <v>500</v>
      </c>
      <c r="O750" s="73" t="str">
        <f>1275500*$C819</f>
        <v>0</v>
      </c>
      <c r="P750" s="72">
        <v>0</v>
      </c>
      <c r="Q750" s="73">
        <v>0</v>
      </c>
      <c r="R750" s="72">
        <v>0</v>
      </c>
      <c r="S750" s="73">
        <v>0</v>
      </c>
      <c r="T750" s="72">
        <v>0</v>
      </c>
      <c r="U750" s="73">
        <v>0</v>
      </c>
      <c r="V750" s="72">
        <v>0</v>
      </c>
      <c r="W750" s="73">
        <v>0</v>
      </c>
      <c r="X750" s="72">
        <v>0</v>
      </c>
      <c r="Y750" s="73">
        <v>0</v>
      </c>
      <c r="Z750" s="72">
        <v>0</v>
      </c>
      <c r="AA750" s="73">
        <v>0</v>
      </c>
      <c r="AB750" s="72">
        <v>0</v>
      </c>
      <c r="AC750" s="73">
        <v>0</v>
      </c>
      <c r="AD750" s="72">
        <v>0</v>
      </c>
      <c r="AE750" s="73">
        <v>0</v>
      </c>
      <c r="AF750" s="72">
        <v>0</v>
      </c>
      <c r="AG750" s="88">
        <v>0</v>
      </c>
      <c r="AH750"/>
    </row>
    <row r="751" spans="1:34">
      <c r="B751" s="114">
        <v>732</v>
      </c>
      <c r="C751" s="117">
        <v>51</v>
      </c>
      <c r="D751" s="117"/>
      <c r="E751" s="117" t="s">
        <v>1298</v>
      </c>
      <c r="F751" s="117" t="s">
        <v>1299</v>
      </c>
      <c r="G751" s="117" t="s">
        <v>1439</v>
      </c>
      <c r="H751" s="117" t="s">
        <v>1440</v>
      </c>
      <c r="I751" s="120" t="s">
        <v>623</v>
      </c>
      <c r="J751" s="84">
        <v>1200</v>
      </c>
      <c r="K751" s="73" t="str">
        <f>70800*$C819</f>
        <v>0</v>
      </c>
      <c r="L751" s="72">
        <v>900</v>
      </c>
      <c r="M751" s="73" t="str">
        <f>53100*$C819</f>
        <v>0</v>
      </c>
      <c r="N751" s="72">
        <v>1500</v>
      </c>
      <c r="O751" s="73" t="str">
        <f>88500*$C819</f>
        <v>0</v>
      </c>
      <c r="P751" s="72">
        <v>3600</v>
      </c>
      <c r="Q751" s="73" t="str">
        <f>212400*$C819</f>
        <v>0</v>
      </c>
      <c r="R751" s="72">
        <v>5400</v>
      </c>
      <c r="S751" s="73" t="str">
        <f>318600*$C819</f>
        <v>0</v>
      </c>
      <c r="T751" s="72">
        <v>3600</v>
      </c>
      <c r="U751" s="73" t="str">
        <f>212400*$C819</f>
        <v>0</v>
      </c>
      <c r="V751" s="72">
        <v>1500</v>
      </c>
      <c r="W751" s="73" t="str">
        <f>88500*$C819</f>
        <v>0</v>
      </c>
      <c r="X751" s="72">
        <v>2700</v>
      </c>
      <c r="Y751" s="73" t="str">
        <f>159300*$C819</f>
        <v>0</v>
      </c>
      <c r="Z751" s="72">
        <v>3150</v>
      </c>
      <c r="AA751" s="73" t="str">
        <f>185850*$C819</f>
        <v>0</v>
      </c>
      <c r="AB751" s="72">
        <v>150</v>
      </c>
      <c r="AC751" s="73" t="str">
        <f>8850*$C819</f>
        <v>0</v>
      </c>
      <c r="AD751" s="72">
        <v>0</v>
      </c>
      <c r="AE751" s="73">
        <v>0</v>
      </c>
      <c r="AF751" s="72">
        <v>0</v>
      </c>
      <c r="AG751" s="88">
        <v>0</v>
      </c>
      <c r="AH751"/>
    </row>
    <row r="752" spans="1:34">
      <c r="B752" s="114">
        <v>733</v>
      </c>
      <c r="C752" s="117">
        <v>51</v>
      </c>
      <c r="D752" s="117"/>
      <c r="E752" s="117" t="s">
        <v>1298</v>
      </c>
      <c r="F752" s="117" t="s">
        <v>1299</v>
      </c>
      <c r="G752" s="117" t="s">
        <v>1370</v>
      </c>
      <c r="H752" s="117" t="s">
        <v>1020</v>
      </c>
      <c r="I752" s="120" t="s">
        <v>623</v>
      </c>
      <c r="J752" s="84">
        <v>0</v>
      </c>
      <c r="K752" s="73">
        <v>0</v>
      </c>
      <c r="L752" s="72">
        <v>0</v>
      </c>
      <c r="M752" s="73">
        <v>0</v>
      </c>
      <c r="N752" s="72">
        <v>2000</v>
      </c>
      <c r="O752" s="73" t="str">
        <f>4000*$C819</f>
        <v>0</v>
      </c>
      <c r="P752" s="72">
        <v>3000</v>
      </c>
      <c r="Q752" s="73" t="str">
        <f>6000*$C819</f>
        <v>0</v>
      </c>
      <c r="R752" s="72">
        <v>2000</v>
      </c>
      <c r="S752" s="73" t="str">
        <f>4000*$C819</f>
        <v>0</v>
      </c>
      <c r="T752" s="72">
        <v>1000</v>
      </c>
      <c r="U752" s="73" t="str">
        <f>2000*$C819</f>
        <v>0</v>
      </c>
      <c r="V752" s="72">
        <v>2000</v>
      </c>
      <c r="W752" s="73" t="str">
        <f>4000*$C819</f>
        <v>0</v>
      </c>
      <c r="X752" s="72">
        <v>3000</v>
      </c>
      <c r="Y752" s="73" t="str">
        <f>6000*$C819</f>
        <v>0</v>
      </c>
      <c r="Z752" s="72">
        <v>2000</v>
      </c>
      <c r="AA752" s="73" t="str">
        <f>4000*$C819</f>
        <v>0</v>
      </c>
      <c r="AB752" s="72">
        <v>1000</v>
      </c>
      <c r="AC752" s="73" t="str">
        <f>2000*$C819</f>
        <v>0</v>
      </c>
      <c r="AD752" s="72">
        <v>0</v>
      </c>
      <c r="AE752" s="73">
        <v>0</v>
      </c>
      <c r="AF752" s="72">
        <v>0</v>
      </c>
      <c r="AG752" s="88">
        <v>0</v>
      </c>
      <c r="AH752"/>
    </row>
    <row r="753" spans="1:34">
      <c r="B753" s="114">
        <v>734</v>
      </c>
      <c r="C753" s="117">
        <v>51</v>
      </c>
      <c r="D753" s="117"/>
      <c r="E753" s="117" t="s">
        <v>1298</v>
      </c>
      <c r="F753" s="117" t="s">
        <v>1299</v>
      </c>
      <c r="G753" s="117" t="s">
        <v>1434</v>
      </c>
      <c r="H753" s="117" t="s">
        <v>1435</v>
      </c>
      <c r="I753" s="120" t="s">
        <v>623</v>
      </c>
      <c r="J753" s="84">
        <v>100</v>
      </c>
      <c r="K753" s="73" t="str">
        <f>4000*$C819</f>
        <v>0</v>
      </c>
      <c r="L753" s="72">
        <v>400</v>
      </c>
      <c r="M753" s="73" t="str">
        <f>16000*$C819</f>
        <v>0</v>
      </c>
      <c r="N753" s="72">
        <v>1100</v>
      </c>
      <c r="O753" s="73" t="str">
        <f>44000*$C819</f>
        <v>0</v>
      </c>
      <c r="P753" s="72">
        <v>3000</v>
      </c>
      <c r="Q753" s="73" t="str">
        <f>120000*$C819</f>
        <v>0</v>
      </c>
      <c r="R753" s="72">
        <v>600</v>
      </c>
      <c r="S753" s="73" t="str">
        <f>24000*$C819</f>
        <v>0</v>
      </c>
      <c r="T753" s="72">
        <v>800</v>
      </c>
      <c r="U753" s="73" t="str">
        <f>32000*$C819</f>
        <v>0</v>
      </c>
      <c r="V753" s="72">
        <v>2000</v>
      </c>
      <c r="W753" s="73" t="str">
        <f>80000*$C819</f>
        <v>0</v>
      </c>
      <c r="X753" s="72">
        <v>600</v>
      </c>
      <c r="Y753" s="73" t="str">
        <f>24000*$C819</f>
        <v>0</v>
      </c>
      <c r="Z753" s="72">
        <v>1800</v>
      </c>
      <c r="AA753" s="73" t="str">
        <f>72000*$C819</f>
        <v>0</v>
      </c>
      <c r="AB753" s="72">
        <v>100</v>
      </c>
      <c r="AC753" s="73" t="str">
        <f>4000*$C819</f>
        <v>0</v>
      </c>
      <c r="AD753" s="72">
        <v>0</v>
      </c>
      <c r="AE753" s="73">
        <v>0</v>
      </c>
      <c r="AF753" s="72">
        <v>0</v>
      </c>
      <c r="AG753" s="88">
        <v>0</v>
      </c>
      <c r="AH753"/>
    </row>
    <row r="754" spans="1:34">
      <c r="B754" s="114">
        <v>735</v>
      </c>
      <c r="C754" s="117">
        <v>51</v>
      </c>
      <c r="D754" s="117"/>
      <c r="E754" s="117" t="s">
        <v>1298</v>
      </c>
      <c r="F754" s="117" t="s">
        <v>1299</v>
      </c>
      <c r="G754" s="117" t="s">
        <v>1438</v>
      </c>
      <c r="H754" s="117" t="s">
        <v>1425</v>
      </c>
      <c r="I754" s="120" t="s">
        <v>623</v>
      </c>
      <c r="J754" s="84">
        <v>2720</v>
      </c>
      <c r="K754" s="73" t="str">
        <f>796960*$C819</f>
        <v>0</v>
      </c>
      <c r="L754" s="72">
        <v>1920</v>
      </c>
      <c r="M754" s="73" t="str">
        <f>562560*$C819</f>
        <v>0</v>
      </c>
      <c r="N754" s="72">
        <v>6000</v>
      </c>
      <c r="O754" s="73" t="str">
        <f>1758000*$C819</f>
        <v>0</v>
      </c>
      <c r="P754" s="72">
        <v>4960</v>
      </c>
      <c r="Q754" s="73" t="str">
        <f>1453280*$C819</f>
        <v>0</v>
      </c>
      <c r="R754" s="72">
        <v>3920</v>
      </c>
      <c r="S754" s="73" t="str">
        <f>1148560*$C819</f>
        <v>0</v>
      </c>
      <c r="T754" s="72">
        <v>5880</v>
      </c>
      <c r="U754" s="73" t="str">
        <f>1722840*$C819</f>
        <v>0</v>
      </c>
      <c r="V754" s="72">
        <v>5360</v>
      </c>
      <c r="W754" s="73" t="str">
        <f>1570480*$C819</f>
        <v>0</v>
      </c>
      <c r="X754" s="72">
        <v>4200</v>
      </c>
      <c r="Y754" s="73" t="str">
        <f>1230600*$C819</f>
        <v>0</v>
      </c>
      <c r="Z754" s="72">
        <v>5140</v>
      </c>
      <c r="AA754" s="73" t="str">
        <f>1506020*$C819</f>
        <v>0</v>
      </c>
      <c r="AB754" s="72">
        <v>2720</v>
      </c>
      <c r="AC754" s="73" t="str">
        <f>796960*$C819</f>
        <v>0</v>
      </c>
      <c r="AD754" s="72">
        <v>0</v>
      </c>
      <c r="AE754" s="73">
        <v>0</v>
      </c>
      <c r="AF754" s="72">
        <v>0</v>
      </c>
      <c r="AG754" s="88">
        <v>0</v>
      </c>
      <c r="AH754"/>
    </row>
    <row r="755" spans="1:34">
      <c r="B755" s="114">
        <v>736</v>
      </c>
      <c r="C755" s="117">
        <v>51</v>
      </c>
      <c r="D755" s="117"/>
      <c r="E755" s="117" t="s">
        <v>1298</v>
      </c>
      <c r="F755" s="117" t="s">
        <v>1299</v>
      </c>
      <c r="G755" s="117" t="s">
        <v>1446</v>
      </c>
      <c r="H755" s="117" t="s">
        <v>1447</v>
      </c>
      <c r="I755" s="120" t="s">
        <v>455</v>
      </c>
      <c r="J755" s="84">
        <v>0</v>
      </c>
      <c r="K755" s="73">
        <v>0</v>
      </c>
      <c r="L755" s="72">
        <v>250</v>
      </c>
      <c r="M755" s="73" t="str">
        <f>101000*$C819</f>
        <v>0</v>
      </c>
      <c r="N755" s="72">
        <v>500</v>
      </c>
      <c r="O755" s="73" t="str">
        <f>202000*$C819</f>
        <v>0</v>
      </c>
      <c r="P755" s="72">
        <v>500</v>
      </c>
      <c r="Q755" s="73" t="str">
        <f>202000*$C819</f>
        <v>0</v>
      </c>
      <c r="R755" s="72">
        <v>0</v>
      </c>
      <c r="S755" s="73">
        <v>0</v>
      </c>
      <c r="T755" s="72">
        <v>0</v>
      </c>
      <c r="U755" s="73">
        <v>0</v>
      </c>
      <c r="V755" s="72">
        <v>250</v>
      </c>
      <c r="W755" s="73" t="str">
        <f>101000*$C819</f>
        <v>0</v>
      </c>
      <c r="X755" s="72">
        <v>250</v>
      </c>
      <c r="Y755" s="73" t="str">
        <f>101000*$C819</f>
        <v>0</v>
      </c>
      <c r="Z755" s="72">
        <v>0</v>
      </c>
      <c r="AA755" s="73">
        <v>0</v>
      </c>
      <c r="AB755" s="72">
        <v>100</v>
      </c>
      <c r="AC755" s="73" t="str">
        <f>40400*$C819</f>
        <v>0</v>
      </c>
      <c r="AD755" s="72">
        <v>0</v>
      </c>
      <c r="AE755" s="73">
        <v>0</v>
      </c>
      <c r="AF755" s="72">
        <v>0</v>
      </c>
      <c r="AG755" s="88">
        <v>0</v>
      </c>
      <c r="AH755"/>
    </row>
    <row r="756" spans="1:34">
      <c r="B756" s="114">
        <v>737</v>
      </c>
      <c r="C756" s="117">
        <v>51</v>
      </c>
      <c r="D756" s="117"/>
      <c r="E756" s="117" t="s">
        <v>1298</v>
      </c>
      <c r="F756" s="117" t="s">
        <v>1299</v>
      </c>
      <c r="G756" s="117" t="s">
        <v>1362</v>
      </c>
      <c r="H756" s="117" t="s">
        <v>454</v>
      </c>
      <c r="I756" s="120" t="s">
        <v>1363</v>
      </c>
      <c r="J756" s="84">
        <v>600</v>
      </c>
      <c r="K756" s="73" t="str">
        <f>132600*$C819</f>
        <v>0</v>
      </c>
      <c r="L756" s="72">
        <v>1200</v>
      </c>
      <c r="M756" s="73" t="str">
        <f>265200*$C819</f>
        <v>0</v>
      </c>
      <c r="N756" s="72">
        <v>5800</v>
      </c>
      <c r="O756" s="73" t="str">
        <f>1281800*$C819</f>
        <v>0</v>
      </c>
      <c r="P756" s="72">
        <v>6600</v>
      </c>
      <c r="Q756" s="73" t="str">
        <f>1458600*$C819</f>
        <v>0</v>
      </c>
      <c r="R756" s="72">
        <v>5800</v>
      </c>
      <c r="S756" s="73" t="str">
        <f>1281800*$C819</f>
        <v>0</v>
      </c>
      <c r="T756" s="72">
        <v>9560</v>
      </c>
      <c r="U756" s="73" t="str">
        <f>2112760*$C819</f>
        <v>0</v>
      </c>
      <c r="V756" s="72">
        <v>3800</v>
      </c>
      <c r="W756" s="73" t="str">
        <f>839800*$C819</f>
        <v>0</v>
      </c>
      <c r="X756" s="72">
        <v>3600</v>
      </c>
      <c r="Y756" s="73" t="str">
        <f>795600*$C819</f>
        <v>0</v>
      </c>
      <c r="Z756" s="72">
        <v>4500</v>
      </c>
      <c r="AA756" s="73" t="str">
        <f>994500*$C819</f>
        <v>0</v>
      </c>
      <c r="AB756" s="72">
        <v>1720</v>
      </c>
      <c r="AC756" s="73" t="str">
        <f>380120*$C819</f>
        <v>0</v>
      </c>
      <c r="AD756" s="72">
        <v>0</v>
      </c>
      <c r="AE756" s="73">
        <v>0</v>
      </c>
      <c r="AF756" s="72">
        <v>0</v>
      </c>
      <c r="AG756" s="88">
        <v>0</v>
      </c>
      <c r="AH756"/>
    </row>
    <row r="757" spans="1:34">
      <c r="B757" s="114">
        <v>738</v>
      </c>
      <c r="C757" s="117">
        <v>51</v>
      </c>
      <c r="D757" s="117"/>
      <c r="E757" s="117" t="s">
        <v>1298</v>
      </c>
      <c r="F757" s="117" t="s">
        <v>1299</v>
      </c>
      <c r="G757" s="117" t="s">
        <v>1436</v>
      </c>
      <c r="H757" s="117" t="s">
        <v>1437</v>
      </c>
      <c r="I757" s="120" t="s">
        <v>623</v>
      </c>
      <c r="J757" s="84">
        <v>800</v>
      </c>
      <c r="K757" s="73" t="str">
        <f>24800*$C819</f>
        <v>0</v>
      </c>
      <c r="L757" s="72">
        <v>2000</v>
      </c>
      <c r="M757" s="73" t="str">
        <f>62000*$C819</f>
        <v>0</v>
      </c>
      <c r="N757" s="72">
        <v>2400</v>
      </c>
      <c r="O757" s="73" t="str">
        <f>74400*$C819</f>
        <v>0</v>
      </c>
      <c r="P757" s="72">
        <v>7200</v>
      </c>
      <c r="Q757" s="73" t="str">
        <f>223200*$C819</f>
        <v>0</v>
      </c>
      <c r="R757" s="72">
        <v>7200</v>
      </c>
      <c r="S757" s="73" t="str">
        <f>223200*$C819</f>
        <v>0</v>
      </c>
      <c r="T757" s="72">
        <v>6400</v>
      </c>
      <c r="U757" s="73" t="str">
        <f>198400*$C819</f>
        <v>0</v>
      </c>
      <c r="V757" s="72">
        <v>2000</v>
      </c>
      <c r="W757" s="73" t="str">
        <f>62000*$C819</f>
        <v>0</v>
      </c>
      <c r="X757" s="72">
        <v>4800</v>
      </c>
      <c r="Y757" s="73" t="str">
        <f>148800*$C819</f>
        <v>0</v>
      </c>
      <c r="Z757" s="72">
        <v>5300</v>
      </c>
      <c r="AA757" s="73" t="str">
        <f>164300*$C819</f>
        <v>0</v>
      </c>
      <c r="AB757" s="72">
        <v>1200</v>
      </c>
      <c r="AC757" s="73" t="str">
        <f>37200*$C819</f>
        <v>0</v>
      </c>
      <c r="AD757" s="72">
        <v>0</v>
      </c>
      <c r="AE757" s="73">
        <v>0</v>
      </c>
      <c r="AF757" s="72">
        <v>0</v>
      </c>
      <c r="AG757" s="88">
        <v>0</v>
      </c>
      <c r="AH757"/>
    </row>
    <row r="758" spans="1:34">
      <c r="B758" s="114">
        <v>739</v>
      </c>
      <c r="C758" s="117">
        <v>51</v>
      </c>
      <c r="D758" s="117"/>
      <c r="E758" s="117" t="s">
        <v>1298</v>
      </c>
      <c r="F758" s="117" t="s">
        <v>1299</v>
      </c>
      <c r="G758" s="117" t="s">
        <v>1364</v>
      </c>
      <c r="H758" s="117" t="s">
        <v>659</v>
      </c>
      <c r="I758" s="120" t="s">
        <v>623</v>
      </c>
      <c r="J758" s="84">
        <v>0</v>
      </c>
      <c r="K758" s="73">
        <v>0</v>
      </c>
      <c r="L758" s="72">
        <v>0</v>
      </c>
      <c r="M758" s="73">
        <v>0</v>
      </c>
      <c r="N758" s="72">
        <v>0</v>
      </c>
      <c r="O758" s="73">
        <v>0</v>
      </c>
      <c r="P758" s="72">
        <v>0</v>
      </c>
      <c r="Q758" s="73">
        <v>0</v>
      </c>
      <c r="R758" s="72">
        <v>0</v>
      </c>
      <c r="S758" s="73">
        <v>0</v>
      </c>
      <c r="T758" s="72">
        <v>200</v>
      </c>
      <c r="U758" s="73" t="str">
        <f>4200*$C819</f>
        <v>0</v>
      </c>
      <c r="V758" s="72">
        <v>4200</v>
      </c>
      <c r="W758" s="73" t="str">
        <f>88200*$C819</f>
        <v>0</v>
      </c>
      <c r="X758" s="72">
        <v>1700</v>
      </c>
      <c r="Y758" s="73" t="str">
        <f>35700*$C819</f>
        <v>0</v>
      </c>
      <c r="Z758" s="72">
        <v>1400</v>
      </c>
      <c r="AA758" s="73" t="str">
        <f>29400*$C819</f>
        <v>0</v>
      </c>
      <c r="AB758" s="72">
        <v>900</v>
      </c>
      <c r="AC758" s="73" t="str">
        <f>18900*$C819</f>
        <v>0</v>
      </c>
      <c r="AD758" s="72">
        <v>0</v>
      </c>
      <c r="AE758" s="73">
        <v>0</v>
      </c>
      <c r="AF758" s="72">
        <v>0</v>
      </c>
      <c r="AG758" s="88">
        <v>0</v>
      </c>
      <c r="AH758"/>
    </row>
    <row r="759" spans="1:34">
      <c r="B759" s="114">
        <v>740</v>
      </c>
      <c r="C759" s="117">
        <v>51</v>
      </c>
      <c r="D759" s="117"/>
      <c r="E759" s="117" t="s">
        <v>1298</v>
      </c>
      <c r="F759" s="117" t="s">
        <v>1299</v>
      </c>
      <c r="G759" s="117" t="s">
        <v>1442</v>
      </c>
      <c r="H759" s="117" t="s">
        <v>454</v>
      </c>
      <c r="I759" s="120" t="s">
        <v>548</v>
      </c>
      <c r="J759" s="84">
        <v>960</v>
      </c>
      <c r="K759" s="73" t="str">
        <f>261120*$C819</f>
        <v>0</v>
      </c>
      <c r="L759" s="72">
        <v>1440</v>
      </c>
      <c r="M759" s="73" t="str">
        <f>391680*$C819</f>
        <v>0</v>
      </c>
      <c r="N759" s="72">
        <v>3664</v>
      </c>
      <c r="O759" s="73" t="str">
        <f>996608*$C819</f>
        <v>0</v>
      </c>
      <c r="P759" s="72">
        <v>1936</v>
      </c>
      <c r="Q759" s="73" t="str">
        <f>526592*$C819</f>
        <v>0</v>
      </c>
      <c r="R759" s="72">
        <v>1920</v>
      </c>
      <c r="S759" s="73" t="str">
        <f>522240*$C819</f>
        <v>0</v>
      </c>
      <c r="T759" s="72">
        <v>1600</v>
      </c>
      <c r="U759" s="73" t="str">
        <f>435200*$C819</f>
        <v>0</v>
      </c>
      <c r="V759" s="72">
        <v>1440</v>
      </c>
      <c r="W759" s="73" t="str">
        <f>391680*$C819</f>
        <v>0</v>
      </c>
      <c r="X759" s="72">
        <v>640</v>
      </c>
      <c r="Y759" s="73" t="str">
        <f>174080*$C819</f>
        <v>0</v>
      </c>
      <c r="Z759" s="72">
        <v>1600</v>
      </c>
      <c r="AA759" s="73" t="str">
        <f>435200*$C819</f>
        <v>0</v>
      </c>
      <c r="AB759" s="72">
        <v>600</v>
      </c>
      <c r="AC759" s="73" t="str">
        <f>163200*$C819</f>
        <v>0</v>
      </c>
      <c r="AD759" s="72">
        <v>0</v>
      </c>
      <c r="AE759" s="73">
        <v>0</v>
      </c>
      <c r="AF759" s="72">
        <v>0</v>
      </c>
      <c r="AG759" s="88">
        <v>0</v>
      </c>
      <c r="AH759"/>
    </row>
    <row r="760" spans="1:34">
      <c r="B760" s="114">
        <v>741</v>
      </c>
      <c r="C760" s="117">
        <v>51</v>
      </c>
      <c r="D760" s="117"/>
      <c r="E760" s="117" t="s">
        <v>1298</v>
      </c>
      <c r="F760" s="117" t="s">
        <v>1299</v>
      </c>
      <c r="G760" s="117" t="s">
        <v>1365</v>
      </c>
      <c r="H760" s="117" t="s">
        <v>1366</v>
      </c>
      <c r="I760" s="120" t="s">
        <v>623</v>
      </c>
      <c r="J760" s="84">
        <v>288</v>
      </c>
      <c r="K760" s="73" t="str">
        <f>61056*$C819</f>
        <v>0</v>
      </c>
      <c r="L760" s="72">
        <v>360</v>
      </c>
      <c r="M760" s="73" t="str">
        <f>76320*$C819</f>
        <v>0</v>
      </c>
      <c r="N760" s="72">
        <v>600</v>
      </c>
      <c r="O760" s="73" t="str">
        <f>127200*$C819</f>
        <v>0</v>
      </c>
      <c r="P760" s="72">
        <v>2400</v>
      </c>
      <c r="Q760" s="73" t="str">
        <f>508800*$C819</f>
        <v>0</v>
      </c>
      <c r="R760" s="72">
        <v>2640</v>
      </c>
      <c r="S760" s="73" t="str">
        <f>559680*$C819</f>
        <v>0</v>
      </c>
      <c r="T760" s="72">
        <v>1716</v>
      </c>
      <c r="U760" s="73" t="str">
        <f>363792*$C819</f>
        <v>0</v>
      </c>
      <c r="V760" s="72">
        <v>1760</v>
      </c>
      <c r="W760" s="73" t="str">
        <f>373120*$C819</f>
        <v>0</v>
      </c>
      <c r="X760" s="72">
        <v>1180</v>
      </c>
      <c r="Y760" s="73" t="str">
        <f>250160*$C819</f>
        <v>0</v>
      </c>
      <c r="Z760" s="72">
        <v>1440</v>
      </c>
      <c r="AA760" s="73" t="str">
        <f>305280*$C819</f>
        <v>0</v>
      </c>
      <c r="AB760" s="72">
        <v>480</v>
      </c>
      <c r="AC760" s="73" t="str">
        <f>101760*$C819</f>
        <v>0</v>
      </c>
      <c r="AD760" s="72">
        <v>0</v>
      </c>
      <c r="AE760" s="73">
        <v>0</v>
      </c>
      <c r="AF760" s="72">
        <v>0</v>
      </c>
      <c r="AG760" s="88">
        <v>0</v>
      </c>
      <c r="AH760"/>
    </row>
    <row r="761" spans="1:34">
      <c r="B761" s="114">
        <v>742</v>
      </c>
      <c r="C761" s="117">
        <v>51</v>
      </c>
      <c r="D761" s="117"/>
      <c r="E761" s="117" t="s">
        <v>1298</v>
      </c>
      <c r="F761" s="117" t="s">
        <v>1299</v>
      </c>
      <c r="G761" s="117" t="s">
        <v>1369</v>
      </c>
      <c r="H761" s="117" t="s">
        <v>782</v>
      </c>
      <c r="I761" s="120" t="s">
        <v>1301</v>
      </c>
      <c r="J761" s="84">
        <v>504</v>
      </c>
      <c r="K761" s="73" t="str">
        <f>132048*$C819</f>
        <v>0</v>
      </c>
      <c r="L761" s="72">
        <v>756</v>
      </c>
      <c r="M761" s="73" t="str">
        <f>198072*$C819</f>
        <v>0</v>
      </c>
      <c r="N761" s="72">
        <v>1116</v>
      </c>
      <c r="O761" s="73" t="str">
        <f>292392*$C819</f>
        <v>0</v>
      </c>
      <c r="P761" s="72">
        <v>864</v>
      </c>
      <c r="Q761" s="73" t="str">
        <f>226368*$C819</f>
        <v>0</v>
      </c>
      <c r="R761" s="72">
        <v>864</v>
      </c>
      <c r="S761" s="73" t="str">
        <f>226368*$C819</f>
        <v>0</v>
      </c>
      <c r="T761" s="72">
        <v>900</v>
      </c>
      <c r="U761" s="73" t="str">
        <f>235800*$C819</f>
        <v>0</v>
      </c>
      <c r="V761" s="72">
        <v>648</v>
      </c>
      <c r="W761" s="73" t="str">
        <f>169776*$C819</f>
        <v>0</v>
      </c>
      <c r="X761" s="72">
        <v>648</v>
      </c>
      <c r="Y761" s="73" t="str">
        <f>169776*$C819</f>
        <v>0</v>
      </c>
      <c r="Z761" s="72">
        <v>756</v>
      </c>
      <c r="AA761" s="73" t="str">
        <f>198072*$C819</f>
        <v>0</v>
      </c>
      <c r="AB761" s="72">
        <v>324</v>
      </c>
      <c r="AC761" s="73" t="str">
        <f>84888*$C819</f>
        <v>0</v>
      </c>
      <c r="AD761" s="72">
        <v>0</v>
      </c>
      <c r="AE761" s="73">
        <v>0</v>
      </c>
      <c r="AF761" s="72">
        <v>0</v>
      </c>
      <c r="AG761" s="88">
        <v>0</v>
      </c>
      <c r="AH761"/>
    </row>
    <row r="762" spans="1:34">
      <c r="B762" s="114">
        <v>743</v>
      </c>
      <c r="C762" s="117">
        <v>51</v>
      </c>
      <c r="D762" s="117"/>
      <c r="E762" s="117" t="s">
        <v>1298</v>
      </c>
      <c r="F762" s="117" t="s">
        <v>1299</v>
      </c>
      <c r="G762" s="117" t="s">
        <v>1444</v>
      </c>
      <c r="H762" s="117" t="s">
        <v>957</v>
      </c>
      <c r="I762" s="120" t="s">
        <v>623</v>
      </c>
      <c r="J762" s="84">
        <v>2000</v>
      </c>
      <c r="K762" s="73" t="str">
        <f>30000*$C819</f>
        <v>0</v>
      </c>
      <c r="L762" s="72">
        <v>2000</v>
      </c>
      <c r="M762" s="73" t="str">
        <f>30000*$C819</f>
        <v>0</v>
      </c>
      <c r="N762" s="72">
        <v>3000</v>
      </c>
      <c r="O762" s="73" t="str">
        <f>45000*$C819</f>
        <v>0</v>
      </c>
      <c r="P762" s="72">
        <v>4000</v>
      </c>
      <c r="Q762" s="73" t="str">
        <f>60000*$C819</f>
        <v>0</v>
      </c>
      <c r="R762" s="72">
        <v>5000</v>
      </c>
      <c r="S762" s="73" t="str">
        <f>75000*$C819</f>
        <v>0</v>
      </c>
      <c r="T762" s="72">
        <v>6000</v>
      </c>
      <c r="U762" s="73" t="str">
        <f>90000*$C819</f>
        <v>0</v>
      </c>
      <c r="V762" s="72">
        <v>1000</v>
      </c>
      <c r="W762" s="73" t="str">
        <f>15000*$C819</f>
        <v>0</v>
      </c>
      <c r="X762" s="72">
        <v>3000</v>
      </c>
      <c r="Y762" s="73" t="str">
        <f>45000*$C819</f>
        <v>0</v>
      </c>
      <c r="Z762" s="72">
        <v>4000</v>
      </c>
      <c r="AA762" s="73" t="str">
        <f>60000*$C819</f>
        <v>0</v>
      </c>
      <c r="AB762" s="72">
        <v>0</v>
      </c>
      <c r="AC762" s="73">
        <v>0</v>
      </c>
      <c r="AD762" s="72">
        <v>0</v>
      </c>
      <c r="AE762" s="73">
        <v>0</v>
      </c>
      <c r="AF762" s="72">
        <v>0</v>
      </c>
      <c r="AG762" s="88">
        <v>0</v>
      </c>
      <c r="AH762"/>
    </row>
    <row r="763" spans="1:34">
      <c r="B763" s="114">
        <v>744</v>
      </c>
      <c r="C763" s="117">
        <v>51</v>
      </c>
      <c r="D763" s="117"/>
      <c r="E763" s="117" t="s">
        <v>1298</v>
      </c>
      <c r="F763" s="117" t="s">
        <v>1299</v>
      </c>
      <c r="G763" s="117" t="s">
        <v>1445</v>
      </c>
      <c r="H763" s="117" t="s">
        <v>1368</v>
      </c>
      <c r="I763" s="120" t="s">
        <v>623</v>
      </c>
      <c r="J763" s="84">
        <v>0</v>
      </c>
      <c r="K763" s="73">
        <v>0</v>
      </c>
      <c r="L763" s="72">
        <v>0</v>
      </c>
      <c r="M763" s="73">
        <v>0</v>
      </c>
      <c r="N763" s="72">
        <v>2000</v>
      </c>
      <c r="O763" s="73" t="str">
        <f>24000*$C819</f>
        <v>0</v>
      </c>
      <c r="P763" s="72">
        <v>3000</v>
      </c>
      <c r="Q763" s="73" t="str">
        <f>36000*$C819</f>
        <v>0</v>
      </c>
      <c r="R763" s="72">
        <v>4000</v>
      </c>
      <c r="S763" s="73" t="str">
        <f>48000*$C819</f>
        <v>0</v>
      </c>
      <c r="T763" s="72">
        <v>1000</v>
      </c>
      <c r="U763" s="73" t="str">
        <f>12000*$C819</f>
        <v>0</v>
      </c>
      <c r="V763" s="72">
        <v>3000</v>
      </c>
      <c r="W763" s="73" t="str">
        <f>36000*$C819</f>
        <v>0</v>
      </c>
      <c r="X763" s="72">
        <v>2000</v>
      </c>
      <c r="Y763" s="73" t="str">
        <f>24000*$C819</f>
        <v>0</v>
      </c>
      <c r="Z763" s="72">
        <v>2000</v>
      </c>
      <c r="AA763" s="73" t="str">
        <f>24000*$C819</f>
        <v>0</v>
      </c>
      <c r="AB763" s="72">
        <v>0</v>
      </c>
      <c r="AC763" s="73">
        <v>0</v>
      </c>
      <c r="AD763" s="72">
        <v>0</v>
      </c>
      <c r="AE763" s="73">
        <v>0</v>
      </c>
      <c r="AF763" s="72">
        <v>0</v>
      </c>
      <c r="AG763" s="88">
        <v>0</v>
      </c>
      <c r="AH763"/>
    </row>
    <row r="764" spans="1:34">
      <c r="B764" s="114">
        <v>745</v>
      </c>
      <c r="C764" s="117">
        <v>51</v>
      </c>
      <c r="D764" s="117"/>
      <c r="E764" s="117" t="s">
        <v>1298</v>
      </c>
      <c r="F764" s="117" t="s">
        <v>1299</v>
      </c>
      <c r="G764" s="117" t="s">
        <v>1433</v>
      </c>
      <c r="H764" s="117" t="s">
        <v>1390</v>
      </c>
      <c r="I764" s="120" t="s">
        <v>1301</v>
      </c>
      <c r="J764" s="84">
        <v>1800</v>
      </c>
      <c r="K764" s="73" t="str">
        <f>102600*$C819</f>
        <v>0</v>
      </c>
      <c r="L764" s="72">
        <v>2200</v>
      </c>
      <c r="M764" s="73" t="str">
        <f>125400*$C819</f>
        <v>0</v>
      </c>
      <c r="N764" s="72">
        <v>5400</v>
      </c>
      <c r="O764" s="73" t="str">
        <f>307800*$C819</f>
        <v>0</v>
      </c>
      <c r="P764" s="72">
        <v>2600</v>
      </c>
      <c r="Q764" s="73" t="str">
        <f>148200*$C819</f>
        <v>0</v>
      </c>
      <c r="R764" s="72">
        <v>4800</v>
      </c>
      <c r="S764" s="73" t="str">
        <f>273600*$C819</f>
        <v>0</v>
      </c>
      <c r="T764" s="72">
        <v>3400</v>
      </c>
      <c r="U764" s="73" t="str">
        <f>193800*$C819</f>
        <v>0</v>
      </c>
      <c r="V764" s="72">
        <v>2200</v>
      </c>
      <c r="W764" s="73" t="str">
        <f>125400*$C819</f>
        <v>0</v>
      </c>
      <c r="X764" s="72">
        <v>1100</v>
      </c>
      <c r="Y764" s="73" t="str">
        <f>62700*$C819</f>
        <v>0</v>
      </c>
      <c r="Z764" s="72">
        <v>0</v>
      </c>
      <c r="AA764" s="73">
        <v>0</v>
      </c>
      <c r="AB764" s="72">
        <v>500</v>
      </c>
      <c r="AC764" s="73" t="str">
        <f>28500*$C819</f>
        <v>0</v>
      </c>
      <c r="AD764" s="72">
        <v>0</v>
      </c>
      <c r="AE764" s="73">
        <v>0</v>
      </c>
      <c r="AF764" s="72">
        <v>0</v>
      </c>
      <c r="AG764" s="88">
        <v>0</v>
      </c>
      <c r="AH764"/>
    </row>
    <row r="765" spans="1:34">
      <c r="B765" s="114">
        <v>746</v>
      </c>
      <c r="C765" s="117">
        <v>51</v>
      </c>
      <c r="D765" s="117"/>
      <c r="E765" s="117" t="s">
        <v>1298</v>
      </c>
      <c r="F765" s="117" t="s">
        <v>1299</v>
      </c>
      <c r="G765" s="117" t="s">
        <v>1441</v>
      </c>
      <c r="H765" s="117" t="s">
        <v>629</v>
      </c>
      <c r="I765" s="120" t="s">
        <v>623</v>
      </c>
      <c r="J765" s="84">
        <v>50</v>
      </c>
      <c r="K765" s="73" t="str">
        <f>120550*$C819</f>
        <v>0</v>
      </c>
      <c r="L765" s="72">
        <v>237</v>
      </c>
      <c r="M765" s="73" t="str">
        <f>571407*$C819</f>
        <v>0</v>
      </c>
      <c r="N765" s="72">
        <v>405</v>
      </c>
      <c r="O765" s="73" t="str">
        <f>976455*$C819</f>
        <v>0</v>
      </c>
      <c r="P765" s="72">
        <v>0</v>
      </c>
      <c r="Q765" s="73">
        <v>0</v>
      </c>
      <c r="R765" s="72">
        <v>567</v>
      </c>
      <c r="S765" s="73" t="str">
        <f>1367037*$C819</f>
        <v>0</v>
      </c>
      <c r="T765" s="72">
        <v>301</v>
      </c>
      <c r="U765" s="73" t="str">
        <f>725711*$C819</f>
        <v>0</v>
      </c>
      <c r="V765" s="72">
        <v>223</v>
      </c>
      <c r="W765" s="73" t="str">
        <f>537653*$C819</f>
        <v>0</v>
      </c>
      <c r="X765" s="72">
        <v>150</v>
      </c>
      <c r="Y765" s="73" t="str">
        <f>361650*$C819</f>
        <v>0</v>
      </c>
      <c r="Z765" s="72">
        <v>200</v>
      </c>
      <c r="AA765" s="73" t="str">
        <f>482200*$C819</f>
        <v>0</v>
      </c>
      <c r="AB765" s="72">
        <v>100</v>
      </c>
      <c r="AC765" s="73" t="str">
        <f>241100*$C819</f>
        <v>0</v>
      </c>
      <c r="AD765" s="72">
        <v>0</v>
      </c>
      <c r="AE765" s="73">
        <v>0</v>
      </c>
      <c r="AF765" s="72">
        <v>0</v>
      </c>
      <c r="AG765" s="88">
        <v>0</v>
      </c>
      <c r="AH765"/>
    </row>
    <row r="766" spans="1:34">
      <c r="B766" s="114">
        <v>747</v>
      </c>
      <c r="C766" s="117">
        <v>51</v>
      </c>
      <c r="D766" s="117"/>
      <c r="E766" s="117" t="s">
        <v>1298</v>
      </c>
      <c r="F766" s="117" t="s">
        <v>1299</v>
      </c>
      <c r="G766" s="117" t="s">
        <v>1371</v>
      </c>
      <c r="H766" s="117" t="s">
        <v>1372</v>
      </c>
      <c r="I766" s="120" t="s">
        <v>999</v>
      </c>
      <c r="J766" s="84">
        <v>0</v>
      </c>
      <c r="K766" s="73">
        <v>0</v>
      </c>
      <c r="L766" s="72">
        <v>0</v>
      </c>
      <c r="M766" s="73">
        <v>0</v>
      </c>
      <c r="N766" s="72">
        <v>0</v>
      </c>
      <c r="O766" s="73">
        <v>0</v>
      </c>
      <c r="P766" s="72">
        <v>0</v>
      </c>
      <c r="Q766" s="73">
        <v>0</v>
      </c>
      <c r="R766" s="72">
        <v>0</v>
      </c>
      <c r="S766" s="73">
        <v>0</v>
      </c>
      <c r="T766" s="72">
        <v>0</v>
      </c>
      <c r="U766" s="73">
        <v>0</v>
      </c>
      <c r="V766" s="72">
        <v>0</v>
      </c>
      <c r="W766" s="73">
        <v>0</v>
      </c>
      <c r="X766" s="72">
        <v>224</v>
      </c>
      <c r="Y766" s="73" t="str">
        <f>50176*$C819</f>
        <v>0</v>
      </c>
      <c r="Z766" s="72">
        <v>0</v>
      </c>
      <c r="AA766" s="73">
        <v>0</v>
      </c>
      <c r="AB766" s="72">
        <v>55</v>
      </c>
      <c r="AC766" s="73" t="str">
        <f>12320*$C819</f>
        <v>0</v>
      </c>
      <c r="AD766" s="72">
        <v>0</v>
      </c>
      <c r="AE766" s="73">
        <v>0</v>
      </c>
      <c r="AF766" s="72">
        <v>0</v>
      </c>
      <c r="AG766" s="88">
        <v>0</v>
      </c>
      <c r="AH766"/>
    </row>
    <row r="767" spans="1:34">
      <c r="B767" s="114">
        <v>748</v>
      </c>
      <c r="C767" s="117">
        <v>51</v>
      </c>
      <c r="D767" s="117"/>
      <c r="E767" s="117" t="s">
        <v>1298</v>
      </c>
      <c r="F767" s="117" t="s">
        <v>1299</v>
      </c>
      <c r="G767" s="117" t="s">
        <v>1373</v>
      </c>
      <c r="H767" s="117" t="s">
        <v>1374</v>
      </c>
      <c r="I767" s="120" t="s">
        <v>688</v>
      </c>
      <c r="J767" s="84">
        <v>0</v>
      </c>
      <c r="K767" s="73">
        <v>0</v>
      </c>
      <c r="L767" s="72">
        <v>0</v>
      </c>
      <c r="M767" s="73">
        <v>0</v>
      </c>
      <c r="N767" s="72">
        <v>4000</v>
      </c>
      <c r="O767" s="73" t="str">
        <f>28000*$C819</f>
        <v>0</v>
      </c>
      <c r="P767" s="72">
        <v>0</v>
      </c>
      <c r="Q767" s="73">
        <v>0</v>
      </c>
      <c r="R767" s="72">
        <v>0</v>
      </c>
      <c r="S767" s="73">
        <v>0</v>
      </c>
      <c r="T767" s="72">
        <v>0</v>
      </c>
      <c r="U767" s="73">
        <v>0</v>
      </c>
      <c r="V767" s="72">
        <v>0</v>
      </c>
      <c r="W767" s="73">
        <v>0</v>
      </c>
      <c r="X767" s="72">
        <v>0</v>
      </c>
      <c r="Y767" s="73">
        <v>0</v>
      </c>
      <c r="Z767" s="72">
        <v>0</v>
      </c>
      <c r="AA767" s="73">
        <v>0</v>
      </c>
      <c r="AB767" s="72">
        <v>1000</v>
      </c>
      <c r="AC767" s="73" t="str">
        <f>7000*$C819</f>
        <v>0</v>
      </c>
      <c r="AD767" s="72">
        <v>0</v>
      </c>
      <c r="AE767" s="73">
        <v>0</v>
      </c>
      <c r="AF767" s="72">
        <v>0</v>
      </c>
      <c r="AG767" s="88">
        <v>0</v>
      </c>
      <c r="AH767"/>
    </row>
    <row r="768" spans="1:34">
      <c r="B768" s="114">
        <v>749</v>
      </c>
      <c r="C768" s="117">
        <v>51</v>
      </c>
      <c r="D768" s="117"/>
      <c r="E768" s="117" t="s">
        <v>1298</v>
      </c>
      <c r="F768" s="117" t="s">
        <v>1299</v>
      </c>
      <c r="G768" s="117" t="s">
        <v>1367</v>
      </c>
      <c r="H768" s="117" t="s">
        <v>1368</v>
      </c>
      <c r="I768" s="120" t="s">
        <v>623</v>
      </c>
      <c r="J768" s="84">
        <v>2000</v>
      </c>
      <c r="K768" s="73" t="str">
        <f>44000*$C819</f>
        <v>0</v>
      </c>
      <c r="L768" s="72">
        <v>0</v>
      </c>
      <c r="M768" s="73">
        <v>0</v>
      </c>
      <c r="N768" s="72">
        <v>3000</v>
      </c>
      <c r="O768" s="73" t="str">
        <f>66000*$C819</f>
        <v>0</v>
      </c>
      <c r="P768" s="72">
        <v>3000</v>
      </c>
      <c r="Q768" s="73" t="str">
        <f>66000*$C819</f>
        <v>0</v>
      </c>
      <c r="R768" s="72">
        <v>5000</v>
      </c>
      <c r="S768" s="73" t="str">
        <f>110000*$C819</f>
        <v>0</v>
      </c>
      <c r="T768" s="72">
        <v>3000</v>
      </c>
      <c r="U768" s="73" t="str">
        <f>66000*$C819</f>
        <v>0</v>
      </c>
      <c r="V768" s="72">
        <v>3000</v>
      </c>
      <c r="W768" s="73" t="str">
        <f>66000*$C819</f>
        <v>0</v>
      </c>
      <c r="X768" s="72">
        <v>5000</v>
      </c>
      <c r="Y768" s="73" t="str">
        <f>110000*$C819</f>
        <v>0</v>
      </c>
      <c r="Z768" s="72">
        <v>1000</v>
      </c>
      <c r="AA768" s="73" t="str">
        <f>22000*$C819</f>
        <v>0</v>
      </c>
      <c r="AB768" s="72">
        <v>0</v>
      </c>
      <c r="AC768" s="73">
        <v>0</v>
      </c>
      <c r="AD768" s="72">
        <v>0</v>
      </c>
      <c r="AE768" s="73">
        <v>0</v>
      </c>
      <c r="AF768" s="72">
        <v>0</v>
      </c>
      <c r="AG768" s="88">
        <v>0</v>
      </c>
      <c r="AH768"/>
    </row>
    <row r="769" spans="1:34">
      <c r="B769" s="114">
        <v>750</v>
      </c>
      <c r="C769" s="117">
        <v>51</v>
      </c>
      <c r="D769" s="117"/>
      <c r="E769" s="117" t="s">
        <v>1298</v>
      </c>
      <c r="F769" s="117" t="s">
        <v>1299</v>
      </c>
      <c r="G769" s="117" t="s">
        <v>1443</v>
      </c>
      <c r="H769" s="117" t="s">
        <v>1427</v>
      </c>
      <c r="I769" s="120" t="s">
        <v>455</v>
      </c>
      <c r="J769" s="84">
        <v>0</v>
      </c>
      <c r="K769" s="73">
        <v>0</v>
      </c>
      <c r="L769" s="72">
        <v>1200</v>
      </c>
      <c r="M769" s="73" t="str">
        <f>4800*$C819</f>
        <v>0</v>
      </c>
      <c r="N769" s="72">
        <v>1200</v>
      </c>
      <c r="O769" s="73" t="str">
        <f>4800*$C819</f>
        <v>0</v>
      </c>
      <c r="P769" s="72">
        <v>1200</v>
      </c>
      <c r="Q769" s="73" t="str">
        <f>4800*$C819</f>
        <v>0</v>
      </c>
      <c r="R769" s="72">
        <v>0</v>
      </c>
      <c r="S769" s="73">
        <v>0</v>
      </c>
      <c r="T769" s="72">
        <v>0</v>
      </c>
      <c r="U769" s="73">
        <v>0</v>
      </c>
      <c r="V769" s="72">
        <v>0</v>
      </c>
      <c r="W769" s="73">
        <v>0</v>
      </c>
      <c r="X769" s="72">
        <v>500</v>
      </c>
      <c r="Y769" s="73" t="str">
        <f>2000*$C819</f>
        <v>0</v>
      </c>
      <c r="Z769" s="72">
        <v>1200</v>
      </c>
      <c r="AA769" s="73" t="str">
        <f>4800*$C819</f>
        <v>0</v>
      </c>
      <c r="AB769" s="72">
        <v>0</v>
      </c>
      <c r="AC769" s="73">
        <v>0</v>
      </c>
      <c r="AD769" s="72">
        <v>0</v>
      </c>
      <c r="AE769" s="73">
        <v>0</v>
      </c>
      <c r="AF769" s="72">
        <v>0</v>
      </c>
      <c r="AG769" s="88">
        <v>0</v>
      </c>
      <c r="AH769"/>
    </row>
    <row r="770" spans="1:34">
      <c r="B770" s="114">
        <v>751</v>
      </c>
      <c r="C770" s="117">
        <v>51</v>
      </c>
      <c r="D770" s="117"/>
      <c r="E770" s="117" t="s">
        <v>1298</v>
      </c>
      <c r="F770" s="117" t="s">
        <v>1299</v>
      </c>
      <c r="G770" s="117" t="s">
        <v>1448</v>
      </c>
      <c r="H770" s="117" t="s">
        <v>620</v>
      </c>
      <c r="I770" s="120" t="s">
        <v>455</v>
      </c>
      <c r="J770" s="84">
        <v>50</v>
      </c>
      <c r="K770" s="73" t="str">
        <f>127550*$C819</f>
        <v>0</v>
      </c>
      <c r="L770" s="72">
        <v>358</v>
      </c>
      <c r="M770" s="73" t="str">
        <f>913258*$C819</f>
        <v>0</v>
      </c>
      <c r="N770" s="72">
        <v>192</v>
      </c>
      <c r="O770" s="73" t="str">
        <f>489792*$C819</f>
        <v>0</v>
      </c>
      <c r="P770" s="72">
        <v>100</v>
      </c>
      <c r="Q770" s="73" t="str">
        <f>255100*$C819</f>
        <v>0</v>
      </c>
      <c r="R770" s="72">
        <v>0</v>
      </c>
      <c r="S770" s="73">
        <v>0</v>
      </c>
      <c r="T770" s="72">
        <v>0</v>
      </c>
      <c r="U770" s="73">
        <v>0</v>
      </c>
      <c r="V770" s="72">
        <v>0</v>
      </c>
      <c r="W770" s="73">
        <v>0</v>
      </c>
      <c r="X770" s="72">
        <v>0</v>
      </c>
      <c r="Y770" s="73">
        <v>0</v>
      </c>
      <c r="Z770" s="72">
        <v>0</v>
      </c>
      <c r="AA770" s="73">
        <v>0</v>
      </c>
      <c r="AB770" s="72">
        <v>0</v>
      </c>
      <c r="AC770" s="73">
        <v>0</v>
      </c>
      <c r="AD770" s="72">
        <v>0</v>
      </c>
      <c r="AE770" s="73">
        <v>0</v>
      </c>
      <c r="AF770" s="72">
        <v>0</v>
      </c>
      <c r="AG770" s="88">
        <v>0</v>
      </c>
      <c r="AH770"/>
    </row>
    <row r="771" spans="1:34">
      <c r="B771" s="114">
        <v>752</v>
      </c>
      <c r="C771" s="117">
        <v>51</v>
      </c>
      <c r="D771" s="117"/>
      <c r="E771" s="117" t="s">
        <v>1298</v>
      </c>
      <c r="F771" s="117" t="s">
        <v>1299</v>
      </c>
      <c r="G771" s="117" t="s">
        <v>1375</v>
      </c>
      <c r="H771" s="117" t="s">
        <v>1368</v>
      </c>
      <c r="I771" s="120" t="s">
        <v>455</v>
      </c>
      <c r="J771" s="84">
        <v>0</v>
      </c>
      <c r="K771" s="73">
        <v>0</v>
      </c>
      <c r="L771" s="72">
        <v>1000</v>
      </c>
      <c r="M771" s="73" t="str">
        <f>22000*$C819</f>
        <v>0</v>
      </c>
      <c r="N771" s="72">
        <v>2000</v>
      </c>
      <c r="O771" s="73" t="str">
        <f>44000*$C819</f>
        <v>0</v>
      </c>
      <c r="P771" s="72">
        <v>2000</v>
      </c>
      <c r="Q771" s="73" t="str">
        <f>44000*$C819</f>
        <v>0</v>
      </c>
      <c r="R771" s="72">
        <v>0</v>
      </c>
      <c r="S771" s="73">
        <v>0</v>
      </c>
      <c r="T771" s="72">
        <v>0</v>
      </c>
      <c r="U771" s="73">
        <v>0</v>
      </c>
      <c r="V771" s="72">
        <v>0</v>
      </c>
      <c r="W771" s="73">
        <v>0</v>
      </c>
      <c r="X771" s="72">
        <v>0</v>
      </c>
      <c r="Y771" s="73">
        <v>0</v>
      </c>
      <c r="Z771" s="72">
        <v>0</v>
      </c>
      <c r="AA771" s="73">
        <v>0</v>
      </c>
      <c r="AB771" s="72">
        <v>0</v>
      </c>
      <c r="AC771" s="73">
        <v>0</v>
      </c>
      <c r="AD771" s="72">
        <v>0</v>
      </c>
      <c r="AE771" s="73">
        <v>0</v>
      </c>
      <c r="AF771" s="72">
        <v>0</v>
      </c>
      <c r="AG771" s="88">
        <v>0</v>
      </c>
      <c r="AH771"/>
    </row>
    <row r="772" spans="1:34">
      <c r="B772" s="114">
        <v>753</v>
      </c>
      <c r="C772" s="117">
        <v>51</v>
      </c>
      <c r="D772" s="117"/>
      <c r="E772" s="117" t="s">
        <v>1298</v>
      </c>
      <c r="F772" s="117" t="s">
        <v>1299</v>
      </c>
      <c r="G772" s="117" t="s">
        <v>1455</v>
      </c>
      <c r="H772" s="117" t="s">
        <v>1399</v>
      </c>
      <c r="I772" s="120" t="s">
        <v>548</v>
      </c>
      <c r="J772" s="84">
        <v>84000</v>
      </c>
      <c r="K772" s="73" t="str">
        <f>252000*$C819</f>
        <v>0</v>
      </c>
      <c r="L772" s="72">
        <v>123000</v>
      </c>
      <c r="M772" s="73" t="str">
        <f>369000*$C819</f>
        <v>0</v>
      </c>
      <c r="N772" s="72">
        <v>246000</v>
      </c>
      <c r="O772" s="73" t="str">
        <f>738000*$C819</f>
        <v>0</v>
      </c>
      <c r="P772" s="72">
        <v>198000</v>
      </c>
      <c r="Q772" s="73" t="str">
        <f>594000*$C819</f>
        <v>0</v>
      </c>
      <c r="R772" s="72">
        <v>132000</v>
      </c>
      <c r="S772" s="73" t="str">
        <f>396000*$C819</f>
        <v>0</v>
      </c>
      <c r="T772" s="72">
        <v>141000</v>
      </c>
      <c r="U772" s="73" t="str">
        <f>423000*$C819</f>
        <v>0</v>
      </c>
      <c r="V772" s="72">
        <v>114000</v>
      </c>
      <c r="W772" s="73" t="str">
        <f>342000*$C819</f>
        <v>0</v>
      </c>
      <c r="X772" s="72">
        <v>168000</v>
      </c>
      <c r="Y772" s="73" t="str">
        <f>504000*$C819</f>
        <v>0</v>
      </c>
      <c r="Z772" s="72">
        <v>114000</v>
      </c>
      <c r="AA772" s="73" t="str">
        <f>342000*$C819</f>
        <v>0</v>
      </c>
      <c r="AB772" s="72">
        <v>36000</v>
      </c>
      <c r="AC772" s="73" t="str">
        <f>108000*$C819</f>
        <v>0</v>
      </c>
      <c r="AD772" s="72">
        <v>0</v>
      </c>
      <c r="AE772" s="73">
        <v>0</v>
      </c>
      <c r="AF772" s="72">
        <v>0</v>
      </c>
      <c r="AG772" s="88">
        <v>0</v>
      </c>
      <c r="AH772"/>
    </row>
    <row r="773" spans="1:34">
      <c r="B773" s="114">
        <v>754</v>
      </c>
      <c r="C773" s="117">
        <v>51</v>
      </c>
      <c r="D773" s="117"/>
      <c r="E773" s="117" t="s">
        <v>1298</v>
      </c>
      <c r="F773" s="117" t="s">
        <v>1299</v>
      </c>
      <c r="G773" s="117" t="s">
        <v>1458</v>
      </c>
      <c r="H773" s="117" t="s">
        <v>555</v>
      </c>
      <c r="I773" s="120" t="s">
        <v>623</v>
      </c>
      <c r="J773" s="84">
        <v>640</v>
      </c>
      <c r="K773" s="73" t="str">
        <f>83200*$C819</f>
        <v>0</v>
      </c>
      <c r="L773" s="72">
        <v>880</v>
      </c>
      <c r="M773" s="73" t="str">
        <f>114400*$C819</f>
        <v>0</v>
      </c>
      <c r="N773" s="72">
        <v>4080</v>
      </c>
      <c r="O773" s="73" t="str">
        <f>530400*$C819</f>
        <v>0</v>
      </c>
      <c r="P773" s="72">
        <v>3040</v>
      </c>
      <c r="Q773" s="73" t="str">
        <f>395200*$C819</f>
        <v>0</v>
      </c>
      <c r="R773" s="72">
        <v>2560</v>
      </c>
      <c r="S773" s="73" t="str">
        <f>332800*$C819</f>
        <v>0</v>
      </c>
      <c r="T773" s="72">
        <v>4640</v>
      </c>
      <c r="U773" s="73" t="str">
        <f>603200*$C819</f>
        <v>0</v>
      </c>
      <c r="V773" s="72">
        <v>1400</v>
      </c>
      <c r="W773" s="73" t="str">
        <f>182000*$C819</f>
        <v>0</v>
      </c>
      <c r="X773" s="72">
        <v>2600</v>
      </c>
      <c r="Y773" s="73" t="str">
        <f>338000*$C819</f>
        <v>0</v>
      </c>
      <c r="Z773" s="72">
        <v>2400</v>
      </c>
      <c r="AA773" s="73" t="str">
        <f>312000*$C819</f>
        <v>0</v>
      </c>
      <c r="AB773" s="72">
        <v>800</v>
      </c>
      <c r="AC773" s="73" t="str">
        <f>104000*$C819</f>
        <v>0</v>
      </c>
      <c r="AD773" s="72">
        <v>0</v>
      </c>
      <c r="AE773" s="73">
        <v>0</v>
      </c>
      <c r="AF773" s="72">
        <v>0</v>
      </c>
      <c r="AG773" s="88">
        <v>0</v>
      </c>
      <c r="AH773"/>
    </row>
    <row r="774" spans="1:34">
      <c r="B774" s="114">
        <v>755</v>
      </c>
      <c r="C774" s="117">
        <v>51</v>
      </c>
      <c r="D774" s="117"/>
      <c r="E774" s="117" t="s">
        <v>1298</v>
      </c>
      <c r="F774" s="117" t="s">
        <v>1299</v>
      </c>
      <c r="G774" s="117" t="s">
        <v>1449</v>
      </c>
      <c r="H774" s="117" t="s">
        <v>1345</v>
      </c>
      <c r="I774" s="120" t="s">
        <v>623</v>
      </c>
      <c r="J774" s="84">
        <v>320</v>
      </c>
      <c r="K774" s="73" t="str">
        <f>77760*$C819</f>
        <v>0</v>
      </c>
      <c r="L774" s="72">
        <v>0</v>
      </c>
      <c r="M774" s="73">
        <v>0</v>
      </c>
      <c r="N774" s="72">
        <v>640</v>
      </c>
      <c r="O774" s="73" t="str">
        <f>155520*$C819</f>
        <v>0</v>
      </c>
      <c r="P774" s="72">
        <v>320</v>
      </c>
      <c r="Q774" s="73" t="str">
        <f>77760*$C819</f>
        <v>0</v>
      </c>
      <c r="R774" s="72">
        <v>1120</v>
      </c>
      <c r="S774" s="73" t="str">
        <f>272160*$C819</f>
        <v>0</v>
      </c>
      <c r="T774" s="72">
        <v>384</v>
      </c>
      <c r="U774" s="73" t="str">
        <f>93312*$C819</f>
        <v>0</v>
      </c>
      <c r="V774" s="72">
        <v>480</v>
      </c>
      <c r="W774" s="73" t="str">
        <f>116640*$C819</f>
        <v>0</v>
      </c>
      <c r="X774" s="72">
        <v>288</v>
      </c>
      <c r="Y774" s="73" t="str">
        <f>69984*$C819</f>
        <v>0</v>
      </c>
      <c r="Z774" s="72">
        <v>528</v>
      </c>
      <c r="AA774" s="73" t="str">
        <f>128304*$C819</f>
        <v>0</v>
      </c>
      <c r="AB774" s="72">
        <v>0</v>
      </c>
      <c r="AC774" s="73">
        <v>0</v>
      </c>
      <c r="AD774" s="72">
        <v>0</v>
      </c>
      <c r="AE774" s="73">
        <v>0</v>
      </c>
      <c r="AF774" s="72">
        <v>0</v>
      </c>
      <c r="AG774" s="88">
        <v>0</v>
      </c>
      <c r="AH774"/>
    </row>
    <row r="775" spans="1:34">
      <c r="B775" s="114">
        <v>756</v>
      </c>
      <c r="C775" s="117">
        <v>51</v>
      </c>
      <c r="D775" s="117"/>
      <c r="E775" s="117" t="s">
        <v>1298</v>
      </c>
      <c r="F775" s="117" t="s">
        <v>1299</v>
      </c>
      <c r="G775" s="117" t="s">
        <v>1450</v>
      </c>
      <c r="H775" s="117" t="s">
        <v>1403</v>
      </c>
      <c r="I775" s="120" t="s">
        <v>623</v>
      </c>
      <c r="J775" s="84">
        <v>4428</v>
      </c>
      <c r="K775" s="73" t="str">
        <f>11574792*$C819</f>
        <v>0</v>
      </c>
      <c r="L775" s="72">
        <v>3456</v>
      </c>
      <c r="M775" s="73" t="str">
        <f>9033984*$C819</f>
        <v>0</v>
      </c>
      <c r="N775" s="72">
        <v>4428</v>
      </c>
      <c r="O775" s="73" t="str">
        <f>11574792*$C819</f>
        <v>0</v>
      </c>
      <c r="P775" s="72">
        <v>4482</v>
      </c>
      <c r="Q775" s="73" t="str">
        <f>11715948*$C819</f>
        <v>0</v>
      </c>
      <c r="R775" s="72">
        <v>3780</v>
      </c>
      <c r="S775" s="73" t="str">
        <f>9880920*$C819</f>
        <v>0</v>
      </c>
      <c r="T775" s="72">
        <v>6048</v>
      </c>
      <c r="U775" s="73" t="str">
        <f>15809472*$C819</f>
        <v>0</v>
      </c>
      <c r="V775" s="72">
        <v>5076</v>
      </c>
      <c r="W775" s="73" t="str">
        <f>13268664*$C819</f>
        <v>0</v>
      </c>
      <c r="X775" s="72">
        <v>2268</v>
      </c>
      <c r="Y775" s="73" t="str">
        <f>5928552*$C819</f>
        <v>0</v>
      </c>
      <c r="Z775" s="72">
        <v>2106</v>
      </c>
      <c r="AA775" s="73" t="str">
        <f>5505084*$C819</f>
        <v>0</v>
      </c>
      <c r="AB775" s="72">
        <v>810</v>
      </c>
      <c r="AC775" s="73" t="str">
        <f>2117340*$C819</f>
        <v>0</v>
      </c>
      <c r="AD775" s="72">
        <v>0</v>
      </c>
      <c r="AE775" s="73">
        <v>0</v>
      </c>
      <c r="AF775" s="72">
        <v>0</v>
      </c>
      <c r="AG775" s="88">
        <v>0</v>
      </c>
      <c r="AH775"/>
    </row>
    <row r="776" spans="1:34">
      <c r="B776" s="114">
        <v>757</v>
      </c>
      <c r="C776" s="117">
        <v>51</v>
      </c>
      <c r="D776" s="117"/>
      <c r="E776" s="117" t="s">
        <v>1298</v>
      </c>
      <c r="F776" s="117" t="s">
        <v>1299</v>
      </c>
      <c r="G776" s="117" t="s">
        <v>1379</v>
      </c>
      <c r="H776" s="117" t="s">
        <v>1380</v>
      </c>
      <c r="I776" s="120" t="s">
        <v>623</v>
      </c>
      <c r="J776" s="84">
        <v>1200</v>
      </c>
      <c r="K776" s="73" t="str">
        <f>54000*$C819</f>
        <v>0</v>
      </c>
      <c r="L776" s="72">
        <v>1600</v>
      </c>
      <c r="M776" s="73" t="str">
        <f>72000*$C819</f>
        <v>0</v>
      </c>
      <c r="N776" s="72">
        <v>3200</v>
      </c>
      <c r="O776" s="73" t="str">
        <f>144000*$C819</f>
        <v>0</v>
      </c>
      <c r="P776" s="72">
        <v>7600</v>
      </c>
      <c r="Q776" s="73" t="str">
        <f>342000*$C819</f>
        <v>0</v>
      </c>
      <c r="R776" s="72">
        <v>4800</v>
      </c>
      <c r="S776" s="73" t="str">
        <f>216000*$C819</f>
        <v>0</v>
      </c>
      <c r="T776" s="72">
        <v>4000</v>
      </c>
      <c r="U776" s="73" t="str">
        <f>180000*$C819</f>
        <v>0</v>
      </c>
      <c r="V776" s="72">
        <v>1600</v>
      </c>
      <c r="W776" s="73" t="str">
        <f>72000*$C819</f>
        <v>0</v>
      </c>
      <c r="X776" s="72">
        <v>4000</v>
      </c>
      <c r="Y776" s="73" t="str">
        <f>180000*$C819</f>
        <v>0</v>
      </c>
      <c r="Z776" s="72">
        <v>6800</v>
      </c>
      <c r="AA776" s="73" t="str">
        <f>306000*$C819</f>
        <v>0</v>
      </c>
      <c r="AB776" s="72">
        <v>1000</v>
      </c>
      <c r="AC776" s="73" t="str">
        <f>45000*$C819</f>
        <v>0</v>
      </c>
      <c r="AD776" s="72">
        <v>0</v>
      </c>
      <c r="AE776" s="73">
        <v>0</v>
      </c>
      <c r="AF776" s="72">
        <v>0</v>
      </c>
      <c r="AG776" s="88">
        <v>0</v>
      </c>
      <c r="AH776"/>
    </row>
    <row r="777" spans="1:34">
      <c r="B777" s="114">
        <v>758</v>
      </c>
      <c r="C777" s="117">
        <v>51</v>
      </c>
      <c r="D777" s="117"/>
      <c r="E777" s="117" t="s">
        <v>1298</v>
      </c>
      <c r="F777" s="117" t="s">
        <v>1299</v>
      </c>
      <c r="G777" s="117" t="s">
        <v>1454</v>
      </c>
      <c r="H777" s="117" t="s">
        <v>246</v>
      </c>
      <c r="I777" s="120" t="s">
        <v>623</v>
      </c>
      <c r="J777" s="84">
        <v>300</v>
      </c>
      <c r="K777" s="73" t="str">
        <f>6600*$C819</f>
        <v>0</v>
      </c>
      <c r="L777" s="72">
        <v>1200</v>
      </c>
      <c r="M777" s="73" t="str">
        <f>26400*$C819</f>
        <v>0</v>
      </c>
      <c r="N777" s="72">
        <v>2400</v>
      </c>
      <c r="O777" s="73" t="str">
        <f>52800*$C819</f>
        <v>0</v>
      </c>
      <c r="P777" s="72">
        <v>4500</v>
      </c>
      <c r="Q777" s="73" t="str">
        <f>99000*$C819</f>
        <v>0</v>
      </c>
      <c r="R777" s="72">
        <v>1800</v>
      </c>
      <c r="S777" s="73" t="str">
        <f>39600*$C819</f>
        <v>0</v>
      </c>
      <c r="T777" s="72">
        <v>1500</v>
      </c>
      <c r="U777" s="73" t="str">
        <f>33000*$C819</f>
        <v>0</v>
      </c>
      <c r="V777" s="72">
        <v>3600</v>
      </c>
      <c r="W777" s="73" t="str">
        <f>79200*$C819</f>
        <v>0</v>
      </c>
      <c r="X777" s="72">
        <v>2100</v>
      </c>
      <c r="Y777" s="73" t="str">
        <f>46200*$C819</f>
        <v>0</v>
      </c>
      <c r="Z777" s="72">
        <v>1800</v>
      </c>
      <c r="AA777" s="73" t="str">
        <f>39600*$C819</f>
        <v>0</v>
      </c>
      <c r="AB777" s="72">
        <v>900</v>
      </c>
      <c r="AC777" s="73" t="str">
        <f>19800*$C819</f>
        <v>0</v>
      </c>
      <c r="AD777" s="72">
        <v>0</v>
      </c>
      <c r="AE777" s="73">
        <v>0</v>
      </c>
      <c r="AF777" s="72">
        <v>0</v>
      </c>
      <c r="AG777" s="88">
        <v>0</v>
      </c>
      <c r="AH777"/>
    </row>
    <row r="778" spans="1:34">
      <c r="B778" s="114">
        <v>759</v>
      </c>
      <c r="C778" s="117">
        <v>51</v>
      </c>
      <c r="D778" s="117"/>
      <c r="E778" s="117" t="s">
        <v>1298</v>
      </c>
      <c r="F778" s="117" t="s">
        <v>1299</v>
      </c>
      <c r="G778" s="117" t="s">
        <v>1377</v>
      </c>
      <c r="H778" s="117" t="s">
        <v>1378</v>
      </c>
      <c r="I778" s="120" t="s">
        <v>1363</v>
      </c>
      <c r="J778" s="84">
        <v>320</v>
      </c>
      <c r="K778" s="73" t="str">
        <f>70720*$C819</f>
        <v>0</v>
      </c>
      <c r="L778" s="72">
        <v>0</v>
      </c>
      <c r="M778" s="73">
        <v>0</v>
      </c>
      <c r="N778" s="72">
        <v>640</v>
      </c>
      <c r="O778" s="73" t="str">
        <f>141440*$C819</f>
        <v>0</v>
      </c>
      <c r="P778" s="72">
        <v>320</v>
      </c>
      <c r="Q778" s="73" t="str">
        <f>70720*$C819</f>
        <v>0</v>
      </c>
      <c r="R778" s="72">
        <v>1120</v>
      </c>
      <c r="S778" s="73" t="str">
        <f>247520*$C819</f>
        <v>0</v>
      </c>
      <c r="T778" s="72">
        <v>384</v>
      </c>
      <c r="U778" s="73" t="str">
        <f>84864*$C819</f>
        <v>0</v>
      </c>
      <c r="V778" s="72">
        <v>384</v>
      </c>
      <c r="W778" s="73" t="str">
        <f>84864*$C819</f>
        <v>0</v>
      </c>
      <c r="X778" s="72">
        <v>384</v>
      </c>
      <c r="Y778" s="73" t="str">
        <f>84864*$C819</f>
        <v>0</v>
      </c>
      <c r="Z778" s="72">
        <v>528</v>
      </c>
      <c r="AA778" s="73" t="str">
        <f>116688*$C819</f>
        <v>0</v>
      </c>
      <c r="AB778" s="72">
        <v>0</v>
      </c>
      <c r="AC778" s="73">
        <v>0</v>
      </c>
      <c r="AD778" s="72">
        <v>0</v>
      </c>
      <c r="AE778" s="73">
        <v>0</v>
      </c>
      <c r="AF778" s="72">
        <v>0</v>
      </c>
      <c r="AG778" s="88">
        <v>0</v>
      </c>
      <c r="AH778"/>
    </row>
    <row r="779" spans="1:34">
      <c r="B779" s="114">
        <v>760</v>
      </c>
      <c r="C779" s="117">
        <v>51</v>
      </c>
      <c r="D779" s="117"/>
      <c r="E779" s="117" t="s">
        <v>1298</v>
      </c>
      <c r="F779" s="117" t="s">
        <v>1299</v>
      </c>
      <c r="G779" s="117" t="s">
        <v>1376</v>
      </c>
      <c r="H779" s="117" t="s">
        <v>454</v>
      </c>
      <c r="I779" s="120" t="s">
        <v>623</v>
      </c>
      <c r="J779" s="84">
        <v>640</v>
      </c>
      <c r="K779" s="73" t="str">
        <f>128000*$C819</f>
        <v>0</v>
      </c>
      <c r="L779" s="72">
        <v>960</v>
      </c>
      <c r="M779" s="73" t="str">
        <f>192000*$C819</f>
        <v>0</v>
      </c>
      <c r="N779" s="72">
        <v>1600</v>
      </c>
      <c r="O779" s="73" t="str">
        <f>320000*$C819</f>
        <v>0</v>
      </c>
      <c r="P779" s="72">
        <v>3800</v>
      </c>
      <c r="Q779" s="73" t="str">
        <f>760000*$C819</f>
        <v>0</v>
      </c>
      <c r="R779" s="72">
        <v>4600</v>
      </c>
      <c r="S779" s="73" t="str">
        <f>920000*$C819</f>
        <v>0</v>
      </c>
      <c r="T779" s="72">
        <v>3760</v>
      </c>
      <c r="U779" s="73" t="str">
        <f>752000*$C819</f>
        <v>0</v>
      </c>
      <c r="V779" s="72">
        <v>3000</v>
      </c>
      <c r="W779" s="73" t="str">
        <f>600000*$C819</f>
        <v>0</v>
      </c>
      <c r="X779" s="72">
        <v>3100</v>
      </c>
      <c r="Y779" s="73" t="str">
        <f>620000*$C819</f>
        <v>0</v>
      </c>
      <c r="Z779" s="72">
        <v>2800</v>
      </c>
      <c r="AA779" s="73" t="str">
        <f>560000*$C819</f>
        <v>0</v>
      </c>
      <c r="AB779" s="72">
        <v>500</v>
      </c>
      <c r="AC779" s="73" t="str">
        <f>100000*$C819</f>
        <v>0</v>
      </c>
      <c r="AD779" s="72">
        <v>0</v>
      </c>
      <c r="AE779" s="73">
        <v>0</v>
      </c>
      <c r="AF779" s="72">
        <v>0</v>
      </c>
      <c r="AG779" s="88">
        <v>0</v>
      </c>
      <c r="AH779"/>
    </row>
    <row r="780" spans="1:34">
      <c r="B780" s="114">
        <v>761</v>
      </c>
      <c r="C780" s="117">
        <v>51</v>
      </c>
      <c r="D780" s="117"/>
      <c r="E780" s="117" t="s">
        <v>1298</v>
      </c>
      <c r="F780" s="117" t="s">
        <v>1299</v>
      </c>
      <c r="G780" s="117" t="s">
        <v>1456</v>
      </c>
      <c r="H780" s="117" t="s">
        <v>694</v>
      </c>
      <c r="I780" s="120" t="s">
        <v>623</v>
      </c>
      <c r="J780" s="84">
        <v>200</v>
      </c>
      <c r="K780" s="73" t="str">
        <f>69600*$C819</f>
        <v>0</v>
      </c>
      <c r="L780" s="72">
        <v>150</v>
      </c>
      <c r="M780" s="73" t="str">
        <f>52200*$C819</f>
        <v>0</v>
      </c>
      <c r="N780" s="72">
        <v>850</v>
      </c>
      <c r="O780" s="73" t="str">
        <f>295800*$C819</f>
        <v>0</v>
      </c>
      <c r="P780" s="72">
        <v>200</v>
      </c>
      <c r="Q780" s="73" t="str">
        <f>69600*$C819</f>
        <v>0</v>
      </c>
      <c r="R780" s="72">
        <v>1250</v>
      </c>
      <c r="S780" s="73" t="str">
        <f>435000*$C819</f>
        <v>0</v>
      </c>
      <c r="T780" s="72">
        <v>400</v>
      </c>
      <c r="U780" s="73" t="str">
        <f>139200*$C819</f>
        <v>0</v>
      </c>
      <c r="V780" s="72">
        <v>700</v>
      </c>
      <c r="W780" s="73" t="str">
        <f>243600*$C819</f>
        <v>0</v>
      </c>
      <c r="X780" s="72">
        <v>100</v>
      </c>
      <c r="Y780" s="73" t="str">
        <f>34800*$C819</f>
        <v>0</v>
      </c>
      <c r="Z780" s="72">
        <v>600</v>
      </c>
      <c r="AA780" s="73" t="str">
        <f>208800*$C819</f>
        <v>0</v>
      </c>
      <c r="AB780" s="72">
        <v>150</v>
      </c>
      <c r="AC780" s="73" t="str">
        <f>52200*$C819</f>
        <v>0</v>
      </c>
      <c r="AD780" s="72">
        <v>0</v>
      </c>
      <c r="AE780" s="73">
        <v>0</v>
      </c>
      <c r="AF780" s="72">
        <v>0</v>
      </c>
      <c r="AG780" s="88">
        <v>0</v>
      </c>
      <c r="AH780"/>
    </row>
    <row r="781" spans="1:34">
      <c r="B781" s="114">
        <v>762</v>
      </c>
      <c r="C781" s="117">
        <v>51</v>
      </c>
      <c r="D781" s="117"/>
      <c r="E781" s="117" t="s">
        <v>1298</v>
      </c>
      <c r="F781" s="117" t="s">
        <v>1299</v>
      </c>
      <c r="G781" s="117" t="s">
        <v>1381</v>
      </c>
      <c r="H781" s="117" t="s">
        <v>1317</v>
      </c>
      <c r="I781" s="120" t="s">
        <v>688</v>
      </c>
      <c r="J781" s="84">
        <v>0</v>
      </c>
      <c r="K781" s="73">
        <v>0</v>
      </c>
      <c r="L781" s="72">
        <v>0</v>
      </c>
      <c r="M781" s="73">
        <v>0</v>
      </c>
      <c r="N781" s="72">
        <v>0</v>
      </c>
      <c r="O781" s="73">
        <v>0</v>
      </c>
      <c r="P781" s="72">
        <v>0</v>
      </c>
      <c r="Q781" s="73">
        <v>0</v>
      </c>
      <c r="R781" s="72">
        <v>0</v>
      </c>
      <c r="S781" s="73">
        <v>0</v>
      </c>
      <c r="T781" s="72">
        <v>0</v>
      </c>
      <c r="U781" s="73">
        <v>0</v>
      </c>
      <c r="V781" s="72">
        <v>0</v>
      </c>
      <c r="W781" s="73">
        <v>0</v>
      </c>
      <c r="X781" s="72">
        <v>0</v>
      </c>
      <c r="Y781" s="73">
        <v>0</v>
      </c>
      <c r="Z781" s="72">
        <v>0</v>
      </c>
      <c r="AA781" s="73">
        <v>0</v>
      </c>
      <c r="AB781" s="72">
        <v>20</v>
      </c>
      <c r="AC781" s="73" t="str">
        <f>46540*$C819</f>
        <v>0</v>
      </c>
      <c r="AD781" s="72">
        <v>0</v>
      </c>
      <c r="AE781" s="73">
        <v>0</v>
      </c>
      <c r="AF781" s="72">
        <v>0</v>
      </c>
      <c r="AG781" s="88">
        <v>0</v>
      </c>
      <c r="AH781"/>
    </row>
    <row r="782" spans="1:34">
      <c r="B782" s="114">
        <v>763</v>
      </c>
      <c r="C782" s="117">
        <v>51</v>
      </c>
      <c r="D782" s="117"/>
      <c r="E782" s="117" t="s">
        <v>1298</v>
      </c>
      <c r="F782" s="117" t="s">
        <v>1299</v>
      </c>
      <c r="G782" s="117" t="s">
        <v>1457</v>
      </c>
      <c r="H782" s="117" t="s">
        <v>957</v>
      </c>
      <c r="I782" s="120" t="s">
        <v>455</v>
      </c>
      <c r="J782" s="84">
        <v>0</v>
      </c>
      <c r="K782" s="73">
        <v>0</v>
      </c>
      <c r="L782" s="72">
        <v>0</v>
      </c>
      <c r="M782" s="73">
        <v>0</v>
      </c>
      <c r="N782" s="72">
        <v>8000</v>
      </c>
      <c r="O782" s="73" t="str">
        <f>32000*$C819</f>
        <v>0</v>
      </c>
      <c r="P782" s="72">
        <v>8000</v>
      </c>
      <c r="Q782" s="73" t="str">
        <f>32000*$C819</f>
        <v>0</v>
      </c>
      <c r="R782" s="72">
        <v>0</v>
      </c>
      <c r="S782" s="73">
        <v>0</v>
      </c>
      <c r="T782" s="72">
        <v>0</v>
      </c>
      <c r="U782" s="73">
        <v>0</v>
      </c>
      <c r="V782" s="72">
        <v>0</v>
      </c>
      <c r="W782" s="73">
        <v>0</v>
      </c>
      <c r="X782" s="72">
        <v>7200</v>
      </c>
      <c r="Y782" s="73" t="str">
        <f>28800*$C819</f>
        <v>0</v>
      </c>
      <c r="Z782" s="72">
        <v>0</v>
      </c>
      <c r="AA782" s="73">
        <v>0</v>
      </c>
      <c r="AB782" s="72">
        <v>1200</v>
      </c>
      <c r="AC782" s="73" t="str">
        <f>4800*$C819</f>
        <v>0</v>
      </c>
      <c r="AD782" s="72">
        <v>0</v>
      </c>
      <c r="AE782" s="73">
        <v>0</v>
      </c>
      <c r="AF782" s="72">
        <v>0</v>
      </c>
      <c r="AG782" s="88">
        <v>0</v>
      </c>
      <c r="AH782"/>
    </row>
    <row r="783" spans="1:34">
      <c r="B783" s="114">
        <v>764</v>
      </c>
      <c r="C783" s="117">
        <v>51</v>
      </c>
      <c r="D783" s="117"/>
      <c r="E783" s="117" t="s">
        <v>1298</v>
      </c>
      <c r="F783" s="117" t="s">
        <v>1299</v>
      </c>
      <c r="G783" s="117" t="s">
        <v>1453</v>
      </c>
      <c r="H783" s="117" t="s">
        <v>694</v>
      </c>
      <c r="I783" s="120" t="s">
        <v>623</v>
      </c>
      <c r="J783" s="84">
        <v>0</v>
      </c>
      <c r="K783" s="73">
        <v>0</v>
      </c>
      <c r="L783" s="72">
        <v>200</v>
      </c>
      <c r="M783" s="73" t="str">
        <f>78000*$C819</f>
        <v>0</v>
      </c>
      <c r="N783" s="72">
        <v>1600</v>
      </c>
      <c r="O783" s="73" t="str">
        <f>624000*$C819</f>
        <v>0</v>
      </c>
      <c r="P783" s="72">
        <v>3000</v>
      </c>
      <c r="Q783" s="73" t="str">
        <f>1170000*$C819</f>
        <v>0</v>
      </c>
      <c r="R783" s="72">
        <v>3100</v>
      </c>
      <c r="S783" s="73" t="str">
        <f>1209000*$C819</f>
        <v>0</v>
      </c>
      <c r="T783" s="72">
        <v>4500</v>
      </c>
      <c r="U783" s="73" t="str">
        <f>1755000*$C819</f>
        <v>0</v>
      </c>
      <c r="V783" s="72">
        <v>1500</v>
      </c>
      <c r="W783" s="73" t="str">
        <f>585000*$C819</f>
        <v>0</v>
      </c>
      <c r="X783" s="72">
        <v>1500</v>
      </c>
      <c r="Y783" s="73" t="str">
        <f>585000*$C819</f>
        <v>0</v>
      </c>
      <c r="Z783" s="72">
        <v>1700</v>
      </c>
      <c r="AA783" s="73" t="str">
        <f>663000*$C819</f>
        <v>0</v>
      </c>
      <c r="AB783" s="72">
        <v>100</v>
      </c>
      <c r="AC783" s="73" t="str">
        <f>39000*$C819</f>
        <v>0</v>
      </c>
      <c r="AD783" s="72">
        <v>0</v>
      </c>
      <c r="AE783" s="73">
        <v>0</v>
      </c>
      <c r="AF783" s="72">
        <v>0</v>
      </c>
      <c r="AG783" s="88">
        <v>0</v>
      </c>
      <c r="AH783"/>
    </row>
    <row r="784" spans="1:34">
      <c r="B784" s="114">
        <v>765</v>
      </c>
      <c r="C784" s="117">
        <v>51</v>
      </c>
      <c r="D784" s="117"/>
      <c r="E784" s="117" t="s">
        <v>1298</v>
      </c>
      <c r="F784" s="117" t="s">
        <v>1299</v>
      </c>
      <c r="G784" s="117" t="s">
        <v>1383</v>
      </c>
      <c r="H784" s="117" t="s">
        <v>694</v>
      </c>
      <c r="I784" s="120" t="s">
        <v>455</v>
      </c>
      <c r="J784" s="84">
        <v>0</v>
      </c>
      <c r="K784" s="73">
        <v>0</v>
      </c>
      <c r="L784" s="72">
        <v>200</v>
      </c>
      <c r="M784" s="73" t="str">
        <f>81200*$C819</f>
        <v>0</v>
      </c>
      <c r="N784" s="72">
        <v>400</v>
      </c>
      <c r="O784" s="73" t="str">
        <f>162400*$C819</f>
        <v>0</v>
      </c>
      <c r="P784" s="72">
        <v>200</v>
      </c>
      <c r="Q784" s="73" t="str">
        <f>81200*$C819</f>
        <v>0</v>
      </c>
      <c r="R784" s="72">
        <v>0</v>
      </c>
      <c r="S784" s="73">
        <v>0</v>
      </c>
      <c r="T784" s="72">
        <v>0</v>
      </c>
      <c r="U784" s="73">
        <v>0</v>
      </c>
      <c r="V784" s="72">
        <v>200</v>
      </c>
      <c r="W784" s="73" t="str">
        <f>81200*$C819</f>
        <v>0</v>
      </c>
      <c r="X784" s="72">
        <v>300</v>
      </c>
      <c r="Y784" s="73" t="str">
        <f>121800*$C819</f>
        <v>0</v>
      </c>
      <c r="Z784" s="72">
        <v>0</v>
      </c>
      <c r="AA784" s="73">
        <v>0</v>
      </c>
      <c r="AB784" s="72">
        <v>100</v>
      </c>
      <c r="AC784" s="73" t="str">
        <f>40600*$C819</f>
        <v>0</v>
      </c>
      <c r="AD784" s="72">
        <v>0</v>
      </c>
      <c r="AE784" s="73">
        <v>0</v>
      </c>
      <c r="AF784" s="72">
        <v>0</v>
      </c>
      <c r="AG784" s="88">
        <v>0</v>
      </c>
      <c r="AH784"/>
    </row>
    <row r="785" spans="1:34">
      <c r="B785" s="114">
        <v>766</v>
      </c>
      <c r="C785" s="117">
        <v>51</v>
      </c>
      <c r="D785" s="117"/>
      <c r="E785" s="117" t="s">
        <v>1298</v>
      </c>
      <c r="F785" s="117" t="s">
        <v>1299</v>
      </c>
      <c r="G785" s="117" t="s">
        <v>1382</v>
      </c>
      <c r="H785" s="117" t="s">
        <v>872</v>
      </c>
      <c r="I785" s="120" t="s">
        <v>688</v>
      </c>
      <c r="J785" s="84">
        <v>0</v>
      </c>
      <c r="K785" s="73">
        <v>0</v>
      </c>
      <c r="L785" s="72">
        <v>0</v>
      </c>
      <c r="M785" s="73">
        <v>0</v>
      </c>
      <c r="N785" s="72">
        <v>0</v>
      </c>
      <c r="O785" s="73">
        <v>0</v>
      </c>
      <c r="P785" s="72">
        <v>0</v>
      </c>
      <c r="Q785" s="73">
        <v>0</v>
      </c>
      <c r="R785" s="72">
        <v>0</v>
      </c>
      <c r="S785" s="73">
        <v>0</v>
      </c>
      <c r="T785" s="72">
        <v>0</v>
      </c>
      <c r="U785" s="73">
        <v>0</v>
      </c>
      <c r="V785" s="72">
        <v>0</v>
      </c>
      <c r="W785" s="73">
        <v>0</v>
      </c>
      <c r="X785" s="72">
        <v>0</v>
      </c>
      <c r="Y785" s="73">
        <v>0</v>
      </c>
      <c r="Z785" s="72">
        <v>0</v>
      </c>
      <c r="AA785" s="73">
        <v>0</v>
      </c>
      <c r="AB785" s="72">
        <v>586</v>
      </c>
      <c r="AC785" s="73" t="str">
        <f>2344*$C819</f>
        <v>0</v>
      </c>
      <c r="AD785" s="72">
        <v>0</v>
      </c>
      <c r="AE785" s="73">
        <v>0</v>
      </c>
      <c r="AF785" s="72">
        <v>0</v>
      </c>
      <c r="AG785" s="88">
        <v>0</v>
      </c>
      <c r="AH785"/>
    </row>
    <row r="786" spans="1:34">
      <c r="B786" s="114">
        <v>767</v>
      </c>
      <c r="C786" s="117">
        <v>51</v>
      </c>
      <c r="D786" s="117"/>
      <c r="E786" s="117" t="s">
        <v>1298</v>
      </c>
      <c r="F786" s="117" t="s">
        <v>1299</v>
      </c>
      <c r="G786" s="117" t="s">
        <v>1451</v>
      </c>
      <c r="H786" s="117" t="s">
        <v>1452</v>
      </c>
      <c r="I786" s="120" t="s">
        <v>548</v>
      </c>
      <c r="J786" s="84">
        <v>432</v>
      </c>
      <c r="K786" s="73" t="str">
        <f>959472*$C819</f>
        <v>0</v>
      </c>
      <c r="L786" s="72">
        <v>648</v>
      </c>
      <c r="M786" s="73" t="str">
        <f>1439208*$C819</f>
        <v>0</v>
      </c>
      <c r="N786" s="72">
        <v>1188</v>
      </c>
      <c r="O786" s="73" t="str">
        <f>2638548*$C819</f>
        <v>0</v>
      </c>
      <c r="P786" s="72">
        <v>1080</v>
      </c>
      <c r="Q786" s="73" t="str">
        <f>2398680*$C819</f>
        <v>0</v>
      </c>
      <c r="R786" s="72">
        <v>1080</v>
      </c>
      <c r="S786" s="73" t="str">
        <f>2398680*$C819</f>
        <v>0</v>
      </c>
      <c r="T786" s="72">
        <v>972</v>
      </c>
      <c r="U786" s="73" t="str">
        <f>2158812*$C819</f>
        <v>0</v>
      </c>
      <c r="V786" s="72">
        <v>864</v>
      </c>
      <c r="W786" s="73" t="str">
        <f>1918944*$C819</f>
        <v>0</v>
      </c>
      <c r="X786" s="72">
        <v>432</v>
      </c>
      <c r="Y786" s="73" t="str">
        <f>959472*$C819</f>
        <v>0</v>
      </c>
      <c r="Z786" s="72">
        <v>324</v>
      </c>
      <c r="AA786" s="73" t="str">
        <f>719604*$C819</f>
        <v>0</v>
      </c>
      <c r="AB786" s="72">
        <v>0</v>
      </c>
      <c r="AC786" s="73">
        <v>0</v>
      </c>
      <c r="AD786" s="72">
        <v>0</v>
      </c>
      <c r="AE786" s="73">
        <v>0</v>
      </c>
      <c r="AF786" s="72">
        <v>0</v>
      </c>
      <c r="AG786" s="88">
        <v>0</v>
      </c>
      <c r="AH786"/>
    </row>
    <row r="787" spans="1:34">
      <c r="B787" s="114">
        <v>768</v>
      </c>
      <c r="C787" s="117">
        <v>51</v>
      </c>
      <c r="D787" s="117"/>
      <c r="E787" s="117" t="s">
        <v>1298</v>
      </c>
      <c r="F787" s="117" t="s">
        <v>1299</v>
      </c>
      <c r="G787" s="117" t="s">
        <v>1459</v>
      </c>
      <c r="H787" s="117" t="s">
        <v>1368</v>
      </c>
      <c r="I787" s="120" t="s">
        <v>455</v>
      </c>
      <c r="J787" s="84">
        <v>0</v>
      </c>
      <c r="K787" s="73">
        <v>0</v>
      </c>
      <c r="L787" s="72">
        <v>1000</v>
      </c>
      <c r="M787" s="73" t="str">
        <f>12000*$C819</f>
        <v>0</v>
      </c>
      <c r="N787" s="72">
        <v>2000</v>
      </c>
      <c r="O787" s="73" t="str">
        <f>24000*$C819</f>
        <v>0</v>
      </c>
      <c r="P787" s="72">
        <v>2000</v>
      </c>
      <c r="Q787" s="73" t="str">
        <f>24000*$C819</f>
        <v>0</v>
      </c>
      <c r="R787" s="72">
        <v>0</v>
      </c>
      <c r="S787" s="73">
        <v>0</v>
      </c>
      <c r="T787" s="72">
        <v>0</v>
      </c>
      <c r="U787" s="73">
        <v>0</v>
      </c>
      <c r="V787" s="72">
        <v>0</v>
      </c>
      <c r="W787" s="73">
        <v>0</v>
      </c>
      <c r="X787" s="72">
        <v>0</v>
      </c>
      <c r="Y787" s="73">
        <v>0</v>
      </c>
      <c r="Z787" s="72">
        <v>0</v>
      </c>
      <c r="AA787" s="73">
        <v>0</v>
      </c>
      <c r="AB787" s="72">
        <v>0</v>
      </c>
      <c r="AC787" s="73">
        <v>0</v>
      </c>
      <c r="AD787" s="72">
        <v>0</v>
      </c>
      <c r="AE787" s="73">
        <v>0</v>
      </c>
      <c r="AF787" s="72">
        <v>0</v>
      </c>
      <c r="AG787" s="88">
        <v>0</v>
      </c>
      <c r="AH787"/>
    </row>
    <row r="788" spans="1:34">
      <c r="B788" s="114">
        <v>769</v>
      </c>
      <c r="C788" s="117">
        <v>51</v>
      </c>
      <c r="D788" s="117"/>
      <c r="E788" s="117" t="s">
        <v>1298</v>
      </c>
      <c r="F788" s="117" t="s">
        <v>1299</v>
      </c>
      <c r="G788" s="117" t="s">
        <v>1385</v>
      </c>
      <c r="H788" s="117" t="s">
        <v>1386</v>
      </c>
      <c r="I788" s="120" t="s">
        <v>548</v>
      </c>
      <c r="J788" s="84">
        <v>0</v>
      </c>
      <c r="K788" s="73">
        <v>0</v>
      </c>
      <c r="L788" s="72">
        <v>0</v>
      </c>
      <c r="M788" s="73">
        <v>0</v>
      </c>
      <c r="N788" s="72">
        <v>533</v>
      </c>
      <c r="O788" s="73" t="str">
        <f>3404804*$C819</f>
        <v>0</v>
      </c>
      <c r="P788" s="72">
        <v>528</v>
      </c>
      <c r="Q788" s="73" t="str">
        <f>3372864*$C819</f>
        <v>0</v>
      </c>
      <c r="R788" s="72">
        <v>0</v>
      </c>
      <c r="S788" s="73">
        <v>0</v>
      </c>
      <c r="T788" s="72">
        <v>0</v>
      </c>
      <c r="U788" s="73">
        <v>0</v>
      </c>
      <c r="V788" s="72">
        <v>0</v>
      </c>
      <c r="W788" s="73">
        <v>0</v>
      </c>
      <c r="X788" s="72">
        <v>0</v>
      </c>
      <c r="Y788" s="73">
        <v>0</v>
      </c>
      <c r="Z788" s="72">
        <v>0</v>
      </c>
      <c r="AA788" s="73">
        <v>0</v>
      </c>
      <c r="AB788" s="72">
        <v>0</v>
      </c>
      <c r="AC788" s="73">
        <v>0</v>
      </c>
      <c r="AD788" s="72">
        <v>0</v>
      </c>
      <c r="AE788" s="73">
        <v>0</v>
      </c>
      <c r="AF788" s="72">
        <v>0</v>
      </c>
      <c r="AG788" s="88">
        <v>0</v>
      </c>
      <c r="AH788"/>
    </row>
    <row r="789" spans="1:34">
      <c r="B789" s="114">
        <v>770</v>
      </c>
      <c r="C789" s="117">
        <v>51</v>
      </c>
      <c r="D789" s="117"/>
      <c r="E789" s="117" t="s">
        <v>1298</v>
      </c>
      <c r="F789" s="117" t="s">
        <v>1299</v>
      </c>
      <c r="G789" s="117" t="s">
        <v>1384</v>
      </c>
      <c r="H789" s="117" t="s">
        <v>620</v>
      </c>
      <c r="I789" s="120" t="s">
        <v>455</v>
      </c>
      <c r="J789" s="84">
        <v>100</v>
      </c>
      <c r="K789" s="73" t="str">
        <f>221800*$C819</f>
        <v>0</v>
      </c>
      <c r="L789" s="72">
        <v>198</v>
      </c>
      <c r="M789" s="73" t="str">
        <f>439164*$C819</f>
        <v>0</v>
      </c>
      <c r="N789" s="72">
        <v>1015</v>
      </c>
      <c r="O789" s="73" t="str">
        <f>2251270*$C819</f>
        <v>0</v>
      </c>
      <c r="P789" s="72">
        <v>0</v>
      </c>
      <c r="Q789" s="73">
        <v>0</v>
      </c>
      <c r="R789" s="72">
        <v>0</v>
      </c>
      <c r="S789" s="73">
        <v>0</v>
      </c>
      <c r="T789" s="72">
        <v>0</v>
      </c>
      <c r="U789" s="73">
        <v>0</v>
      </c>
      <c r="V789" s="72">
        <v>0</v>
      </c>
      <c r="W789" s="73">
        <v>0</v>
      </c>
      <c r="X789" s="72">
        <v>0</v>
      </c>
      <c r="Y789" s="73">
        <v>0</v>
      </c>
      <c r="Z789" s="72">
        <v>0</v>
      </c>
      <c r="AA789" s="73">
        <v>0</v>
      </c>
      <c r="AB789" s="72">
        <v>0</v>
      </c>
      <c r="AC789" s="73">
        <v>0</v>
      </c>
      <c r="AD789" s="72">
        <v>0</v>
      </c>
      <c r="AE789" s="73">
        <v>0</v>
      </c>
      <c r="AF789" s="72">
        <v>0</v>
      </c>
      <c r="AG789" s="88">
        <v>0</v>
      </c>
      <c r="AH789"/>
    </row>
    <row r="790" spans="1:34">
      <c r="B790" s="114">
        <v>771</v>
      </c>
      <c r="C790" s="117">
        <v>51</v>
      </c>
      <c r="D790" s="117"/>
      <c r="E790" s="117" t="s">
        <v>1298</v>
      </c>
      <c r="F790" s="117" t="s">
        <v>1299</v>
      </c>
      <c r="G790" s="117" t="s">
        <v>1391</v>
      </c>
      <c r="H790" s="117" t="s">
        <v>1392</v>
      </c>
      <c r="I790" s="120" t="s">
        <v>623</v>
      </c>
      <c r="J790" s="84">
        <v>200</v>
      </c>
      <c r="K790" s="73" t="str">
        <f>45200*$C819</f>
        <v>0</v>
      </c>
      <c r="L790" s="72">
        <v>300</v>
      </c>
      <c r="M790" s="73" t="str">
        <f>67800*$C819</f>
        <v>0</v>
      </c>
      <c r="N790" s="72">
        <v>500</v>
      </c>
      <c r="O790" s="73" t="str">
        <f>113000*$C819</f>
        <v>0</v>
      </c>
      <c r="P790" s="72">
        <v>2400</v>
      </c>
      <c r="Q790" s="73" t="str">
        <f>542400*$C819</f>
        <v>0</v>
      </c>
      <c r="R790" s="72">
        <v>2700</v>
      </c>
      <c r="S790" s="73" t="str">
        <f>610200*$C819</f>
        <v>0</v>
      </c>
      <c r="T790" s="72">
        <v>2780</v>
      </c>
      <c r="U790" s="73" t="str">
        <f>628280*$C819</f>
        <v>0</v>
      </c>
      <c r="V790" s="72">
        <v>680</v>
      </c>
      <c r="W790" s="73" t="str">
        <f>153680*$C819</f>
        <v>0</v>
      </c>
      <c r="X790" s="72">
        <v>940</v>
      </c>
      <c r="Y790" s="73" t="str">
        <f>212440*$C819</f>
        <v>0</v>
      </c>
      <c r="Z790" s="72">
        <v>1680</v>
      </c>
      <c r="AA790" s="73" t="str">
        <f>379680*$C819</f>
        <v>0</v>
      </c>
      <c r="AB790" s="72">
        <v>480</v>
      </c>
      <c r="AC790" s="73" t="str">
        <f>108480*$C819</f>
        <v>0</v>
      </c>
      <c r="AD790" s="72">
        <v>0</v>
      </c>
      <c r="AE790" s="73">
        <v>0</v>
      </c>
      <c r="AF790" s="72">
        <v>0</v>
      </c>
      <c r="AG790" s="88">
        <v>0</v>
      </c>
      <c r="AH790"/>
    </row>
    <row r="791" spans="1:34">
      <c r="B791" s="114">
        <v>772</v>
      </c>
      <c r="C791" s="117">
        <v>51</v>
      </c>
      <c r="D791" s="117"/>
      <c r="E791" s="117" t="s">
        <v>1298</v>
      </c>
      <c r="F791" s="117" t="s">
        <v>1299</v>
      </c>
      <c r="G791" s="117" t="s">
        <v>1389</v>
      </c>
      <c r="H791" s="117" t="s">
        <v>1390</v>
      </c>
      <c r="I791" s="120" t="s">
        <v>623</v>
      </c>
      <c r="J791" s="84">
        <v>0</v>
      </c>
      <c r="K791" s="73">
        <v>0</v>
      </c>
      <c r="L791" s="72">
        <v>0</v>
      </c>
      <c r="M791" s="73">
        <v>0</v>
      </c>
      <c r="N791" s="72">
        <v>2000</v>
      </c>
      <c r="O791" s="73" t="str">
        <f>128000*$C819</f>
        <v>0</v>
      </c>
      <c r="P791" s="72">
        <v>4500</v>
      </c>
      <c r="Q791" s="73" t="str">
        <f>288000*$C819</f>
        <v>0</v>
      </c>
      <c r="R791" s="72">
        <v>5400</v>
      </c>
      <c r="S791" s="73" t="str">
        <f>345600*$C819</f>
        <v>0</v>
      </c>
      <c r="T791" s="72">
        <v>6000</v>
      </c>
      <c r="U791" s="73" t="str">
        <f>384000*$C819</f>
        <v>0</v>
      </c>
      <c r="V791" s="72">
        <v>5000</v>
      </c>
      <c r="W791" s="73" t="str">
        <f>320000*$C819</f>
        <v>0</v>
      </c>
      <c r="X791" s="72">
        <v>4000</v>
      </c>
      <c r="Y791" s="73" t="str">
        <f>256000*$C819</f>
        <v>0</v>
      </c>
      <c r="Z791" s="72">
        <v>4000</v>
      </c>
      <c r="AA791" s="73" t="str">
        <f>256000*$C819</f>
        <v>0</v>
      </c>
      <c r="AB791" s="72">
        <v>2200</v>
      </c>
      <c r="AC791" s="73" t="str">
        <f>140800*$C819</f>
        <v>0</v>
      </c>
      <c r="AD791" s="72">
        <v>0</v>
      </c>
      <c r="AE791" s="73">
        <v>0</v>
      </c>
      <c r="AF791" s="72">
        <v>0</v>
      </c>
      <c r="AG791" s="88">
        <v>0</v>
      </c>
      <c r="AH791"/>
    </row>
    <row r="792" spans="1:34">
      <c r="B792" s="114">
        <v>773</v>
      </c>
      <c r="C792" s="117">
        <v>51</v>
      </c>
      <c r="D792" s="117"/>
      <c r="E792" s="117" t="s">
        <v>1298</v>
      </c>
      <c r="F792" s="117" t="s">
        <v>1299</v>
      </c>
      <c r="G792" s="117" t="s">
        <v>1462</v>
      </c>
      <c r="H792" s="117" t="s">
        <v>454</v>
      </c>
      <c r="I792" s="120" t="s">
        <v>1301</v>
      </c>
      <c r="J792" s="84">
        <v>1824</v>
      </c>
      <c r="K792" s="73" t="str">
        <f>578208*$C819</f>
        <v>0</v>
      </c>
      <c r="L792" s="72">
        <v>2400</v>
      </c>
      <c r="M792" s="73" t="str">
        <f>760800*$C819</f>
        <v>0</v>
      </c>
      <c r="N792" s="72">
        <v>5520</v>
      </c>
      <c r="O792" s="73" t="str">
        <f>1749840*$C819</f>
        <v>0</v>
      </c>
      <c r="P792" s="72">
        <v>2960</v>
      </c>
      <c r="Q792" s="73" t="str">
        <f>938320*$C819</f>
        <v>0</v>
      </c>
      <c r="R792" s="72">
        <v>3200</v>
      </c>
      <c r="S792" s="73" t="str">
        <f>1014400*$C819</f>
        <v>0</v>
      </c>
      <c r="T792" s="72">
        <v>4640</v>
      </c>
      <c r="U792" s="73" t="str">
        <f>1470880*$C819</f>
        <v>0</v>
      </c>
      <c r="V792" s="72">
        <v>1280</v>
      </c>
      <c r="W792" s="73" t="str">
        <f>405760*$C819</f>
        <v>0</v>
      </c>
      <c r="X792" s="72">
        <v>3360</v>
      </c>
      <c r="Y792" s="73" t="str">
        <f>1065120*$C819</f>
        <v>0</v>
      </c>
      <c r="Z792" s="72">
        <v>2720</v>
      </c>
      <c r="AA792" s="73" t="str">
        <f>862240*$C819</f>
        <v>0</v>
      </c>
      <c r="AB792" s="72">
        <v>1360</v>
      </c>
      <c r="AC792" s="73" t="str">
        <f>431120*$C819</f>
        <v>0</v>
      </c>
      <c r="AD792" s="72">
        <v>0</v>
      </c>
      <c r="AE792" s="73">
        <v>0</v>
      </c>
      <c r="AF792" s="72">
        <v>0</v>
      </c>
      <c r="AG792" s="88">
        <v>0</v>
      </c>
      <c r="AH792"/>
    </row>
    <row r="793" spans="1:34">
      <c r="B793" s="114">
        <v>774</v>
      </c>
      <c r="C793" s="117">
        <v>51</v>
      </c>
      <c r="D793" s="117"/>
      <c r="E793" s="117" t="s">
        <v>1298</v>
      </c>
      <c r="F793" s="117" t="s">
        <v>1299</v>
      </c>
      <c r="G793" s="117" t="s">
        <v>1394</v>
      </c>
      <c r="H793" s="117" t="s">
        <v>694</v>
      </c>
      <c r="I793" s="120" t="s">
        <v>548</v>
      </c>
      <c r="J793" s="84">
        <v>2040</v>
      </c>
      <c r="K793" s="73" t="str">
        <f>573240*$C819</f>
        <v>0</v>
      </c>
      <c r="L793" s="72">
        <v>2160</v>
      </c>
      <c r="M793" s="73" t="str">
        <f>606960*$C819</f>
        <v>0</v>
      </c>
      <c r="N793" s="72">
        <v>2700</v>
      </c>
      <c r="O793" s="73" t="str">
        <f>758700*$C819</f>
        <v>0</v>
      </c>
      <c r="P793" s="72">
        <v>2160</v>
      </c>
      <c r="Q793" s="73" t="str">
        <f>606960*$C819</f>
        <v>0</v>
      </c>
      <c r="R793" s="72">
        <v>2976</v>
      </c>
      <c r="S793" s="73" t="str">
        <f>836256*$C819</f>
        <v>0</v>
      </c>
      <c r="T793" s="72">
        <v>2480</v>
      </c>
      <c r="U793" s="73" t="str">
        <f>696880*$C819</f>
        <v>0</v>
      </c>
      <c r="V793" s="72">
        <v>1440</v>
      </c>
      <c r="W793" s="73" t="str">
        <f>404640*$C819</f>
        <v>0</v>
      </c>
      <c r="X793" s="72">
        <v>1440</v>
      </c>
      <c r="Y793" s="73" t="str">
        <f>404640*$C819</f>
        <v>0</v>
      </c>
      <c r="Z793" s="72">
        <v>2560</v>
      </c>
      <c r="AA793" s="73" t="str">
        <f>719360*$C819</f>
        <v>0</v>
      </c>
      <c r="AB793" s="72">
        <v>1120</v>
      </c>
      <c r="AC793" s="73" t="str">
        <f>314720*$C819</f>
        <v>0</v>
      </c>
      <c r="AD793" s="72">
        <v>0</v>
      </c>
      <c r="AE793" s="73">
        <v>0</v>
      </c>
      <c r="AF793" s="72">
        <v>0</v>
      </c>
      <c r="AG793" s="88">
        <v>0</v>
      </c>
      <c r="AH793"/>
    </row>
    <row r="794" spans="1:34">
      <c r="B794" s="114">
        <v>775</v>
      </c>
      <c r="C794" s="117">
        <v>51</v>
      </c>
      <c r="D794" s="117"/>
      <c r="E794" s="117" t="s">
        <v>1495</v>
      </c>
      <c r="F794" s="117" t="s">
        <v>1496</v>
      </c>
      <c r="G794" s="117" t="s">
        <v>1499</v>
      </c>
      <c r="H794" s="117" t="s">
        <v>198</v>
      </c>
      <c r="I794" s="120" t="s">
        <v>455</v>
      </c>
      <c r="J794" s="84">
        <v>0</v>
      </c>
      <c r="K794" s="73">
        <v>0</v>
      </c>
      <c r="L794" s="72">
        <v>0</v>
      </c>
      <c r="M794" s="73">
        <v>0</v>
      </c>
      <c r="N794" s="72">
        <v>0</v>
      </c>
      <c r="O794" s="73">
        <v>0</v>
      </c>
      <c r="P794" s="72">
        <v>0</v>
      </c>
      <c r="Q794" s="73">
        <v>0</v>
      </c>
      <c r="R794" s="72">
        <v>16</v>
      </c>
      <c r="S794" s="73" t="str">
        <f>210.4*$C819</f>
        <v>0</v>
      </c>
      <c r="T794" s="72">
        <v>0</v>
      </c>
      <c r="U794" s="73">
        <v>0</v>
      </c>
      <c r="V794" s="72">
        <v>480</v>
      </c>
      <c r="W794" s="73" t="str">
        <f>6312*$C819</f>
        <v>0</v>
      </c>
      <c r="X794" s="72">
        <v>480</v>
      </c>
      <c r="Y794" s="73" t="str">
        <f>6312*$C819</f>
        <v>0</v>
      </c>
      <c r="Z794" s="72">
        <v>0</v>
      </c>
      <c r="AA794" s="73">
        <v>0</v>
      </c>
      <c r="AB794" s="72">
        <v>0</v>
      </c>
      <c r="AC794" s="73">
        <v>0</v>
      </c>
      <c r="AD794" s="72">
        <v>0</v>
      </c>
      <c r="AE794" s="73">
        <v>0</v>
      </c>
      <c r="AF794" s="72">
        <v>0</v>
      </c>
      <c r="AG794" s="88">
        <v>0</v>
      </c>
      <c r="AH794"/>
    </row>
    <row r="795" spans="1:34">
      <c r="B795" s="114">
        <v>776</v>
      </c>
      <c r="C795" s="117">
        <v>51</v>
      </c>
      <c r="D795" s="117"/>
      <c r="E795" s="117" t="s">
        <v>1495</v>
      </c>
      <c r="F795" s="117" t="s">
        <v>1496</v>
      </c>
      <c r="G795" s="117" t="s">
        <v>1498</v>
      </c>
      <c r="H795" s="117" t="s">
        <v>198</v>
      </c>
      <c r="I795" s="120" t="s">
        <v>455</v>
      </c>
      <c r="J795" s="84">
        <v>960</v>
      </c>
      <c r="K795" s="73" t="str">
        <f>1222080*$C819</f>
        <v>0</v>
      </c>
      <c r="L795" s="72">
        <v>3360</v>
      </c>
      <c r="M795" s="73" t="str">
        <f>1862592*$C819</f>
        <v>0</v>
      </c>
      <c r="N795" s="72">
        <v>960</v>
      </c>
      <c r="O795" s="73" t="str">
        <f>1222080*$C819</f>
        <v>0</v>
      </c>
      <c r="P795" s="72">
        <v>0</v>
      </c>
      <c r="Q795" s="73">
        <v>0</v>
      </c>
      <c r="R795" s="72">
        <v>16</v>
      </c>
      <c r="S795" s="73" t="str">
        <f>245.6*$C819</f>
        <v>0</v>
      </c>
      <c r="T795" s="72">
        <v>0</v>
      </c>
      <c r="U795" s="73">
        <v>0</v>
      </c>
      <c r="V795" s="72">
        <v>480</v>
      </c>
      <c r="W795" s="73" t="str">
        <f>7368*$C819</f>
        <v>0</v>
      </c>
      <c r="X795" s="72">
        <v>480</v>
      </c>
      <c r="Y795" s="73" t="str">
        <f>7368*$C819</f>
        <v>0</v>
      </c>
      <c r="Z795" s="72">
        <v>8</v>
      </c>
      <c r="AA795" s="73" t="str">
        <f>122.8*$C819</f>
        <v>0</v>
      </c>
      <c r="AB795" s="72">
        <v>0</v>
      </c>
      <c r="AC795" s="73">
        <v>0</v>
      </c>
      <c r="AD795" s="72">
        <v>0</v>
      </c>
      <c r="AE795" s="73">
        <v>0</v>
      </c>
      <c r="AF795" s="72">
        <v>0</v>
      </c>
      <c r="AG795" s="88">
        <v>0</v>
      </c>
      <c r="AH795"/>
    </row>
    <row r="796" spans="1:34">
      <c r="B796" s="114">
        <v>777</v>
      </c>
      <c r="C796" s="117">
        <v>51</v>
      </c>
      <c r="D796" s="117"/>
      <c r="E796" s="117" t="s">
        <v>1495</v>
      </c>
      <c r="F796" s="117" t="s">
        <v>1496</v>
      </c>
      <c r="G796" s="117" t="s">
        <v>1502</v>
      </c>
      <c r="H796" s="117" t="s">
        <v>198</v>
      </c>
      <c r="I796" s="120" t="s">
        <v>1400</v>
      </c>
      <c r="J796" s="84">
        <v>400</v>
      </c>
      <c r="K796" s="73" t="str">
        <f>311600*$C819</f>
        <v>0</v>
      </c>
      <c r="L796" s="72">
        <v>0</v>
      </c>
      <c r="M796" s="73">
        <v>0</v>
      </c>
      <c r="N796" s="72">
        <v>0</v>
      </c>
      <c r="O796" s="73">
        <v>0</v>
      </c>
      <c r="P796" s="72">
        <v>0</v>
      </c>
      <c r="Q796" s="73">
        <v>0</v>
      </c>
      <c r="R796" s="72">
        <v>0</v>
      </c>
      <c r="S796" s="73">
        <v>0</v>
      </c>
      <c r="T796" s="72">
        <v>0</v>
      </c>
      <c r="U796" s="73">
        <v>0</v>
      </c>
      <c r="V796" s="72">
        <v>0</v>
      </c>
      <c r="W796" s="73">
        <v>0</v>
      </c>
      <c r="X796" s="72">
        <v>0</v>
      </c>
      <c r="Y796" s="73">
        <v>0</v>
      </c>
      <c r="Z796" s="72">
        <v>0</v>
      </c>
      <c r="AA796" s="73">
        <v>0</v>
      </c>
      <c r="AB796" s="72">
        <v>0</v>
      </c>
      <c r="AC796" s="73">
        <v>0</v>
      </c>
      <c r="AD796" s="72">
        <v>0</v>
      </c>
      <c r="AE796" s="73">
        <v>0</v>
      </c>
      <c r="AF796" s="72">
        <v>0</v>
      </c>
      <c r="AG796" s="88">
        <v>0</v>
      </c>
      <c r="AH796"/>
    </row>
    <row r="797" spans="1:34">
      <c r="B797" s="114">
        <v>778</v>
      </c>
      <c r="C797" s="117">
        <v>51</v>
      </c>
      <c r="D797" s="117"/>
      <c r="E797" s="117" t="s">
        <v>1495</v>
      </c>
      <c r="F797" s="117" t="s">
        <v>1496</v>
      </c>
      <c r="G797" s="117" t="s">
        <v>1511</v>
      </c>
      <c r="H797" s="117" t="s">
        <v>198</v>
      </c>
      <c r="I797" s="120" t="s">
        <v>455</v>
      </c>
      <c r="J797" s="84">
        <v>0</v>
      </c>
      <c r="K797" s="73">
        <v>0</v>
      </c>
      <c r="L797" s="72">
        <v>2880</v>
      </c>
      <c r="M797" s="73" t="str">
        <f>3136320*$C819</f>
        <v>0</v>
      </c>
      <c r="N797" s="72">
        <v>2400</v>
      </c>
      <c r="O797" s="73" t="str">
        <f>2613600*$C819</f>
        <v>0</v>
      </c>
      <c r="P797" s="72">
        <v>0</v>
      </c>
      <c r="Q797" s="73">
        <v>0</v>
      </c>
      <c r="R797" s="72">
        <v>16</v>
      </c>
      <c r="S797" s="73" t="str">
        <f>224.64*$C819</f>
        <v>0</v>
      </c>
      <c r="T797" s="72">
        <v>0</v>
      </c>
      <c r="U797" s="73">
        <v>0</v>
      </c>
      <c r="V797" s="72">
        <v>0</v>
      </c>
      <c r="W797" s="73">
        <v>0</v>
      </c>
      <c r="X797" s="72">
        <v>480</v>
      </c>
      <c r="Y797" s="73" t="str">
        <f>6739.2*$C819</f>
        <v>0</v>
      </c>
      <c r="Z797" s="72">
        <v>8</v>
      </c>
      <c r="AA797" s="73" t="str">
        <f>112.32*$C819</f>
        <v>0</v>
      </c>
      <c r="AB797" s="72">
        <v>0</v>
      </c>
      <c r="AC797" s="73">
        <v>0</v>
      </c>
      <c r="AD797" s="72">
        <v>0</v>
      </c>
      <c r="AE797" s="73">
        <v>0</v>
      </c>
      <c r="AF797" s="72">
        <v>0</v>
      </c>
      <c r="AG797" s="88">
        <v>0</v>
      </c>
      <c r="AH797"/>
    </row>
    <row r="798" spans="1:34">
      <c r="B798" s="114">
        <v>779</v>
      </c>
      <c r="C798" s="117">
        <v>51</v>
      </c>
      <c r="D798" s="117"/>
      <c r="E798" s="117" t="s">
        <v>1495</v>
      </c>
      <c r="F798" s="117" t="s">
        <v>1496</v>
      </c>
      <c r="G798" s="117" t="s">
        <v>1507</v>
      </c>
      <c r="H798" s="117" t="s">
        <v>198</v>
      </c>
      <c r="I798" s="120" t="s">
        <v>623</v>
      </c>
      <c r="J798" s="84">
        <v>960</v>
      </c>
      <c r="K798" s="73" t="str">
        <f>1109760*$C819</f>
        <v>0</v>
      </c>
      <c r="L798" s="72">
        <v>2656</v>
      </c>
      <c r="M798" s="73" t="str">
        <f>1131672*$C819</f>
        <v>0</v>
      </c>
      <c r="N798" s="72">
        <v>3712</v>
      </c>
      <c r="O798" s="73" t="str">
        <f>47959*$C819</f>
        <v>0</v>
      </c>
      <c r="P798" s="72">
        <v>4416</v>
      </c>
      <c r="Q798" s="73" t="str">
        <f>57055*$C819</f>
        <v>0</v>
      </c>
      <c r="R798" s="72">
        <v>944</v>
      </c>
      <c r="S798" s="73" t="str">
        <f>12196*$C819</f>
        <v>0</v>
      </c>
      <c r="T798" s="72">
        <v>3360</v>
      </c>
      <c r="U798" s="73" t="str">
        <f>43410.84*$C819</f>
        <v>0</v>
      </c>
      <c r="V798" s="72">
        <v>7800</v>
      </c>
      <c r="W798" s="73" t="str">
        <f>100776*$C819</f>
        <v>0</v>
      </c>
      <c r="X798" s="72">
        <v>5760</v>
      </c>
      <c r="Y798" s="73" t="str">
        <f>74419.2*$C819</f>
        <v>0</v>
      </c>
      <c r="Z798" s="72">
        <v>8</v>
      </c>
      <c r="AA798" s="73" t="str">
        <f>103.36*$C819</f>
        <v>0</v>
      </c>
      <c r="AB798" s="72">
        <v>0</v>
      </c>
      <c r="AC798" s="73">
        <v>0</v>
      </c>
      <c r="AD798" s="72">
        <v>0</v>
      </c>
      <c r="AE798" s="73">
        <v>0</v>
      </c>
      <c r="AF798" s="72">
        <v>0</v>
      </c>
      <c r="AG798" s="88">
        <v>0</v>
      </c>
      <c r="AH798"/>
    </row>
    <row r="799" spans="1:34">
      <c r="B799" s="114">
        <v>780</v>
      </c>
      <c r="C799" s="117">
        <v>51</v>
      </c>
      <c r="D799" s="117"/>
      <c r="E799" s="117" t="s">
        <v>1495</v>
      </c>
      <c r="F799" s="117" t="s">
        <v>1496</v>
      </c>
      <c r="G799" s="117" t="s">
        <v>1508</v>
      </c>
      <c r="H799" s="117" t="s">
        <v>198</v>
      </c>
      <c r="I799" s="120" t="s">
        <v>548</v>
      </c>
      <c r="J799" s="84">
        <v>3760</v>
      </c>
      <c r="K799" s="73" t="str">
        <f>4042000*$C819</f>
        <v>0</v>
      </c>
      <c r="L799" s="72">
        <v>3520</v>
      </c>
      <c r="M799" s="73" t="str">
        <f>3784000*$C819</f>
        <v>0</v>
      </c>
      <c r="N799" s="72">
        <v>0</v>
      </c>
      <c r="O799" s="73">
        <v>0</v>
      </c>
      <c r="P799" s="72">
        <v>0</v>
      </c>
      <c r="Q799" s="73">
        <v>0</v>
      </c>
      <c r="R799" s="72">
        <v>0</v>
      </c>
      <c r="S799" s="73">
        <v>0</v>
      </c>
      <c r="T799" s="72">
        <v>0</v>
      </c>
      <c r="U799" s="73">
        <v>0</v>
      </c>
      <c r="V799" s="72">
        <v>0</v>
      </c>
      <c r="W799" s="73">
        <v>0</v>
      </c>
      <c r="X799" s="72">
        <v>0</v>
      </c>
      <c r="Y799" s="73">
        <v>0</v>
      </c>
      <c r="Z799" s="72">
        <v>0</v>
      </c>
      <c r="AA799" s="73">
        <v>0</v>
      </c>
      <c r="AB799" s="72">
        <v>0</v>
      </c>
      <c r="AC799" s="73">
        <v>0</v>
      </c>
      <c r="AD799" s="72">
        <v>0</v>
      </c>
      <c r="AE799" s="73">
        <v>0</v>
      </c>
      <c r="AF799" s="72">
        <v>0</v>
      </c>
      <c r="AG799" s="88">
        <v>0</v>
      </c>
      <c r="AH799"/>
    </row>
    <row r="800" spans="1:34">
      <c r="B800" s="114">
        <v>781</v>
      </c>
      <c r="C800" s="117">
        <v>51</v>
      </c>
      <c r="D800" s="117"/>
      <c r="E800" s="117" t="s">
        <v>1495</v>
      </c>
      <c r="F800" s="117" t="s">
        <v>1496</v>
      </c>
      <c r="G800" s="117" t="s">
        <v>1501</v>
      </c>
      <c r="H800" s="117" t="s">
        <v>198</v>
      </c>
      <c r="I800" s="120" t="s">
        <v>623</v>
      </c>
      <c r="J800" s="84">
        <v>352</v>
      </c>
      <c r="K800" s="73" t="str">
        <f>425568*$C819</f>
        <v>0</v>
      </c>
      <c r="L800" s="72">
        <v>432</v>
      </c>
      <c r="M800" s="73" t="str">
        <f>445834*$C819</f>
        <v>0</v>
      </c>
      <c r="N800" s="72">
        <v>0</v>
      </c>
      <c r="O800" s="73">
        <v>0</v>
      </c>
      <c r="P800" s="72">
        <v>352</v>
      </c>
      <c r="Q800" s="73" t="str">
        <f>5072.32*$C819</f>
        <v>0</v>
      </c>
      <c r="R800" s="72">
        <v>2636</v>
      </c>
      <c r="S800" s="73" t="str">
        <f>37984.48*$C819</f>
        <v>0</v>
      </c>
      <c r="T800" s="72">
        <v>1664</v>
      </c>
      <c r="U800" s="73" t="str">
        <f>23978*$C819</f>
        <v>0</v>
      </c>
      <c r="V800" s="72">
        <v>1456</v>
      </c>
      <c r="W800" s="73" t="str">
        <f>20980.96*$C819</f>
        <v>0</v>
      </c>
      <c r="X800" s="72">
        <v>960</v>
      </c>
      <c r="Y800" s="73" t="str">
        <f>13833.6*$C819</f>
        <v>0</v>
      </c>
      <c r="Z800" s="72">
        <v>0</v>
      </c>
      <c r="AA800" s="73">
        <v>0</v>
      </c>
      <c r="AB800" s="72">
        <v>160</v>
      </c>
      <c r="AC800" s="73" t="str">
        <f>2305.6*$C819</f>
        <v>0</v>
      </c>
      <c r="AD800" s="72">
        <v>0</v>
      </c>
      <c r="AE800" s="73">
        <v>0</v>
      </c>
      <c r="AF800" s="72">
        <v>0</v>
      </c>
      <c r="AG800" s="88">
        <v>0</v>
      </c>
      <c r="AH800"/>
    </row>
    <row r="801" spans="1:34">
      <c r="B801" s="114">
        <v>782</v>
      </c>
      <c r="C801" s="117">
        <v>51</v>
      </c>
      <c r="D801" s="117"/>
      <c r="E801" s="117" t="s">
        <v>1495</v>
      </c>
      <c r="F801" s="117" t="s">
        <v>1496</v>
      </c>
      <c r="G801" s="117" t="s">
        <v>1509</v>
      </c>
      <c r="H801" s="117" t="s">
        <v>198</v>
      </c>
      <c r="I801" s="120" t="s">
        <v>455</v>
      </c>
      <c r="J801" s="84">
        <v>960</v>
      </c>
      <c r="K801" s="73" t="str">
        <f>930240*$C819</f>
        <v>0</v>
      </c>
      <c r="L801" s="72">
        <v>720</v>
      </c>
      <c r="M801" s="73" t="str">
        <f>8626*$C819</f>
        <v>0</v>
      </c>
      <c r="N801" s="72">
        <v>1200</v>
      </c>
      <c r="O801" s="73" t="str">
        <f>1162800*$C819</f>
        <v>0</v>
      </c>
      <c r="P801" s="72">
        <v>0</v>
      </c>
      <c r="Q801" s="73">
        <v>0</v>
      </c>
      <c r="R801" s="72">
        <v>16</v>
      </c>
      <c r="S801" s="73" t="str">
        <f>192*$C819</f>
        <v>0</v>
      </c>
      <c r="T801" s="72">
        <v>0</v>
      </c>
      <c r="U801" s="73">
        <v>0</v>
      </c>
      <c r="V801" s="72">
        <v>480</v>
      </c>
      <c r="W801" s="73" t="str">
        <f>5750*$C819</f>
        <v>0</v>
      </c>
      <c r="X801" s="72">
        <v>480</v>
      </c>
      <c r="Y801" s="73" t="str">
        <f>5750.4*$C819</f>
        <v>0</v>
      </c>
      <c r="Z801" s="72">
        <v>0</v>
      </c>
      <c r="AA801" s="73">
        <v>0</v>
      </c>
      <c r="AB801" s="72">
        <v>0</v>
      </c>
      <c r="AC801" s="73">
        <v>0</v>
      </c>
      <c r="AD801" s="72">
        <v>0</v>
      </c>
      <c r="AE801" s="73">
        <v>0</v>
      </c>
      <c r="AF801" s="72">
        <v>0</v>
      </c>
      <c r="AG801" s="88">
        <v>0</v>
      </c>
      <c r="AH801"/>
    </row>
    <row r="802" spans="1:34">
      <c r="B802" s="114">
        <v>783</v>
      </c>
      <c r="C802" s="117">
        <v>51</v>
      </c>
      <c r="D802" s="117"/>
      <c r="E802" s="117" t="s">
        <v>1495</v>
      </c>
      <c r="F802" s="117" t="s">
        <v>1496</v>
      </c>
      <c r="G802" s="117" t="s">
        <v>1500</v>
      </c>
      <c r="H802" s="117" t="s">
        <v>198</v>
      </c>
      <c r="I802" s="120" t="s">
        <v>455</v>
      </c>
      <c r="J802" s="84">
        <v>960</v>
      </c>
      <c r="K802" s="73" t="str">
        <f>779520*$C819</f>
        <v>0</v>
      </c>
      <c r="L802" s="72">
        <v>1920</v>
      </c>
      <c r="M802" s="73" t="str">
        <f>790013*$C819</f>
        <v>0</v>
      </c>
      <c r="N802" s="72">
        <v>0</v>
      </c>
      <c r="O802" s="73">
        <v>0</v>
      </c>
      <c r="P802" s="72">
        <v>0</v>
      </c>
      <c r="Q802" s="73">
        <v>0</v>
      </c>
      <c r="R802" s="72">
        <v>16</v>
      </c>
      <c r="S802" s="73" t="str">
        <f>174.88*$C819</f>
        <v>0</v>
      </c>
      <c r="T802" s="72">
        <v>0</v>
      </c>
      <c r="U802" s="73">
        <v>0</v>
      </c>
      <c r="V802" s="72">
        <v>480</v>
      </c>
      <c r="W802" s="73" t="str">
        <f>5246.4*$C819</f>
        <v>0</v>
      </c>
      <c r="X802" s="72">
        <v>480</v>
      </c>
      <c r="Y802" s="73" t="str">
        <f>5246.4*$C819</f>
        <v>0</v>
      </c>
      <c r="Z802" s="72">
        <v>0</v>
      </c>
      <c r="AA802" s="73">
        <v>0</v>
      </c>
      <c r="AB802" s="72">
        <v>0</v>
      </c>
      <c r="AC802" s="73">
        <v>0</v>
      </c>
      <c r="AD802" s="72">
        <v>0</v>
      </c>
      <c r="AE802" s="73">
        <v>0</v>
      </c>
      <c r="AF802" s="72">
        <v>0</v>
      </c>
      <c r="AG802" s="88">
        <v>0</v>
      </c>
      <c r="AH802"/>
    </row>
    <row r="803" spans="1:34">
      <c r="B803" s="114">
        <v>784</v>
      </c>
      <c r="C803" s="117">
        <v>51</v>
      </c>
      <c r="D803" s="117"/>
      <c r="E803" s="117" t="s">
        <v>1495</v>
      </c>
      <c r="F803" s="117" t="s">
        <v>1496</v>
      </c>
      <c r="G803" s="117" t="s">
        <v>1512</v>
      </c>
      <c r="H803" s="117" t="s">
        <v>198</v>
      </c>
      <c r="I803" s="120" t="s">
        <v>548</v>
      </c>
      <c r="J803" s="84">
        <v>1920</v>
      </c>
      <c r="K803" s="73" t="str">
        <f>1595520*$C819</f>
        <v>0</v>
      </c>
      <c r="L803" s="72">
        <v>0</v>
      </c>
      <c r="M803" s="73">
        <v>0</v>
      </c>
      <c r="N803" s="72">
        <v>0</v>
      </c>
      <c r="O803" s="73">
        <v>0</v>
      </c>
      <c r="P803" s="72">
        <v>0</v>
      </c>
      <c r="Q803" s="73">
        <v>0</v>
      </c>
      <c r="R803" s="72">
        <v>0</v>
      </c>
      <c r="S803" s="73">
        <v>0</v>
      </c>
      <c r="T803" s="72">
        <v>0</v>
      </c>
      <c r="U803" s="73">
        <v>0</v>
      </c>
      <c r="V803" s="72">
        <v>0</v>
      </c>
      <c r="W803" s="73">
        <v>0</v>
      </c>
      <c r="X803" s="72">
        <v>0</v>
      </c>
      <c r="Y803" s="73">
        <v>0</v>
      </c>
      <c r="Z803" s="72">
        <v>0</v>
      </c>
      <c r="AA803" s="73">
        <v>0</v>
      </c>
      <c r="AB803" s="72">
        <v>0</v>
      </c>
      <c r="AC803" s="73">
        <v>0</v>
      </c>
      <c r="AD803" s="72">
        <v>0</v>
      </c>
      <c r="AE803" s="73">
        <v>0</v>
      </c>
      <c r="AF803" s="72">
        <v>0</v>
      </c>
      <c r="AG803" s="88">
        <v>0</v>
      </c>
      <c r="AH803"/>
    </row>
    <row r="804" spans="1:34">
      <c r="B804" s="114">
        <v>785</v>
      </c>
      <c r="C804" s="117">
        <v>51</v>
      </c>
      <c r="D804" s="117"/>
      <c r="E804" s="117" t="s">
        <v>1495</v>
      </c>
      <c r="F804" s="117" t="s">
        <v>1496</v>
      </c>
      <c r="G804" s="117" t="s">
        <v>1497</v>
      </c>
      <c r="H804" s="117" t="s">
        <v>198</v>
      </c>
      <c r="I804" s="120" t="s">
        <v>623</v>
      </c>
      <c r="J804" s="84">
        <v>384</v>
      </c>
      <c r="K804" s="73" t="str">
        <f>379776*$C819</f>
        <v>0</v>
      </c>
      <c r="L804" s="72">
        <v>1984</v>
      </c>
      <c r="M804" s="73" t="str">
        <f>1523924*$C819</f>
        <v>0</v>
      </c>
      <c r="N804" s="72">
        <v>5120</v>
      </c>
      <c r="O804" s="73" t="str">
        <f>55091*$C819</f>
        <v>0</v>
      </c>
      <c r="P804" s="72">
        <v>1088</v>
      </c>
      <c r="Q804" s="73" t="str">
        <f>11706.88*$C819</f>
        <v>0</v>
      </c>
      <c r="R804" s="72">
        <v>4656</v>
      </c>
      <c r="S804" s="73" t="str">
        <f>50098*$C819</f>
        <v>0</v>
      </c>
      <c r="T804" s="72">
        <v>3360</v>
      </c>
      <c r="U804" s="73" t="str">
        <f>36153.84*$C819</f>
        <v>0</v>
      </c>
      <c r="V804" s="72">
        <v>1920</v>
      </c>
      <c r="W804" s="73" t="str">
        <f>20659.2*$C819</f>
        <v>0</v>
      </c>
      <c r="X804" s="72">
        <v>1920</v>
      </c>
      <c r="Y804" s="73" t="str">
        <f>20659.2*$C819</f>
        <v>0</v>
      </c>
      <c r="Z804" s="72">
        <v>0</v>
      </c>
      <c r="AA804" s="73">
        <v>0</v>
      </c>
      <c r="AB804" s="72">
        <v>0</v>
      </c>
      <c r="AC804" s="73">
        <v>0</v>
      </c>
      <c r="AD804" s="72">
        <v>0</v>
      </c>
      <c r="AE804" s="73">
        <v>0</v>
      </c>
      <c r="AF804" s="72">
        <v>0</v>
      </c>
      <c r="AG804" s="88">
        <v>0</v>
      </c>
      <c r="AH804"/>
    </row>
    <row r="805" spans="1:34">
      <c r="B805" s="114">
        <v>786</v>
      </c>
      <c r="C805" s="117">
        <v>51</v>
      </c>
      <c r="D805" s="117"/>
      <c r="E805" s="117" t="s">
        <v>1495</v>
      </c>
      <c r="F805" s="117" t="s">
        <v>1496</v>
      </c>
      <c r="G805" s="117" t="s">
        <v>1503</v>
      </c>
      <c r="H805" s="117" t="s">
        <v>198</v>
      </c>
      <c r="I805" s="120" t="s">
        <v>623</v>
      </c>
      <c r="J805" s="84">
        <v>640</v>
      </c>
      <c r="K805" s="73" t="str">
        <f>549760*$C819</f>
        <v>0</v>
      </c>
      <c r="L805" s="72">
        <v>3408</v>
      </c>
      <c r="M805" s="73" t="str">
        <f>1119863*$C819</f>
        <v>0</v>
      </c>
      <c r="N805" s="72">
        <v>3936</v>
      </c>
      <c r="O805" s="73" t="str">
        <f>37628*$C819</f>
        <v>0</v>
      </c>
      <c r="P805" s="72">
        <v>3600</v>
      </c>
      <c r="Q805" s="73" t="str">
        <f>34415.92*$C819</f>
        <v>0</v>
      </c>
      <c r="R805" s="72">
        <v>2688</v>
      </c>
      <c r="S805" s="73" t="str">
        <f>25697.04*$C819</f>
        <v>0</v>
      </c>
      <c r="T805" s="72">
        <v>2608</v>
      </c>
      <c r="U805" s="73" t="str">
        <f>24932.56*$C819</f>
        <v>0</v>
      </c>
      <c r="V805" s="72">
        <v>1600</v>
      </c>
      <c r="W805" s="73" t="str">
        <f>15296*$C819</f>
        <v>0</v>
      </c>
      <c r="X805" s="72">
        <v>1920</v>
      </c>
      <c r="Y805" s="73" t="str">
        <f>18355.2*$C819</f>
        <v>0</v>
      </c>
      <c r="Z805" s="72">
        <v>0</v>
      </c>
      <c r="AA805" s="73">
        <v>0</v>
      </c>
      <c r="AB805" s="72">
        <v>0</v>
      </c>
      <c r="AC805" s="73">
        <v>0</v>
      </c>
      <c r="AD805" s="72">
        <v>0</v>
      </c>
      <c r="AE805" s="73">
        <v>0</v>
      </c>
      <c r="AF805" s="72">
        <v>0</v>
      </c>
      <c r="AG805" s="88">
        <v>0</v>
      </c>
      <c r="AH805"/>
    </row>
    <row r="806" spans="1:34">
      <c r="B806" s="114">
        <v>787</v>
      </c>
      <c r="C806" s="117">
        <v>51</v>
      </c>
      <c r="D806" s="117"/>
      <c r="E806" s="117" t="s">
        <v>1495</v>
      </c>
      <c r="F806" s="117" t="s">
        <v>1496</v>
      </c>
      <c r="G806" s="117" t="s">
        <v>1504</v>
      </c>
      <c r="H806" s="117" t="s">
        <v>198</v>
      </c>
      <c r="I806" s="120" t="s">
        <v>1400</v>
      </c>
      <c r="J806" s="84">
        <v>384</v>
      </c>
      <c r="K806" s="73" t="str">
        <f>408576*$C819</f>
        <v>0</v>
      </c>
      <c r="L806" s="72">
        <v>0</v>
      </c>
      <c r="M806" s="73">
        <v>0</v>
      </c>
      <c r="N806" s="72">
        <v>0</v>
      </c>
      <c r="O806" s="73">
        <v>0</v>
      </c>
      <c r="P806" s="72">
        <v>0</v>
      </c>
      <c r="Q806" s="73">
        <v>0</v>
      </c>
      <c r="R806" s="72">
        <v>0</v>
      </c>
      <c r="S806" s="73">
        <v>0</v>
      </c>
      <c r="T806" s="72">
        <v>0</v>
      </c>
      <c r="U806" s="73">
        <v>0</v>
      </c>
      <c r="V806" s="72">
        <v>0</v>
      </c>
      <c r="W806" s="73">
        <v>0</v>
      </c>
      <c r="X806" s="72">
        <v>0</v>
      </c>
      <c r="Y806" s="73">
        <v>0</v>
      </c>
      <c r="Z806" s="72">
        <v>0</v>
      </c>
      <c r="AA806" s="73">
        <v>0</v>
      </c>
      <c r="AB806" s="72">
        <v>0</v>
      </c>
      <c r="AC806" s="73">
        <v>0</v>
      </c>
      <c r="AD806" s="72">
        <v>0</v>
      </c>
      <c r="AE806" s="73">
        <v>0</v>
      </c>
      <c r="AF806" s="72">
        <v>0</v>
      </c>
      <c r="AG806" s="88">
        <v>0</v>
      </c>
      <c r="AH806"/>
    </row>
    <row r="807" spans="1:34">
      <c r="B807" s="114">
        <v>788</v>
      </c>
      <c r="C807" s="117">
        <v>51</v>
      </c>
      <c r="D807" s="117"/>
      <c r="E807" s="117" t="s">
        <v>1495</v>
      </c>
      <c r="F807" s="117" t="s">
        <v>1496</v>
      </c>
      <c r="G807" s="117" t="s">
        <v>1506</v>
      </c>
      <c r="H807" s="117" t="s">
        <v>198</v>
      </c>
      <c r="I807" s="120" t="s">
        <v>623</v>
      </c>
      <c r="J807" s="84">
        <v>960</v>
      </c>
      <c r="K807" s="73" t="str">
        <f>1373760*$C819</f>
        <v>0</v>
      </c>
      <c r="L807" s="72">
        <v>2608</v>
      </c>
      <c r="M807" s="73" t="str">
        <f>1399419*$C819</f>
        <v>0</v>
      </c>
      <c r="N807" s="72">
        <v>5488</v>
      </c>
      <c r="O807" s="73" t="str">
        <f>85449*$C819</f>
        <v>0</v>
      </c>
      <c r="P807" s="72">
        <v>3840</v>
      </c>
      <c r="Q807" s="73" t="str">
        <f>59789.2*$C819</f>
        <v>0</v>
      </c>
      <c r="R807" s="72">
        <v>3840</v>
      </c>
      <c r="S807" s="73" t="str">
        <f>59788.4*$C819</f>
        <v>0</v>
      </c>
      <c r="T807" s="72">
        <v>2576</v>
      </c>
      <c r="U807" s="73" t="str">
        <f>40108*$C819</f>
        <v>0</v>
      </c>
      <c r="V807" s="72">
        <v>5760</v>
      </c>
      <c r="W807" s="73" t="str">
        <f>89683.2*$C819</f>
        <v>0</v>
      </c>
      <c r="X807" s="72">
        <v>2880</v>
      </c>
      <c r="Y807" s="73" t="str">
        <f>44841.6*$C819</f>
        <v>0</v>
      </c>
      <c r="Z807" s="72">
        <v>8</v>
      </c>
      <c r="AA807" s="73" t="str">
        <f>124.56*$C819</f>
        <v>0</v>
      </c>
      <c r="AB807" s="72">
        <v>0</v>
      </c>
      <c r="AC807" s="73">
        <v>0</v>
      </c>
      <c r="AD807" s="72">
        <v>0</v>
      </c>
      <c r="AE807" s="73">
        <v>0</v>
      </c>
      <c r="AF807" s="72">
        <v>0</v>
      </c>
      <c r="AG807" s="88">
        <v>0</v>
      </c>
      <c r="AH807"/>
    </row>
    <row r="808" spans="1:34">
      <c r="B808" s="114">
        <v>789</v>
      </c>
      <c r="C808" s="117">
        <v>51</v>
      </c>
      <c r="D808" s="117"/>
      <c r="E808" s="117" t="s">
        <v>1495</v>
      </c>
      <c r="F808" s="117" t="s">
        <v>1496</v>
      </c>
      <c r="G808" s="117" t="s">
        <v>1510</v>
      </c>
      <c r="H808" s="117" t="s">
        <v>198</v>
      </c>
      <c r="I808" s="120" t="s">
        <v>455</v>
      </c>
      <c r="J808" s="84">
        <v>0</v>
      </c>
      <c r="K808" s="73">
        <v>0</v>
      </c>
      <c r="L808" s="72">
        <v>0</v>
      </c>
      <c r="M808" s="73">
        <v>0</v>
      </c>
      <c r="N808" s="72">
        <v>0</v>
      </c>
      <c r="O808" s="73">
        <v>0</v>
      </c>
      <c r="P808" s="72">
        <v>0</v>
      </c>
      <c r="Q808" s="73">
        <v>0</v>
      </c>
      <c r="R808" s="72">
        <v>16</v>
      </c>
      <c r="S808" s="73" t="str">
        <f>177.44*$C819</f>
        <v>0</v>
      </c>
      <c r="T808" s="72">
        <v>0</v>
      </c>
      <c r="U808" s="73">
        <v>0</v>
      </c>
      <c r="V808" s="72">
        <v>480</v>
      </c>
      <c r="W808" s="73" t="str">
        <f>5323.2*$C819</f>
        <v>0</v>
      </c>
      <c r="X808" s="72">
        <v>480</v>
      </c>
      <c r="Y808" s="73" t="str">
        <f>5323.2*$C819</f>
        <v>0</v>
      </c>
      <c r="Z808" s="72">
        <v>0</v>
      </c>
      <c r="AA808" s="73">
        <v>0</v>
      </c>
      <c r="AB808" s="72">
        <v>0</v>
      </c>
      <c r="AC808" s="73">
        <v>0</v>
      </c>
      <c r="AD808" s="72">
        <v>0</v>
      </c>
      <c r="AE808" s="73">
        <v>0</v>
      </c>
      <c r="AF808" s="72">
        <v>0</v>
      </c>
      <c r="AG808" s="88">
        <v>0</v>
      </c>
      <c r="AH808"/>
    </row>
    <row r="809" spans="1:34">
      <c r="B809" s="114">
        <v>790</v>
      </c>
      <c r="C809" s="117">
        <v>51</v>
      </c>
      <c r="D809" s="117"/>
      <c r="E809" s="117" t="s">
        <v>1495</v>
      </c>
      <c r="F809" s="117" t="s">
        <v>1496</v>
      </c>
      <c r="G809" s="117" t="s">
        <v>1505</v>
      </c>
      <c r="H809" s="117" t="s">
        <v>198</v>
      </c>
      <c r="I809" s="120" t="s">
        <v>623</v>
      </c>
      <c r="J809" s="84">
        <v>0</v>
      </c>
      <c r="K809" s="73">
        <v>0</v>
      </c>
      <c r="L809" s="72">
        <v>800</v>
      </c>
      <c r="M809" s="73" t="str">
        <f>709336*$C819</f>
        <v>0</v>
      </c>
      <c r="N809" s="72">
        <v>3312</v>
      </c>
      <c r="O809" s="73" t="str">
        <f>35438*$C819</f>
        <v>0</v>
      </c>
      <c r="P809" s="72">
        <v>0</v>
      </c>
      <c r="Q809" s="73">
        <v>0</v>
      </c>
      <c r="R809" s="72">
        <v>960</v>
      </c>
      <c r="S809" s="73" t="str">
        <f>10272*$C819</f>
        <v>0</v>
      </c>
      <c r="T809" s="72">
        <v>1488</v>
      </c>
      <c r="U809" s="73" t="str">
        <f>15921*$C819</f>
        <v>0</v>
      </c>
      <c r="V809" s="72">
        <v>1424</v>
      </c>
      <c r="W809" s="73" t="str">
        <f>15236.8*$C819</f>
        <v>0</v>
      </c>
      <c r="X809" s="72">
        <v>960</v>
      </c>
      <c r="Y809" s="73" t="str">
        <f>10272*$C819</f>
        <v>0</v>
      </c>
      <c r="Z809" s="72">
        <v>0</v>
      </c>
      <c r="AA809" s="73">
        <v>0</v>
      </c>
      <c r="AB809" s="72">
        <v>0</v>
      </c>
      <c r="AC809" s="73">
        <v>0</v>
      </c>
      <c r="AD809" s="72">
        <v>0</v>
      </c>
      <c r="AE809" s="73">
        <v>0</v>
      </c>
      <c r="AF809" s="72">
        <v>0</v>
      </c>
      <c r="AG809" s="88">
        <v>0</v>
      </c>
      <c r="AH809"/>
    </row>
    <row r="810" spans="1:34">
      <c r="B810" s="114">
        <v>791</v>
      </c>
      <c r="C810" s="117">
        <v>51</v>
      </c>
      <c r="D810" s="117"/>
      <c r="E810" s="117" t="s">
        <v>1513</v>
      </c>
      <c r="F810" s="117" t="s">
        <v>1514</v>
      </c>
      <c r="G810" s="117" t="s">
        <v>1512</v>
      </c>
      <c r="H810" s="117" t="s">
        <v>198</v>
      </c>
      <c r="I810" s="120" t="s">
        <v>548</v>
      </c>
      <c r="J810" s="84">
        <v>2128</v>
      </c>
      <c r="K810" s="73">
        <v>749056</v>
      </c>
      <c r="L810" s="72">
        <v>3072</v>
      </c>
      <c r="M810" s="73">
        <v>1081344</v>
      </c>
      <c r="N810" s="72">
        <v>4992</v>
      </c>
      <c r="O810" s="73">
        <v>1757184</v>
      </c>
      <c r="P810" s="72">
        <v>1920</v>
      </c>
      <c r="Q810" s="73">
        <v>675840</v>
      </c>
      <c r="R810" s="72">
        <v>3840</v>
      </c>
      <c r="S810" s="73">
        <v>1351680</v>
      </c>
      <c r="T810" s="72">
        <v>2688</v>
      </c>
      <c r="U810" s="73">
        <v>946176</v>
      </c>
      <c r="V810" s="72">
        <v>3072</v>
      </c>
      <c r="W810" s="73">
        <v>1081344</v>
      </c>
      <c r="X810" s="72">
        <v>3840</v>
      </c>
      <c r="Y810" s="73">
        <v>1351680</v>
      </c>
      <c r="Z810" s="72">
        <v>1152</v>
      </c>
      <c r="AA810" s="73">
        <v>405504</v>
      </c>
      <c r="AB810" s="72">
        <v>1536</v>
      </c>
      <c r="AC810" s="73">
        <v>540672</v>
      </c>
      <c r="AD810" s="72">
        <v>0</v>
      </c>
      <c r="AE810" s="73">
        <v>0</v>
      </c>
      <c r="AF810" s="72">
        <v>0</v>
      </c>
      <c r="AG810" s="88">
        <v>0</v>
      </c>
      <c r="AH810"/>
    </row>
    <row r="811" spans="1:34">
      <c r="B811" s="114">
        <v>792</v>
      </c>
      <c r="C811" s="117">
        <v>51</v>
      </c>
      <c r="D811" s="117"/>
      <c r="E811" s="117" t="s">
        <v>1513</v>
      </c>
      <c r="F811" s="117" t="s">
        <v>1514</v>
      </c>
      <c r="G811" s="117" t="s">
        <v>1515</v>
      </c>
      <c r="H811" s="117" t="s">
        <v>198</v>
      </c>
      <c r="I811" s="120" t="s">
        <v>548</v>
      </c>
      <c r="J811" s="84">
        <v>384</v>
      </c>
      <c r="K811" s="73">
        <v>187392</v>
      </c>
      <c r="L811" s="72">
        <v>384</v>
      </c>
      <c r="M811" s="73">
        <v>187392</v>
      </c>
      <c r="N811" s="72">
        <v>720</v>
      </c>
      <c r="O811" s="73">
        <v>351360</v>
      </c>
      <c r="P811" s="72">
        <v>0</v>
      </c>
      <c r="Q811" s="73">
        <v>0</v>
      </c>
      <c r="R811" s="72">
        <v>192</v>
      </c>
      <c r="S811" s="73">
        <v>93696</v>
      </c>
      <c r="T811" s="72">
        <v>576</v>
      </c>
      <c r="U811" s="73">
        <v>281088</v>
      </c>
      <c r="V811" s="72">
        <v>480</v>
      </c>
      <c r="W811" s="73">
        <v>234240</v>
      </c>
      <c r="X811" s="72">
        <v>192</v>
      </c>
      <c r="Y811" s="73">
        <v>93696</v>
      </c>
      <c r="Z811" s="72">
        <v>0</v>
      </c>
      <c r="AA811" s="73">
        <v>0</v>
      </c>
      <c r="AB811" s="72">
        <v>192</v>
      </c>
      <c r="AC811" s="73">
        <v>93696</v>
      </c>
      <c r="AD811" s="72">
        <v>0</v>
      </c>
      <c r="AE811" s="73">
        <v>0</v>
      </c>
      <c r="AF811" s="72">
        <v>0</v>
      </c>
      <c r="AG811" s="88">
        <v>0</v>
      </c>
      <c r="AH811"/>
    </row>
    <row r="812" spans="1:34">
      <c r="B812" s="114">
        <v>793</v>
      </c>
      <c r="C812" s="117">
        <v>51</v>
      </c>
      <c r="D812" s="117"/>
      <c r="E812" s="117" t="s">
        <v>1513</v>
      </c>
      <c r="F812" s="117" t="s">
        <v>1514</v>
      </c>
      <c r="G812" s="117" t="s">
        <v>1508</v>
      </c>
      <c r="H812" s="117" t="s">
        <v>198</v>
      </c>
      <c r="I812" s="120" t="s">
        <v>548</v>
      </c>
      <c r="J812" s="84">
        <v>816</v>
      </c>
      <c r="K812" s="73">
        <v>373728</v>
      </c>
      <c r="L812" s="72">
        <v>4992</v>
      </c>
      <c r="M812" s="73">
        <v>2286336</v>
      </c>
      <c r="N812" s="72">
        <v>384</v>
      </c>
      <c r="O812" s="73">
        <v>175872</v>
      </c>
      <c r="P812" s="72">
        <v>5760</v>
      </c>
      <c r="Q812" s="73">
        <v>2638080</v>
      </c>
      <c r="R812" s="72">
        <v>15408</v>
      </c>
      <c r="S812" s="73">
        <v>7056864</v>
      </c>
      <c r="T812" s="72">
        <v>5376</v>
      </c>
      <c r="U812" s="73">
        <v>2462208</v>
      </c>
      <c r="V812" s="72">
        <v>6528</v>
      </c>
      <c r="W812" s="73">
        <v>2989824</v>
      </c>
      <c r="X812" s="72">
        <v>7296</v>
      </c>
      <c r="Y812" s="73">
        <v>3341568</v>
      </c>
      <c r="Z812" s="72">
        <v>3072</v>
      </c>
      <c r="AA812" s="73">
        <v>1406976</v>
      </c>
      <c r="AB812" s="72">
        <v>3456</v>
      </c>
      <c r="AC812" s="73">
        <v>1582848</v>
      </c>
      <c r="AD812" s="72">
        <v>0</v>
      </c>
      <c r="AE812" s="73">
        <v>0</v>
      </c>
      <c r="AF812" s="72">
        <v>0</v>
      </c>
      <c r="AG812" s="88">
        <v>0</v>
      </c>
      <c r="AH812"/>
    </row>
    <row r="813" spans="1:34">
      <c r="B813" s="114">
        <v>794</v>
      </c>
      <c r="C813" s="117">
        <v>51</v>
      </c>
      <c r="D813" s="117"/>
      <c r="E813" s="117" t="s">
        <v>1513</v>
      </c>
      <c r="F813" s="117" t="s">
        <v>1514</v>
      </c>
      <c r="G813" s="117" t="s">
        <v>1516</v>
      </c>
      <c r="H813" s="117" t="s">
        <v>198</v>
      </c>
      <c r="I813" s="120" t="s">
        <v>548</v>
      </c>
      <c r="J813" s="84">
        <v>0</v>
      </c>
      <c r="K813" s="73">
        <v>0</v>
      </c>
      <c r="L813" s="72">
        <v>768</v>
      </c>
      <c r="M813" s="73">
        <v>288768</v>
      </c>
      <c r="N813" s="72">
        <v>384</v>
      </c>
      <c r="O813" s="73">
        <v>144384</v>
      </c>
      <c r="P813" s="72">
        <v>240</v>
      </c>
      <c r="Q813" s="73">
        <v>90240</v>
      </c>
      <c r="R813" s="72">
        <v>0</v>
      </c>
      <c r="S813" s="73">
        <v>0</v>
      </c>
      <c r="T813" s="72">
        <v>432</v>
      </c>
      <c r="U813" s="73">
        <v>162432</v>
      </c>
      <c r="V813" s="72">
        <v>512</v>
      </c>
      <c r="W813" s="73">
        <v>192512</v>
      </c>
      <c r="X813" s="72">
        <v>192</v>
      </c>
      <c r="Y813" s="73">
        <v>72192</v>
      </c>
      <c r="Z813" s="72">
        <v>0</v>
      </c>
      <c r="AA813" s="73">
        <v>0</v>
      </c>
      <c r="AB813" s="72">
        <v>0</v>
      </c>
      <c r="AC813" s="73">
        <v>0</v>
      </c>
      <c r="AD813" s="72">
        <v>0</v>
      </c>
      <c r="AE813" s="73">
        <v>0</v>
      </c>
      <c r="AF813" s="72">
        <v>0</v>
      </c>
      <c r="AG813" s="88">
        <v>0</v>
      </c>
      <c r="AH813"/>
    </row>
    <row r="814" spans="1:34">
      <c r="B814" s="3"/>
      <c r="C814" s="5"/>
      <c r="D814" s="5"/>
      <c r="E814" s="5"/>
      <c r="F814" s="5"/>
      <c r="G814" s="5"/>
      <c r="H814" s="5"/>
      <c r="I814" s="8"/>
      <c r="J814" s="3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8"/>
      <c r="AH814"/>
    </row>
    <row r="816" spans="1:34">
      <c r="B816" s="90" t="s">
        <v>1517</v>
      </c>
      <c r="C816" s="32"/>
      <c r="D816" s="32"/>
    </row>
    <row r="817" spans="1:34" hidden="true" collapsed="true" outlineLevel="1">
      <c r="B817" s="9" t="s">
        <v>1518</v>
      </c>
      <c r="C817" s="9">
        <v>32.9601</v>
      </c>
      <c r="D817" s="9"/>
    </row>
    <row r="818" spans="1:34" hidden="true" collapsed="true" outlineLevel="1">
      <c r="B818" s="9" t="s">
        <v>1519</v>
      </c>
      <c r="C818" s="9">
        <v>37.5662</v>
      </c>
      <c r="D818" s="9"/>
    </row>
    <row r="819" spans="1:34" hidden="true" collapsed="true" outlineLevel="1">
      <c r="B819" s="9" t="s">
        <v>1520</v>
      </c>
      <c r="C819" s="9">
        <v>0.29</v>
      </c>
      <c r="D819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9:AG19"/>
  <mergeCells>
    <mergeCell ref="B17:B18"/>
    <mergeCell ref="C17:C18"/>
    <mergeCell ref="D17:D18"/>
    <mergeCell ref="E17:E18"/>
    <mergeCell ref="F17:F18"/>
    <mergeCell ref="G17:G18"/>
    <mergeCell ref="H17:H18"/>
    <mergeCell ref="I17:I18"/>
    <mergeCell ref="J17:K17"/>
    <mergeCell ref="L17:M17"/>
    <mergeCell ref="N17:O17"/>
    <mergeCell ref="P17:Q17"/>
    <mergeCell ref="R17:S17"/>
    <mergeCell ref="T17:U17"/>
    <mergeCell ref="V17:W17"/>
    <mergeCell ref="X17:Y17"/>
    <mergeCell ref="Z17:AA17"/>
    <mergeCell ref="AB17:AC17"/>
    <mergeCell ref="AD17:AE17"/>
    <mergeCell ref="AF17:AG17"/>
    <mergeCell ref="B5:F6"/>
    <mergeCell ref="B7:F8"/>
    <mergeCell ref="AH2:AH5"/>
    <mergeCell ref="AH6:AH16"/>
    <mergeCell ref="AH20:AH814"/>
    <mergeCell ref="B816:D816"/>
    <mergeCell ref="C817:D817"/>
    <mergeCell ref="C818:D818"/>
    <mergeCell ref="C819:D81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Receive monthly of Nov18</vt:lpstr>
      <vt:lpstr>History Receive last 12 month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2018-12-27T11:17:02+00:00</dcterms:created>
  <dcterms:modified xsi:type="dcterms:W3CDTF">2018-12-27T11:17:02+00:00</dcterms:modified>
  <dc:title>Untitled Spreadsheet</dc:title>
  <dc:description/>
  <dc:subject/>
  <cp:keywords/>
  <cp:category/>
</cp:coreProperties>
</file>