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  <font>
      <name val="Arial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05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width="7" customWidth="1" min="16" max="16"/>
    <col width="105" customWidth="1" min="17" max="17"/>
    <col width="15" customWidth="1" min="18" max="18"/>
    <col width="15" customWidth="1" min="19" max="19"/>
    <col width="13" customWidth="1" min="20" max="20"/>
    <col width="15" customWidth="1" min="21" max="21"/>
    <col width="12" customWidth="1" min="22" max="22"/>
    <col width="30" customWidth="1" min="23" max="23"/>
  </cols>
  <sheetData>
    <row r="1" ht="25" customHeight="1">
      <c r="A1">
        <f>"GPA1."</f>
        <v/>
      </c>
      <c r="Q1" s="1">
        <f>"Протокол проверки защит ГПА3 на  "</f>
        <v/>
      </c>
      <c r="R1" s="2">
        <f>NOW()</f>
        <v/>
      </c>
      <c r="S1" s="3">
        <f>NOW()</f>
        <v/>
      </c>
    </row>
    <row r="2">
      <c r="A2">
        <f>"Получение данных с OPC UA@"</f>
        <v/>
      </c>
      <c r="B2">
        <f>".TRDELAY;1"</f>
        <v/>
      </c>
      <c r="C2">
        <f>".TDELAY;1"</f>
        <v/>
      </c>
      <c r="D2">
        <f>".SETPOINT;1"</f>
        <v/>
      </c>
      <c r="E2">
        <f>".VALUE;1"</f>
        <v/>
      </c>
      <c r="F2">
        <f>".VALUE.5501;1"</f>
        <v/>
      </c>
      <c r="G2">
        <f>".VALUE.100;1"</f>
        <v/>
      </c>
      <c r="H2">
        <f>".BLOCKED;1"</f>
        <v/>
      </c>
      <c r="I2">
        <f>".CHECK;1"</f>
        <v/>
      </c>
      <c r="J2">
        <f>".CHECKVALUE;1"</f>
        <v/>
      </c>
    </row>
    <row r="3" ht="20" customHeight="1">
      <c r="B3">
        <f>"Таймер"</f>
        <v/>
      </c>
      <c r="C3">
        <f>"Задержка"</f>
        <v/>
      </c>
      <c r="D3">
        <f>"Уставка"</f>
        <v/>
      </c>
      <c r="E3">
        <f>"Значение"</f>
        <v/>
      </c>
      <c r="F3">
        <f>"Название"</f>
        <v/>
      </c>
      <c r="G3">
        <f>"ед.измерения"</f>
        <v/>
      </c>
      <c r="P3" s="4">
        <f>"№"</f>
        <v/>
      </c>
      <c r="Q3" s="4">
        <f>"Наименование защиты  "</f>
        <v/>
      </c>
      <c r="R3" s="4">
        <f>"Таймер"</f>
        <v/>
      </c>
      <c r="S3" s="4">
        <f>"Задержка"</f>
        <v/>
      </c>
      <c r="T3" s="4">
        <f>"Уставка"</f>
        <v/>
      </c>
      <c r="U3" s="4">
        <f>"Значение"</f>
        <v/>
      </c>
      <c r="V3" s="4">
        <f>"Eд.изм"</f>
        <v/>
      </c>
      <c r="W3" s="4">
        <f>"Отметка о проверке"</f>
        <v/>
      </c>
    </row>
    <row r="4" ht="20" customHeight="1">
      <c r="A4">
        <f>"System.PZ.A000"</f>
        <v/>
      </c>
      <c r="B4">
        <f>CONCATENATE($A$2, $A$1, $A4, B$2)</f>
        <v/>
      </c>
      <c r="C4">
        <f>CONCATENATE($A$2, $A$1, $A4, C$2)</f>
        <v/>
      </c>
      <c r="D4">
        <f>CONCATENATE($A$2, $A$1, $A4, D$2)</f>
        <v/>
      </c>
      <c r="E4">
        <f>CONCATENATE($A$2, $A$1, $A4, E$2)</f>
        <v/>
      </c>
      <c r="F4">
        <f>CONCATENATE($A$2, $A$1, $A4, F$2)</f>
        <v/>
      </c>
      <c r="G4">
        <f>CONCATENATE($A$2, $A$1, $A4, G$2)</f>
        <v/>
      </c>
      <c r="H4">
        <f>CONCATENATE($A$2, $A$1, $A4, H$2)</f>
        <v/>
      </c>
      <c r="I4">
        <f>CONCATENATE($A$2, $A$1, $A4, I$2)</f>
        <v/>
      </c>
      <c r="J4">
        <f>CONCATENATE($A$2, $A$1, $A4, J$2)</f>
        <v/>
      </c>
      <c r="K4">
        <f>CurrAttrValue(D4, 0)</f>
        <v/>
      </c>
      <c r="L4">
        <f>CurrAttrValue(E4, 0)</f>
        <v/>
      </c>
      <c r="M4">
        <f>CurrAttrValue(H4, 0)</f>
        <v/>
      </c>
      <c r="N4">
        <f>CurrAttrValue(I4, 0)</f>
        <v/>
      </c>
      <c r="O4">
        <f>CurrAttrValue(J4, 0)</f>
        <v/>
      </c>
      <c r="P4" s="5">
        <f>"1"</f>
        <v/>
      </c>
      <c r="Q4" s="6">
        <f>"АОсс. Высокая частота вращения ротора КВД  "</f>
        <v/>
      </c>
      <c r="R4" s="7">
        <f>IF(N4, S4, "")</f>
        <v/>
      </c>
      <c r="S4" s="7">
        <f>CurrAttrValue(C4, 0)</f>
        <v/>
      </c>
      <c r="T4" s="5">
        <f>IF(K4=-200, "д.вх.", K4)</f>
        <v/>
      </c>
      <c r="U4" s="5">
        <f>IF(L4=-200, "д.вх.", IF(N4, O4, L4))</f>
        <v/>
      </c>
      <c r="V4" s="5">
        <f>CurrAttrValue(G4, 0)</f>
        <v/>
      </c>
      <c r="W4" s="5">
        <f>IF(M4, "Блокирована", IF(N4, "Проверено", "-"))</f>
        <v/>
      </c>
    </row>
    <row r="5" ht="20" customHeight="1">
      <c r="A5">
        <f>"System.PZ.A001"</f>
        <v/>
      </c>
      <c r="B5">
        <f>CONCATENATE($A$2, $A$1, $A5, B$2)</f>
        <v/>
      </c>
      <c r="C5">
        <f>CONCATENATE($A$2, $A$1, $A5, C$2)</f>
        <v/>
      </c>
      <c r="D5">
        <f>CONCATENATE($A$2, $A$1, $A5, D$2)</f>
        <v/>
      </c>
      <c r="E5">
        <f>CONCATENATE($A$2, $A$1, $A5, E$2)</f>
        <v/>
      </c>
      <c r="F5">
        <f>CONCATENATE($A$2, $A$1, $A5, F$2)</f>
        <v/>
      </c>
      <c r="G5">
        <f>CONCATENATE($A$2, $A$1, $A5, G$2)</f>
        <v/>
      </c>
      <c r="H5">
        <f>CONCATENATE($A$2, $A$1, $A5, H$2)</f>
        <v/>
      </c>
      <c r="I5">
        <f>CONCATENATE($A$2, $A$1, $A5, I$2)</f>
        <v/>
      </c>
      <c r="J5">
        <f>CONCATENATE($A$2, $A$1, $A5, J$2)</f>
        <v/>
      </c>
      <c r="K5">
        <f>CurrAttrValue(D5, 0)</f>
        <v/>
      </c>
      <c r="L5">
        <f>CurrAttrValue(E5, 0)</f>
        <v/>
      </c>
      <c r="M5">
        <f>CurrAttrValue(H5, 0)</f>
        <v/>
      </c>
      <c r="N5">
        <f>CurrAttrValue(I5, 0)</f>
        <v/>
      </c>
      <c r="O5">
        <f>CurrAttrValue(J5, 0)</f>
        <v/>
      </c>
      <c r="P5" s="5">
        <f>"2"</f>
        <v/>
      </c>
      <c r="Q5" s="6">
        <f>"АОсс. Аварийно-высокая частота вращения ротора КВД  "</f>
        <v/>
      </c>
      <c r="R5" s="7">
        <f>IF(N5, S5, "")</f>
        <v/>
      </c>
      <c r="S5" s="7">
        <f>CurrAttrValue(C5, 0)</f>
        <v/>
      </c>
      <c r="T5" s="5">
        <f>IF(K5=-200, "д.вх.", K5)</f>
        <v/>
      </c>
      <c r="U5" s="5">
        <f>IF(L5=-200, "д.вх.", IF(N5, O5, L5))</f>
        <v/>
      </c>
      <c r="V5" s="5">
        <f>CurrAttrValue(G5, 0)</f>
        <v/>
      </c>
      <c r="W5" s="5">
        <f>IF(M5, "Блокирована", IF(N5, "Проверено", "-"))</f>
        <v/>
      </c>
    </row>
    <row r="6" ht="20" customHeight="1">
      <c r="A6">
        <f>"System.PZ.A002"</f>
        <v/>
      </c>
      <c r="B6">
        <f>CONCATENATE($A$2, $A$1, $A6, B$2)</f>
        <v/>
      </c>
      <c r="C6">
        <f>CONCATENATE($A$2, $A$1, $A6, C$2)</f>
        <v/>
      </c>
      <c r="D6">
        <f>CONCATENATE($A$2, $A$1, $A6, D$2)</f>
        <v/>
      </c>
      <c r="E6">
        <f>CONCATENATE($A$2, $A$1, $A6, E$2)</f>
        <v/>
      </c>
      <c r="F6">
        <f>CONCATENATE($A$2, $A$1, $A6, F$2)</f>
        <v/>
      </c>
      <c r="G6">
        <f>CONCATENATE($A$2, $A$1, $A6, G$2)</f>
        <v/>
      </c>
      <c r="H6">
        <f>CONCATENATE($A$2, $A$1, $A6, H$2)</f>
        <v/>
      </c>
      <c r="I6">
        <f>CONCATENATE($A$2, $A$1, $A6, I$2)</f>
        <v/>
      </c>
      <c r="J6">
        <f>CONCATENATE($A$2, $A$1, $A6, J$2)</f>
        <v/>
      </c>
      <c r="K6">
        <f>CurrAttrValue(D6, 0)</f>
        <v/>
      </c>
      <c r="L6">
        <f>CurrAttrValue(E6, 0)</f>
        <v/>
      </c>
      <c r="M6">
        <f>CurrAttrValue(H6, 0)</f>
        <v/>
      </c>
      <c r="N6">
        <f>CurrAttrValue(I6, 0)</f>
        <v/>
      </c>
      <c r="O6">
        <f>CurrAttrValue(J6, 0)</f>
        <v/>
      </c>
      <c r="P6" s="5">
        <f>"3"</f>
        <v/>
      </c>
      <c r="Q6" s="6">
        <f>"АОбс. Высокое рассогласование оборотов КВД  "</f>
        <v/>
      </c>
      <c r="R6" s="7">
        <f>IF(N6, S6, "")</f>
        <v/>
      </c>
      <c r="S6" s="7">
        <f>CurrAttrValue(C6, 0)</f>
        <v/>
      </c>
      <c r="T6" s="5">
        <f>IF(K6=-200, "д.вх.", K6)</f>
        <v/>
      </c>
      <c r="U6" s="5">
        <f>IF(L6=-200, "д.вх.", IF(N6, O6, L6))</f>
        <v/>
      </c>
      <c r="V6" s="5">
        <f>CurrAttrValue(G6, 0)</f>
        <v/>
      </c>
      <c r="W6" s="5">
        <f>IF(M6, "Блокирована", IF(N6, "Проверено", "-"))</f>
        <v/>
      </c>
    </row>
    <row r="7" ht="20" customHeight="1">
      <c r="A7">
        <f>"System.PZ.A003"</f>
        <v/>
      </c>
      <c r="B7">
        <f>CONCATENATE($A$2, $A$1, $A7, B$2)</f>
        <v/>
      </c>
      <c r="C7">
        <f>CONCATENATE($A$2, $A$1, $A7, C$2)</f>
        <v/>
      </c>
      <c r="D7">
        <f>CONCATENATE($A$2, $A$1, $A7, D$2)</f>
        <v/>
      </c>
      <c r="E7">
        <f>CONCATENATE($A$2, $A$1, $A7, E$2)</f>
        <v/>
      </c>
      <c r="F7">
        <f>CONCATENATE($A$2, $A$1, $A7, F$2)</f>
        <v/>
      </c>
      <c r="G7">
        <f>CONCATENATE($A$2, $A$1, $A7, G$2)</f>
        <v/>
      </c>
      <c r="H7">
        <f>CONCATENATE($A$2, $A$1, $A7, H$2)</f>
        <v/>
      </c>
      <c r="I7">
        <f>CONCATENATE($A$2, $A$1, $A7, I$2)</f>
        <v/>
      </c>
      <c r="J7">
        <f>CONCATENATE($A$2, $A$1, $A7, J$2)</f>
        <v/>
      </c>
      <c r="K7">
        <f>CurrAttrValue(D7, 0)</f>
        <v/>
      </c>
      <c r="L7">
        <f>CurrAttrValue(E7, 0)</f>
        <v/>
      </c>
      <c r="M7">
        <f>CurrAttrValue(H7, 0)</f>
        <v/>
      </c>
      <c r="N7">
        <f>CurrAttrValue(I7, 0)</f>
        <v/>
      </c>
      <c r="O7">
        <f>CurrAttrValue(J7, 0)</f>
        <v/>
      </c>
      <c r="P7" s="5">
        <f>"4"</f>
        <v/>
      </c>
      <c r="Q7" s="6">
        <f>"АОсс. Аварийно-низкая частота вращения ротора КВД  "</f>
        <v/>
      </c>
      <c r="R7" s="7">
        <f>IF(N7, S7, "")</f>
        <v/>
      </c>
      <c r="S7" s="7">
        <f>CurrAttrValue(C7, 0)</f>
        <v/>
      </c>
      <c r="T7" s="5">
        <f>IF(K7=-200, "д.вх.", K7)</f>
        <v/>
      </c>
      <c r="U7" s="5">
        <f>IF(L7=-200, "д.вх.", IF(N7, O7, L7))</f>
        <v/>
      </c>
      <c r="V7" s="5">
        <f>CurrAttrValue(G7, 0)</f>
        <v/>
      </c>
      <c r="W7" s="5">
        <f>IF(M7, "Блокирована", IF(N7, "Проверено", "-"))</f>
        <v/>
      </c>
    </row>
    <row r="8" ht="20" customHeight="1">
      <c r="A8">
        <f>"System.PZ.A004"</f>
        <v/>
      </c>
      <c r="B8">
        <f>CONCATENATE($A$2, $A$1, $A8, B$2)</f>
        <v/>
      </c>
      <c r="C8">
        <f>CONCATENATE($A$2, $A$1, $A8, C$2)</f>
        <v/>
      </c>
      <c r="D8">
        <f>CONCATENATE($A$2, $A$1, $A8, D$2)</f>
        <v/>
      </c>
      <c r="E8">
        <f>CONCATENATE($A$2, $A$1, $A8, E$2)</f>
        <v/>
      </c>
      <c r="F8">
        <f>CONCATENATE($A$2, $A$1, $A8, F$2)</f>
        <v/>
      </c>
      <c r="G8">
        <f>CONCATENATE($A$2, $A$1, $A8, G$2)</f>
        <v/>
      </c>
      <c r="H8">
        <f>CONCATENATE($A$2, $A$1, $A8, H$2)</f>
        <v/>
      </c>
      <c r="I8">
        <f>CONCATENATE($A$2, $A$1, $A8, I$2)</f>
        <v/>
      </c>
      <c r="J8">
        <f>CONCATENATE($A$2, $A$1, $A8, J$2)</f>
        <v/>
      </c>
      <c r="K8">
        <f>CurrAttrValue(D8, 0)</f>
        <v/>
      </c>
      <c r="L8">
        <f>CurrAttrValue(E8, 0)</f>
        <v/>
      </c>
      <c r="M8">
        <f>CurrAttrValue(H8, 0)</f>
        <v/>
      </c>
      <c r="N8">
        <f>CurrAttrValue(I8, 0)</f>
        <v/>
      </c>
      <c r="O8">
        <f>CurrAttrValue(J8, 0)</f>
        <v/>
      </c>
      <c r="P8" s="5">
        <f>"5"</f>
        <v/>
      </c>
      <c r="Q8" s="6">
        <f>"АОбс. Отказ всех каналов измерения Nквд  "</f>
        <v/>
      </c>
      <c r="R8" s="7">
        <f>IF(N8, S8, "")</f>
        <v/>
      </c>
      <c r="S8" s="7">
        <f>CurrAttrValue(C8, 0)</f>
        <v/>
      </c>
      <c r="T8" s="5">
        <f>IF(K8=-200, "д.вх.", K8)</f>
        <v/>
      </c>
      <c r="U8" s="5">
        <f>IF(L8=-200, "д.вх.", IF(N8, O8, L8))</f>
        <v/>
      </c>
      <c r="V8" s="5">
        <f>CurrAttrValue(G8, 0)</f>
        <v/>
      </c>
      <c r="W8" s="5">
        <f>IF(M8, "Блокирована", IF(N8, "Проверено", "-"))</f>
        <v/>
      </c>
    </row>
    <row r="9" ht="20" customHeight="1">
      <c r="A9">
        <f>"System.PZ.A005"</f>
        <v/>
      </c>
      <c r="B9">
        <f>CONCATENATE($A$2, $A$1, $A9, B$2)</f>
        <v/>
      </c>
      <c r="C9">
        <f>CONCATENATE($A$2, $A$1, $A9, C$2)</f>
        <v/>
      </c>
      <c r="D9">
        <f>CONCATENATE($A$2, $A$1, $A9, D$2)</f>
        <v/>
      </c>
      <c r="E9">
        <f>CONCATENATE($A$2, $A$1, $A9, E$2)</f>
        <v/>
      </c>
      <c r="F9">
        <f>CONCATENATE($A$2, $A$1, $A9, F$2)</f>
        <v/>
      </c>
      <c r="G9">
        <f>CONCATENATE($A$2, $A$1, $A9, G$2)</f>
        <v/>
      </c>
      <c r="H9">
        <f>CONCATENATE($A$2, $A$1, $A9, H$2)</f>
        <v/>
      </c>
      <c r="I9">
        <f>CONCATENATE($A$2, $A$1, $A9, I$2)</f>
        <v/>
      </c>
      <c r="J9">
        <f>CONCATENATE($A$2, $A$1, $A9, J$2)</f>
        <v/>
      </c>
      <c r="K9">
        <f>CurrAttrValue(D9, 0)</f>
        <v/>
      </c>
      <c r="L9">
        <f>CurrAttrValue(E9, 0)</f>
        <v/>
      </c>
      <c r="M9">
        <f>CurrAttrValue(H9, 0)</f>
        <v/>
      </c>
      <c r="N9">
        <f>CurrAttrValue(I9, 0)</f>
        <v/>
      </c>
      <c r="O9">
        <f>CurrAttrValue(J9, 0)</f>
        <v/>
      </c>
      <c r="P9" s="5">
        <f>"6"</f>
        <v/>
      </c>
      <c r="Q9" s="6">
        <f>"АОсс. Высокая частота вращения ротора КНД  "</f>
        <v/>
      </c>
      <c r="R9" s="7">
        <f>IF(N9, S9, "")</f>
        <v/>
      </c>
      <c r="S9" s="7">
        <f>CurrAttrValue(C9, 0)</f>
        <v/>
      </c>
      <c r="T9" s="5">
        <f>IF(K9=-200, "д.вх.", K9)</f>
        <v/>
      </c>
      <c r="U9" s="5">
        <f>IF(L9=-200, "д.вх.", IF(N9, O9, L9))</f>
        <v/>
      </c>
      <c r="V9" s="5">
        <f>CurrAttrValue(G9, 0)</f>
        <v/>
      </c>
      <c r="W9" s="5">
        <f>IF(M9, "Блокирована", IF(N9, "Проверено", "-"))</f>
        <v/>
      </c>
    </row>
    <row r="10" ht="20" customHeight="1">
      <c r="A10">
        <f>"System.PZ.A006"</f>
        <v/>
      </c>
      <c r="B10">
        <f>CONCATENATE($A$2, $A$1, $A10, B$2)</f>
        <v/>
      </c>
      <c r="C10">
        <f>CONCATENATE($A$2, $A$1, $A10, C$2)</f>
        <v/>
      </c>
      <c r="D10">
        <f>CONCATENATE($A$2, $A$1, $A10, D$2)</f>
        <v/>
      </c>
      <c r="E10">
        <f>CONCATENATE($A$2, $A$1, $A10, E$2)</f>
        <v/>
      </c>
      <c r="F10">
        <f>CONCATENATE($A$2, $A$1, $A10, F$2)</f>
        <v/>
      </c>
      <c r="G10">
        <f>CONCATENATE($A$2, $A$1, $A10, G$2)</f>
        <v/>
      </c>
      <c r="H10">
        <f>CONCATENATE($A$2, $A$1, $A10, H$2)</f>
        <v/>
      </c>
      <c r="I10">
        <f>CONCATENATE($A$2, $A$1, $A10, I$2)</f>
        <v/>
      </c>
      <c r="J10">
        <f>CONCATENATE($A$2, $A$1, $A10, J$2)</f>
        <v/>
      </c>
      <c r="K10">
        <f>CurrAttrValue(D10, 0)</f>
        <v/>
      </c>
      <c r="L10">
        <f>CurrAttrValue(E10, 0)</f>
        <v/>
      </c>
      <c r="M10">
        <f>CurrAttrValue(H10, 0)</f>
        <v/>
      </c>
      <c r="N10">
        <f>CurrAttrValue(I10, 0)</f>
        <v/>
      </c>
      <c r="O10">
        <f>CurrAttrValue(J10, 0)</f>
        <v/>
      </c>
      <c r="P10" s="5">
        <f>"7"</f>
        <v/>
      </c>
      <c r="Q10" s="6">
        <f>"АОбс. Отказ всех каналов измерения Nкнд  "</f>
        <v/>
      </c>
      <c r="R10" s="7">
        <f>IF(N10, S10, "")</f>
        <v/>
      </c>
      <c r="S10" s="7">
        <f>CurrAttrValue(C10, 0)</f>
        <v/>
      </c>
      <c r="T10" s="5">
        <f>IF(K10=-200, "д.вх.", K10)</f>
        <v/>
      </c>
      <c r="U10" s="5">
        <f>IF(L10=-200, "д.вх.", IF(N10, O10, L10))</f>
        <v/>
      </c>
      <c r="V10" s="5">
        <f>CurrAttrValue(G10, 0)</f>
        <v/>
      </c>
      <c r="W10" s="5">
        <f>IF(M10, "Блокирована", IF(N10, "Проверено", "-"))</f>
        <v/>
      </c>
    </row>
    <row r="11" ht="20" customHeight="1">
      <c r="A11">
        <f>"System.PZ.A007"</f>
        <v/>
      </c>
      <c r="B11">
        <f>CONCATENATE($A$2, $A$1, $A11, B$2)</f>
        <v/>
      </c>
      <c r="C11">
        <f>CONCATENATE($A$2, $A$1, $A11, C$2)</f>
        <v/>
      </c>
      <c r="D11">
        <f>CONCATENATE($A$2, $A$1, $A11, D$2)</f>
        <v/>
      </c>
      <c r="E11">
        <f>CONCATENATE($A$2, $A$1, $A11, E$2)</f>
        <v/>
      </c>
      <c r="F11">
        <f>CONCATENATE($A$2, $A$1, $A11, F$2)</f>
        <v/>
      </c>
      <c r="G11">
        <f>CONCATENATE($A$2, $A$1, $A11, G$2)</f>
        <v/>
      </c>
      <c r="H11">
        <f>CONCATENATE($A$2, $A$1, $A11, H$2)</f>
        <v/>
      </c>
      <c r="I11">
        <f>CONCATENATE($A$2, $A$1, $A11, I$2)</f>
        <v/>
      </c>
      <c r="J11">
        <f>CONCATENATE($A$2, $A$1, $A11, J$2)</f>
        <v/>
      </c>
      <c r="K11">
        <f>CurrAttrValue(D11, 0)</f>
        <v/>
      </c>
      <c r="L11">
        <f>CurrAttrValue(E11, 0)</f>
        <v/>
      </c>
      <c r="M11">
        <f>CurrAttrValue(H11, 0)</f>
        <v/>
      </c>
      <c r="N11">
        <f>CurrAttrValue(I11, 0)</f>
        <v/>
      </c>
      <c r="O11">
        <f>CurrAttrValue(J11, 0)</f>
        <v/>
      </c>
      <c r="P11" s="5">
        <f>"8"</f>
        <v/>
      </c>
      <c r="Q11" s="6">
        <f>"АОбс. Высокое рассогласование оборотов КНД  "</f>
        <v/>
      </c>
      <c r="R11" s="7">
        <f>IF(N11, S11, "")</f>
        <v/>
      </c>
      <c r="S11" s="7">
        <f>CurrAttrValue(C11, 0)</f>
        <v/>
      </c>
      <c r="T11" s="5">
        <f>IF(K11=-200, "д.вх.", K11)</f>
        <v/>
      </c>
      <c r="U11" s="5">
        <f>IF(L11=-200, "д.вх.", IF(N11, O11, L11))</f>
        <v/>
      </c>
      <c r="V11" s="5">
        <f>CurrAttrValue(G11, 0)</f>
        <v/>
      </c>
      <c r="W11" s="5">
        <f>IF(M11, "Блокирована", IF(N11, "Проверено", "-"))</f>
        <v/>
      </c>
    </row>
    <row r="12" ht="20" customHeight="1">
      <c r="A12">
        <f>"System.PZ.A008"</f>
        <v/>
      </c>
      <c r="B12">
        <f>CONCATENATE($A$2, $A$1, $A12, B$2)</f>
        <v/>
      </c>
      <c r="C12">
        <f>CONCATENATE($A$2, $A$1, $A12, C$2)</f>
        <v/>
      </c>
      <c r="D12">
        <f>CONCATENATE($A$2, $A$1, $A12, D$2)</f>
        <v/>
      </c>
      <c r="E12">
        <f>CONCATENATE($A$2, $A$1, $A12, E$2)</f>
        <v/>
      </c>
      <c r="F12">
        <f>CONCATENATE($A$2, $A$1, $A12, F$2)</f>
        <v/>
      </c>
      <c r="G12">
        <f>CONCATENATE($A$2, $A$1, $A12, G$2)</f>
        <v/>
      </c>
      <c r="H12">
        <f>CONCATENATE($A$2, $A$1, $A12, H$2)</f>
        <v/>
      </c>
      <c r="I12">
        <f>CONCATENATE($A$2, $A$1, $A12, I$2)</f>
        <v/>
      </c>
      <c r="J12">
        <f>CONCATENATE($A$2, $A$1, $A12, J$2)</f>
        <v/>
      </c>
      <c r="K12">
        <f>CurrAttrValue(D12, 0)</f>
        <v/>
      </c>
      <c r="L12">
        <f>CurrAttrValue(E12, 0)</f>
        <v/>
      </c>
      <c r="M12">
        <f>CurrAttrValue(H12, 0)</f>
        <v/>
      </c>
      <c r="N12">
        <f>CurrAttrValue(I12, 0)</f>
        <v/>
      </c>
      <c r="O12">
        <f>CurrAttrValue(J12, 0)</f>
        <v/>
      </c>
      <c r="P12" s="5">
        <f>"9"</f>
        <v/>
      </c>
      <c r="Q12" s="6">
        <f>"АОсс. Аварийный останов от БЗД  "</f>
        <v/>
      </c>
      <c r="R12" s="7">
        <f>IF(N12, S12, "")</f>
        <v/>
      </c>
      <c r="S12" s="7">
        <f>CurrAttrValue(C12, 0)</f>
        <v/>
      </c>
      <c r="T12" s="5">
        <f>IF(K12=-200, "д.вх.", K12)</f>
        <v/>
      </c>
      <c r="U12" s="5">
        <f>IF(L12=-200, "д.вх.", IF(N12, O12, L12))</f>
        <v/>
      </c>
      <c r="V12" s="5">
        <f>CurrAttrValue(G12, 0)</f>
        <v/>
      </c>
      <c r="W12" s="5">
        <f>IF(M12, "Блокирована", IF(N12, "Проверено", "-"))</f>
        <v/>
      </c>
    </row>
    <row r="13" ht="20" customHeight="1">
      <c r="A13">
        <f>"System.PZ.A009"</f>
        <v/>
      </c>
      <c r="B13">
        <f>CONCATENATE($A$2, $A$1, $A13, B$2)</f>
        <v/>
      </c>
      <c r="C13">
        <f>CONCATENATE($A$2, $A$1, $A13, C$2)</f>
        <v/>
      </c>
      <c r="D13">
        <f>CONCATENATE($A$2, $A$1, $A13, D$2)</f>
        <v/>
      </c>
      <c r="E13">
        <f>CONCATENATE($A$2, $A$1, $A13, E$2)</f>
        <v/>
      </c>
      <c r="F13">
        <f>CONCATENATE($A$2, $A$1, $A13, F$2)</f>
        <v/>
      </c>
      <c r="G13">
        <f>CONCATENATE($A$2, $A$1, $A13, G$2)</f>
        <v/>
      </c>
      <c r="H13">
        <f>CONCATENATE($A$2, $A$1, $A13, H$2)</f>
        <v/>
      </c>
      <c r="I13">
        <f>CONCATENATE($A$2, $A$1, $A13, I$2)</f>
        <v/>
      </c>
      <c r="J13">
        <f>CONCATENATE($A$2, $A$1, $A13, J$2)</f>
        <v/>
      </c>
      <c r="K13">
        <f>CurrAttrValue(D13, 0)</f>
        <v/>
      </c>
      <c r="L13">
        <f>CurrAttrValue(E13, 0)</f>
        <v/>
      </c>
      <c r="M13">
        <f>CurrAttrValue(H13, 0)</f>
        <v/>
      </c>
      <c r="N13">
        <f>CurrAttrValue(I13, 0)</f>
        <v/>
      </c>
      <c r="O13">
        <f>CurrAttrValue(J13, 0)</f>
        <v/>
      </c>
      <c r="P13" s="5">
        <f>"10"</f>
        <v/>
      </c>
      <c r="Q13" s="6">
        <f>"АОсс. Раскрутка ротора СТ  "</f>
        <v/>
      </c>
      <c r="R13" s="7">
        <f>IF(N13, S13, "")</f>
        <v/>
      </c>
      <c r="S13" s="7">
        <f>CurrAttrValue(C13, 0)</f>
        <v/>
      </c>
      <c r="T13" s="5">
        <f>IF(K13=-200, "д.вх.", K13)</f>
        <v/>
      </c>
      <c r="U13" s="5">
        <f>IF(L13=-200, "д.вх.", IF(N13, O13, L13))</f>
        <v/>
      </c>
      <c r="V13" s="5">
        <f>CurrAttrValue(G13, 0)</f>
        <v/>
      </c>
      <c r="W13" s="5">
        <f>IF(M13, "Блокирована", IF(N13, "Проверено", "-"))</f>
        <v/>
      </c>
    </row>
    <row r="14" ht="20" customHeight="1">
      <c r="A14">
        <f>"System.PZ.A010"</f>
        <v/>
      </c>
      <c r="B14">
        <f>CONCATENATE($A$2, $A$1, $A14, B$2)</f>
        <v/>
      </c>
      <c r="C14">
        <f>CONCATENATE($A$2, $A$1, $A14, C$2)</f>
        <v/>
      </c>
      <c r="D14">
        <f>CONCATENATE($A$2, $A$1, $A14, D$2)</f>
        <v/>
      </c>
      <c r="E14">
        <f>CONCATENATE($A$2, $A$1, $A14, E$2)</f>
        <v/>
      </c>
      <c r="F14">
        <f>CONCATENATE($A$2, $A$1, $A14, F$2)</f>
        <v/>
      </c>
      <c r="G14">
        <f>CONCATENATE($A$2, $A$1, $A14, G$2)</f>
        <v/>
      </c>
      <c r="H14">
        <f>CONCATENATE($A$2, $A$1, $A14, H$2)</f>
        <v/>
      </c>
      <c r="I14">
        <f>CONCATENATE($A$2, $A$1, $A14, I$2)</f>
        <v/>
      </c>
      <c r="J14">
        <f>CONCATENATE($A$2, $A$1, $A14, J$2)</f>
        <v/>
      </c>
      <c r="K14">
        <f>CurrAttrValue(D14, 0)</f>
        <v/>
      </c>
      <c r="L14">
        <f>CurrAttrValue(E14, 0)</f>
        <v/>
      </c>
      <c r="M14">
        <f>CurrAttrValue(H14, 0)</f>
        <v/>
      </c>
      <c r="N14">
        <f>CurrAttrValue(I14, 0)</f>
        <v/>
      </c>
      <c r="O14">
        <f>CurrAttrValue(J14, 0)</f>
        <v/>
      </c>
      <c r="P14" s="5">
        <f>"11"</f>
        <v/>
      </c>
      <c r="Q14" s="6">
        <f>"АОсс. Аварийно-высокая частота вращения ротора СТ  "</f>
        <v/>
      </c>
      <c r="R14" s="7">
        <f>IF(N14, S14, "")</f>
        <v/>
      </c>
      <c r="S14" s="7">
        <f>CurrAttrValue(C14, 0)</f>
        <v/>
      </c>
      <c r="T14" s="5">
        <f>IF(K14=-200, "д.вх.", K14)</f>
        <v/>
      </c>
      <c r="U14" s="5">
        <f>IF(L14=-200, "д.вх.", IF(N14, O14, L14))</f>
        <v/>
      </c>
      <c r="V14" s="5">
        <f>CurrAttrValue(G14, 0)</f>
        <v/>
      </c>
      <c r="W14" s="5">
        <f>IF(M14, "Блокирована", IF(N14, "Проверено", "-"))</f>
        <v/>
      </c>
    </row>
    <row r="15" ht="20" customHeight="1">
      <c r="A15">
        <f>"System.PZ.A011"</f>
        <v/>
      </c>
      <c r="B15">
        <f>CONCATENATE($A$2, $A$1, $A15, B$2)</f>
        <v/>
      </c>
      <c r="C15">
        <f>CONCATENATE($A$2, $A$1, $A15, C$2)</f>
        <v/>
      </c>
      <c r="D15">
        <f>CONCATENATE($A$2, $A$1, $A15, D$2)</f>
        <v/>
      </c>
      <c r="E15">
        <f>CONCATENATE($A$2, $A$1, $A15, E$2)</f>
        <v/>
      </c>
      <c r="F15">
        <f>CONCATENATE($A$2, $A$1, $A15, F$2)</f>
        <v/>
      </c>
      <c r="G15">
        <f>CONCATENATE($A$2, $A$1, $A15, G$2)</f>
        <v/>
      </c>
      <c r="H15">
        <f>CONCATENATE($A$2, $A$1, $A15, H$2)</f>
        <v/>
      </c>
      <c r="I15">
        <f>CONCATENATE($A$2, $A$1, $A15, I$2)</f>
        <v/>
      </c>
      <c r="J15">
        <f>CONCATENATE($A$2, $A$1, $A15, J$2)</f>
        <v/>
      </c>
      <c r="K15">
        <f>CurrAttrValue(D15, 0)</f>
        <v/>
      </c>
      <c r="L15">
        <f>CurrAttrValue(E15, 0)</f>
        <v/>
      </c>
      <c r="M15">
        <f>CurrAttrValue(H15, 0)</f>
        <v/>
      </c>
      <c r="N15">
        <f>CurrAttrValue(I15, 0)</f>
        <v/>
      </c>
      <c r="O15">
        <f>CurrAttrValue(J15, 0)</f>
        <v/>
      </c>
      <c r="P15" s="5">
        <f>"12"</f>
        <v/>
      </c>
      <c r="Q15" s="6">
        <f>"АОбс. Отказ всех каналов измерения Nст  "</f>
        <v/>
      </c>
      <c r="R15" s="7">
        <f>IF(N15, S15, "")</f>
        <v/>
      </c>
      <c r="S15" s="7">
        <f>CurrAttrValue(C15, 0)</f>
        <v/>
      </c>
      <c r="T15" s="5">
        <f>IF(K15=-200, "д.вх.", K15)</f>
        <v/>
      </c>
      <c r="U15" s="5">
        <f>IF(L15=-200, "д.вх.", IF(N15, O15, L15))</f>
        <v/>
      </c>
      <c r="V15" s="5">
        <f>CurrAttrValue(G15, 0)</f>
        <v/>
      </c>
      <c r="W15" s="5">
        <f>IF(M15, "Блокирована", IF(N15, "Проверено", "-"))</f>
        <v/>
      </c>
    </row>
    <row r="16" ht="20" customHeight="1">
      <c r="A16">
        <f>"System.PZ.A012"</f>
        <v/>
      </c>
      <c r="B16">
        <f>CONCATENATE($A$2, $A$1, $A16, B$2)</f>
        <v/>
      </c>
      <c r="C16">
        <f>CONCATENATE($A$2, $A$1, $A16, C$2)</f>
        <v/>
      </c>
      <c r="D16">
        <f>CONCATENATE($A$2, $A$1, $A16, D$2)</f>
        <v/>
      </c>
      <c r="E16">
        <f>CONCATENATE($A$2, $A$1, $A16, E$2)</f>
        <v/>
      </c>
      <c r="F16">
        <f>CONCATENATE($A$2, $A$1, $A16, F$2)</f>
        <v/>
      </c>
      <c r="G16">
        <f>CONCATENATE($A$2, $A$1, $A16, G$2)</f>
        <v/>
      </c>
      <c r="H16">
        <f>CONCATENATE($A$2, $A$1, $A16, H$2)</f>
        <v/>
      </c>
      <c r="I16">
        <f>CONCATENATE($A$2, $A$1, $A16, I$2)</f>
        <v/>
      </c>
      <c r="J16">
        <f>CONCATENATE($A$2, $A$1, $A16, J$2)</f>
        <v/>
      </c>
      <c r="K16">
        <f>CurrAttrValue(D16, 0)</f>
        <v/>
      </c>
      <c r="L16">
        <f>CurrAttrValue(E16, 0)</f>
        <v/>
      </c>
      <c r="M16">
        <f>CurrAttrValue(H16, 0)</f>
        <v/>
      </c>
      <c r="N16">
        <f>CurrAttrValue(I16, 0)</f>
        <v/>
      </c>
      <c r="O16">
        <f>CurrAttrValue(J16, 0)</f>
        <v/>
      </c>
      <c r="P16" s="5">
        <f>"13"</f>
        <v/>
      </c>
      <c r="Q16" s="6">
        <f>"АОбс. Срыв компрессора  "</f>
        <v/>
      </c>
      <c r="R16" s="7">
        <f>IF(N16, S16, "")</f>
        <v/>
      </c>
      <c r="S16" s="7">
        <f>CurrAttrValue(C16, 0)</f>
        <v/>
      </c>
      <c r="T16" s="5">
        <f>IF(K16=-200, "д.вх.", K16)</f>
        <v/>
      </c>
      <c r="U16" s="5">
        <f>IF(L16=-200, "д.вх.", IF(N16, O16, L16))</f>
        <v/>
      </c>
      <c r="V16" s="5">
        <f>CurrAttrValue(G16, 0)</f>
        <v/>
      </c>
      <c r="W16" s="5">
        <f>IF(M16, "Блокирована", IF(N16, "Проверено", "-"))</f>
        <v/>
      </c>
    </row>
    <row r="17" ht="20" customHeight="1">
      <c r="A17">
        <f>"System.PZ.A013"</f>
        <v/>
      </c>
      <c r="B17">
        <f>CONCATENATE($A$2, $A$1, $A17, B$2)</f>
        <v/>
      </c>
      <c r="C17">
        <f>CONCATENATE($A$2, $A$1, $A17, C$2)</f>
        <v/>
      </c>
      <c r="D17">
        <f>CONCATENATE($A$2, $A$1, $A17, D$2)</f>
        <v/>
      </c>
      <c r="E17">
        <f>CONCATENATE($A$2, $A$1, $A17, E$2)</f>
        <v/>
      </c>
      <c r="F17">
        <f>CONCATENATE($A$2, $A$1, $A17, F$2)</f>
        <v/>
      </c>
      <c r="G17">
        <f>CONCATENATE($A$2, $A$1, $A17, G$2)</f>
        <v/>
      </c>
      <c r="H17">
        <f>CONCATENATE($A$2, $A$1, $A17, H$2)</f>
        <v/>
      </c>
      <c r="I17">
        <f>CONCATENATE($A$2, $A$1, $A17, I$2)</f>
        <v/>
      </c>
      <c r="J17">
        <f>CONCATENATE($A$2, $A$1, $A17, J$2)</f>
        <v/>
      </c>
      <c r="K17">
        <f>CurrAttrValue(D17, 0)</f>
        <v/>
      </c>
      <c r="L17">
        <f>CurrAttrValue(E17, 0)</f>
        <v/>
      </c>
      <c r="M17">
        <f>CurrAttrValue(H17, 0)</f>
        <v/>
      </c>
      <c r="N17">
        <f>CurrAttrValue(I17, 0)</f>
        <v/>
      </c>
      <c r="O17">
        <f>CurrAttrValue(J17, 0)</f>
        <v/>
      </c>
      <c r="P17" s="5">
        <f>"14"</f>
        <v/>
      </c>
      <c r="Q17" s="6">
        <f>"ВОбс. Высокая температура газа за турбиной ГГ на режиме  "</f>
        <v/>
      </c>
      <c r="R17" s="7">
        <f>IF(N17, S17, "")</f>
        <v/>
      </c>
      <c r="S17" s="7">
        <f>CurrAttrValue(C17, 0)</f>
        <v/>
      </c>
      <c r="T17" s="5">
        <f>IF(K17=-200, "д.вх.", K17)</f>
        <v/>
      </c>
      <c r="U17" s="5">
        <f>IF(L17=-200, "д.вх.", IF(N17, O17, L17))</f>
        <v/>
      </c>
      <c r="V17" s="5">
        <f>CurrAttrValue(G17, 0)</f>
        <v/>
      </c>
      <c r="W17" s="5">
        <f>IF(M17, "Блокирована", IF(N17, "Проверено", "-"))</f>
        <v/>
      </c>
    </row>
    <row r="18" ht="20" customHeight="1">
      <c r="A18">
        <f>"System.PZ.A014"</f>
        <v/>
      </c>
      <c r="B18">
        <f>CONCATENATE($A$2, $A$1, $A18, B$2)</f>
        <v/>
      </c>
      <c r="C18">
        <f>CONCATENATE($A$2, $A$1, $A18, C$2)</f>
        <v/>
      </c>
      <c r="D18">
        <f>CONCATENATE($A$2, $A$1, $A18, D$2)</f>
        <v/>
      </c>
      <c r="E18">
        <f>CONCATENATE($A$2, $A$1, $A18, E$2)</f>
        <v/>
      </c>
      <c r="F18">
        <f>CONCATENATE($A$2, $A$1, $A18, F$2)</f>
        <v/>
      </c>
      <c r="G18">
        <f>CONCATENATE($A$2, $A$1, $A18, G$2)</f>
        <v/>
      </c>
      <c r="H18">
        <f>CONCATENATE($A$2, $A$1, $A18, H$2)</f>
        <v/>
      </c>
      <c r="I18">
        <f>CONCATENATE($A$2, $A$1, $A18, I$2)</f>
        <v/>
      </c>
      <c r="J18">
        <f>CONCATENATE($A$2, $A$1, $A18, J$2)</f>
        <v/>
      </c>
      <c r="K18">
        <f>CurrAttrValue(D18, 0)</f>
        <v/>
      </c>
      <c r="L18">
        <f>CurrAttrValue(E18, 0)</f>
        <v/>
      </c>
      <c r="M18">
        <f>CurrAttrValue(H18, 0)</f>
        <v/>
      </c>
      <c r="N18">
        <f>CurrAttrValue(I18, 0)</f>
        <v/>
      </c>
      <c r="O18">
        <f>CurrAttrValue(J18, 0)</f>
        <v/>
      </c>
      <c r="P18" s="5">
        <f>"15"</f>
        <v/>
      </c>
      <c r="Q18" s="6">
        <f>"АОбс. Аварийно высокая температура газа за турбиной ГГ на режиме  "</f>
        <v/>
      </c>
      <c r="R18" s="7">
        <f>IF(N18, S18, "")</f>
        <v/>
      </c>
      <c r="S18" s="7">
        <f>CurrAttrValue(C18, 0)</f>
        <v/>
      </c>
      <c r="T18" s="5">
        <f>IF(K18=-200, "д.вх.", K18)</f>
        <v/>
      </c>
      <c r="U18" s="5">
        <f>IF(L18=-200, "д.вх.", IF(N18, O18, L18))</f>
        <v/>
      </c>
      <c r="V18" s="5">
        <f>CurrAttrValue(G18, 0)</f>
        <v/>
      </c>
      <c r="W18" s="5">
        <f>IF(M18, "Блокирована", IF(N18, "Проверено", "-"))</f>
        <v/>
      </c>
    </row>
    <row r="19" ht="20" customHeight="1">
      <c r="A19">
        <f>"System.PZ.A015"</f>
        <v/>
      </c>
      <c r="B19">
        <f>CONCATENATE($A$2, $A$1, $A19, B$2)</f>
        <v/>
      </c>
      <c r="C19">
        <f>CONCATENATE($A$2, $A$1, $A19, C$2)</f>
        <v/>
      </c>
      <c r="D19">
        <f>CONCATENATE($A$2, $A$1, $A19, D$2)</f>
        <v/>
      </c>
      <c r="E19">
        <f>CONCATENATE($A$2, $A$1, $A19, E$2)</f>
        <v/>
      </c>
      <c r="F19">
        <f>CONCATENATE($A$2, $A$1, $A19, F$2)</f>
        <v/>
      </c>
      <c r="G19">
        <f>CONCATENATE($A$2, $A$1, $A19, G$2)</f>
        <v/>
      </c>
      <c r="H19">
        <f>CONCATENATE($A$2, $A$1, $A19, H$2)</f>
        <v/>
      </c>
      <c r="I19">
        <f>CONCATENATE($A$2, $A$1, $A19, I$2)</f>
        <v/>
      </c>
      <c r="J19">
        <f>CONCATENATE($A$2, $A$1, $A19, J$2)</f>
        <v/>
      </c>
      <c r="K19">
        <f>CurrAttrValue(D19, 0)</f>
        <v/>
      </c>
      <c r="L19">
        <f>CurrAttrValue(E19, 0)</f>
        <v/>
      </c>
      <c r="M19">
        <f>CurrAttrValue(H19, 0)</f>
        <v/>
      </c>
      <c r="N19">
        <f>CurrAttrValue(I19, 0)</f>
        <v/>
      </c>
      <c r="O19">
        <f>CurrAttrValue(J19, 0)</f>
        <v/>
      </c>
      <c r="P19" s="5">
        <f>"16"</f>
        <v/>
      </c>
      <c r="Q19" s="6">
        <f>"АОбс. Высокое рассогласование оборотов СТ  "</f>
        <v/>
      </c>
      <c r="R19" s="7">
        <f>IF(N19, S19, "")</f>
        <v/>
      </c>
      <c r="S19" s="7">
        <f>CurrAttrValue(C19, 0)</f>
        <v/>
      </c>
      <c r="T19" s="5">
        <f>IF(K19=-200, "д.вх.", K19)</f>
        <v/>
      </c>
      <c r="U19" s="5">
        <f>IF(L19=-200, "д.вх.", IF(N19, O19, L19))</f>
        <v/>
      </c>
      <c r="V19" s="5">
        <f>CurrAttrValue(G19, 0)</f>
        <v/>
      </c>
      <c r="W19" s="5">
        <f>IF(M19, "Блокирована", IF(N19, "Проверено", "-"))</f>
        <v/>
      </c>
    </row>
    <row r="20" ht="20" customHeight="1">
      <c r="A20">
        <f>"System.PZ.A016"</f>
        <v/>
      </c>
      <c r="B20">
        <f>CONCATENATE($A$2, $A$1, $A20, B$2)</f>
        <v/>
      </c>
      <c r="C20">
        <f>CONCATENATE($A$2, $A$1, $A20, C$2)</f>
        <v/>
      </c>
      <c r="D20">
        <f>CONCATENATE($A$2, $A$1, $A20, D$2)</f>
        <v/>
      </c>
      <c r="E20">
        <f>CONCATENATE($A$2, $A$1, $A20, E$2)</f>
        <v/>
      </c>
      <c r="F20">
        <f>CONCATENATE($A$2, $A$1, $A20, F$2)</f>
        <v/>
      </c>
      <c r="G20">
        <f>CONCATENATE($A$2, $A$1, $A20, G$2)</f>
        <v/>
      </c>
      <c r="H20">
        <f>CONCATENATE($A$2, $A$1, $A20, H$2)</f>
        <v/>
      </c>
      <c r="I20">
        <f>CONCATENATE($A$2, $A$1, $A20, I$2)</f>
        <v/>
      </c>
      <c r="J20">
        <f>CONCATENATE($A$2, $A$1, $A20, J$2)</f>
        <v/>
      </c>
      <c r="K20">
        <f>CurrAttrValue(D20, 0)</f>
        <v/>
      </c>
      <c r="L20">
        <f>CurrAttrValue(E20, 0)</f>
        <v/>
      </c>
      <c r="M20">
        <f>CurrAttrValue(H20, 0)</f>
        <v/>
      </c>
      <c r="N20">
        <f>CurrAttrValue(I20, 0)</f>
        <v/>
      </c>
      <c r="O20">
        <f>CurrAttrValue(J20, 0)</f>
        <v/>
      </c>
      <c r="P20" s="5">
        <f>"17"</f>
        <v/>
      </c>
      <c r="Q20" s="6">
        <f>"ВОбс. Высокая температура газа за СТ  "</f>
        <v/>
      </c>
      <c r="R20" s="7">
        <f>IF(N20, S20, "")</f>
        <v/>
      </c>
      <c r="S20" s="7">
        <f>CurrAttrValue(C20, 0)</f>
        <v/>
      </c>
      <c r="T20" s="5">
        <f>IF(K20=-200, "д.вх.", K20)</f>
        <v/>
      </c>
      <c r="U20" s="5">
        <f>IF(L20=-200, "д.вх.", IF(N20, O20, L20))</f>
        <v/>
      </c>
      <c r="V20" s="5">
        <f>CurrAttrValue(G20, 0)</f>
        <v/>
      </c>
      <c r="W20" s="5">
        <f>IF(M20, "Блокирована", IF(N20, "Проверено", "-"))</f>
        <v/>
      </c>
    </row>
    <row r="21" ht="20" customHeight="1">
      <c r="A21">
        <f>"System.PZ.A017"</f>
        <v/>
      </c>
      <c r="B21">
        <f>CONCATENATE($A$2, $A$1, $A21, B$2)</f>
        <v/>
      </c>
      <c r="C21">
        <f>CONCATENATE($A$2, $A$1, $A21, C$2)</f>
        <v/>
      </c>
      <c r="D21">
        <f>CONCATENATE($A$2, $A$1, $A21, D$2)</f>
        <v/>
      </c>
      <c r="E21">
        <f>CONCATENATE($A$2, $A$1, $A21, E$2)</f>
        <v/>
      </c>
      <c r="F21">
        <f>CONCATENATE($A$2, $A$1, $A21, F$2)</f>
        <v/>
      </c>
      <c r="G21">
        <f>CONCATENATE($A$2, $A$1, $A21, G$2)</f>
        <v/>
      </c>
      <c r="H21">
        <f>CONCATENATE($A$2, $A$1, $A21, H$2)</f>
        <v/>
      </c>
      <c r="I21">
        <f>CONCATENATE($A$2, $A$1, $A21, I$2)</f>
        <v/>
      </c>
      <c r="J21">
        <f>CONCATENATE($A$2, $A$1, $A21, J$2)</f>
        <v/>
      </c>
      <c r="K21">
        <f>CurrAttrValue(D21, 0)</f>
        <v/>
      </c>
      <c r="L21">
        <f>CurrAttrValue(E21, 0)</f>
        <v/>
      </c>
      <c r="M21">
        <f>CurrAttrValue(H21, 0)</f>
        <v/>
      </c>
      <c r="N21">
        <f>CurrAttrValue(I21, 0)</f>
        <v/>
      </c>
      <c r="O21">
        <f>CurrAttrValue(J21, 0)</f>
        <v/>
      </c>
      <c r="P21" s="5">
        <f>"18"</f>
        <v/>
      </c>
      <c r="Q21" s="6">
        <f>"АОбс. Аварийно-высокая температура газа за СТ  "</f>
        <v/>
      </c>
      <c r="R21" s="7">
        <f>IF(N21, S21, "")</f>
        <v/>
      </c>
      <c r="S21" s="7">
        <f>CurrAttrValue(C21, 0)</f>
        <v/>
      </c>
      <c r="T21" s="5">
        <f>IF(K21=-200, "д.вх.", K21)</f>
        <v/>
      </c>
      <c r="U21" s="5">
        <f>IF(L21=-200, "д.вх.", IF(N21, O21, L21))</f>
        <v/>
      </c>
      <c r="V21" s="5">
        <f>CurrAttrValue(G21, 0)</f>
        <v/>
      </c>
      <c r="W21" s="5">
        <f>IF(M21, "Блокирована", IF(N21, "Проверено", "-"))</f>
        <v/>
      </c>
    </row>
    <row r="22" ht="20" customHeight="1">
      <c r="A22">
        <f>"System.PZ.A018"</f>
        <v/>
      </c>
      <c r="B22">
        <f>CONCATENATE($A$2, $A$1, $A22, B$2)</f>
        <v/>
      </c>
      <c r="C22">
        <f>CONCATENATE($A$2, $A$1, $A22, C$2)</f>
        <v/>
      </c>
      <c r="D22">
        <f>CONCATENATE($A$2, $A$1, $A22, D$2)</f>
        <v/>
      </c>
      <c r="E22">
        <f>CONCATENATE($A$2, $A$1, $A22, E$2)</f>
        <v/>
      </c>
      <c r="F22">
        <f>CONCATENATE($A$2, $A$1, $A22, F$2)</f>
        <v/>
      </c>
      <c r="G22">
        <f>CONCATENATE($A$2, $A$1, $A22, G$2)</f>
        <v/>
      </c>
      <c r="H22">
        <f>CONCATENATE($A$2, $A$1, $A22, H$2)</f>
        <v/>
      </c>
      <c r="I22">
        <f>CONCATENATE($A$2, $A$1, $A22, I$2)</f>
        <v/>
      </c>
      <c r="J22">
        <f>CONCATENATE($A$2, $A$1, $A22, J$2)</f>
        <v/>
      </c>
      <c r="K22">
        <f>CurrAttrValue(D22, 0)</f>
        <v/>
      </c>
      <c r="L22">
        <f>CurrAttrValue(E22, 0)</f>
        <v/>
      </c>
      <c r="M22">
        <f>CurrAttrValue(H22, 0)</f>
        <v/>
      </c>
      <c r="N22">
        <f>CurrAttrValue(I22, 0)</f>
        <v/>
      </c>
      <c r="O22">
        <f>CurrAttrValue(J22, 0)</f>
        <v/>
      </c>
      <c r="P22" s="5">
        <f>"19"</f>
        <v/>
      </c>
      <c r="Q22" s="6">
        <f>"АОбс. Отказ всех каналов измерения Тст  "</f>
        <v/>
      </c>
      <c r="R22" s="7">
        <f>IF(N22, S22, "")</f>
        <v/>
      </c>
      <c r="S22" s="7">
        <f>CurrAttrValue(C22, 0)</f>
        <v/>
      </c>
      <c r="T22" s="5">
        <f>IF(K22=-200, "д.вх.", K22)</f>
        <v/>
      </c>
      <c r="U22" s="5">
        <f>IF(L22=-200, "д.вх.", IF(N22, O22, L22))</f>
        <v/>
      </c>
      <c r="V22" s="5">
        <f>CurrAttrValue(G22, 0)</f>
        <v/>
      </c>
      <c r="W22" s="5">
        <f>IF(M22, "Блокирована", IF(N22, "Проверено", "-"))</f>
        <v/>
      </c>
    </row>
    <row r="23" ht="20" customHeight="1">
      <c r="A23">
        <f>"System.PZ.A019"</f>
        <v/>
      </c>
      <c r="B23">
        <f>CONCATENATE($A$2, $A$1, $A23, B$2)</f>
        <v/>
      </c>
      <c r="C23">
        <f>CONCATENATE($A$2, $A$1, $A23, C$2)</f>
        <v/>
      </c>
      <c r="D23">
        <f>CONCATENATE($A$2, $A$1, $A23, D$2)</f>
        <v/>
      </c>
      <c r="E23">
        <f>CONCATENATE($A$2, $A$1, $A23, E$2)</f>
        <v/>
      </c>
      <c r="F23">
        <f>CONCATENATE($A$2, $A$1, $A23, F$2)</f>
        <v/>
      </c>
      <c r="G23">
        <f>CONCATENATE($A$2, $A$1, $A23, G$2)</f>
        <v/>
      </c>
      <c r="H23">
        <f>CONCATENATE($A$2, $A$1, $A23, H$2)</f>
        <v/>
      </c>
      <c r="I23">
        <f>CONCATENATE($A$2, $A$1, $A23, I$2)</f>
        <v/>
      </c>
      <c r="J23">
        <f>CONCATENATE($A$2, $A$1, $A23, J$2)</f>
        <v/>
      </c>
      <c r="K23">
        <f>CurrAttrValue(D23, 0)</f>
        <v/>
      </c>
      <c r="L23">
        <f>CurrAttrValue(E23, 0)</f>
        <v/>
      </c>
      <c r="M23">
        <f>CurrAttrValue(H23, 0)</f>
        <v/>
      </c>
      <c r="N23">
        <f>CurrAttrValue(I23, 0)</f>
        <v/>
      </c>
      <c r="O23">
        <f>CurrAttrValue(J23, 0)</f>
        <v/>
      </c>
      <c r="P23" s="5">
        <f>"20"</f>
        <v/>
      </c>
      <c r="Q23" s="6">
        <f>"ВОбс. Отказ 9-ти каналов измерения Тст  "</f>
        <v/>
      </c>
      <c r="R23" s="7">
        <f>IF(N23, S23, "")</f>
        <v/>
      </c>
      <c r="S23" s="7">
        <f>CurrAttrValue(C23, 0)</f>
        <v/>
      </c>
      <c r="T23" s="5">
        <f>IF(K23=-200, "д.вх.", K23)</f>
        <v/>
      </c>
      <c r="U23" s="5">
        <f>IF(L23=-200, "д.вх.", IF(N23, O23, L23))</f>
        <v/>
      </c>
      <c r="V23" s="5">
        <f>CurrAttrValue(G23, 0)</f>
        <v/>
      </c>
      <c r="W23" s="5">
        <f>IF(M23, "Блокирована", IF(N23, "Проверено", "-"))</f>
        <v/>
      </c>
    </row>
    <row r="24" ht="20" customHeight="1">
      <c r="A24">
        <f>"System.PZ.A020"</f>
        <v/>
      </c>
      <c r="B24">
        <f>CONCATENATE($A$2, $A$1, $A24, B$2)</f>
        <v/>
      </c>
      <c r="C24">
        <f>CONCATENATE($A$2, $A$1, $A24, C$2)</f>
        <v/>
      </c>
      <c r="D24">
        <f>CONCATENATE($A$2, $A$1, $A24, D$2)</f>
        <v/>
      </c>
      <c r="E24">
        <f>CONCATENATE($A$2, $A$1, $A24, E$2)</f>
        <v/>
      </c>
      <c r="F24">
        <f>CONCATENATE($A$2, $A$1, $A24, F$2)</f>
        <v/>
      </c>
      <c r="G24">
        <f>CONCATENATE($A$2, $A$1, $A24, G$2)</f>
        <v/>
      </c>
      <c r="H24">
        <f>CONCATENATE($A$2, $A$1, $A24, H$2)</f>
        <v/>
      </c>
      <c r="I24">
        <f>CONCATENATE($A$2, $A$1, $A24, I$2)</f>
        <v/>
      </c>
      <c r="J24">
        <f>CONCATENATE($A$2, $A$1, $A24, J$2)</f>
        <v/>
      </c>
      <c r="K24">
        <f>CurrAttrValue(D24, 0)</f>
        <v/>
      </c>
      <c r="L24">
        <f>CurrAttrValue(E24, 0)</f>
        <v/>
      </c>
      <c r="M24">
        <f>CurrAttrValue(H24, 0)</f>
        <v/>
      </c>
      <c r="N24">
        <f>CurrAttrValue(I24, 0)</f>
        <v/>
      </c>
      <c r="O24">
        <f>CurrAttrValue(J24, 0)</f>
        <v/>
      </c>
      <c r="P24" s="5">
        <f>"21"</f>
        <v/>
      </c>
      <c r="Q24" s="6">
        <f>"ВОбс. Отказ 9-ти каналов измерения Тт  "</f>
        <v/>
      </c>
      <c r="R24" s="7">
        <f>IF(N24, S24, "")</f>
        <v/>
      </c>
      <c r="S24" s="7">
        <f>CurrAttrValue(C24, 0)</f>
        <v/>
      </c>
      <c r="T24" s="5">
        <f>IF(K24=-200, "д.вх.", K24)</f>
        <v/>
      </c>
      <c r="U24" s="5">
        <f>IF(L24=-200, "д.вх.", IF(N24, O24, L24))</f>
        <v/>
      </c>
      <c r="V24" s="5">
        <f>CurrAttrValue(G24, 0)</f>
        <v/>
      </c>
      <c r="W24" s="5">
        <f>IF(M24, "Блокирована", IF(N24, "Проверено", "-"))</f>
        <v/>
      </c>
    </row>
    <row r="25" ht="20" customHeight="1">
      <c r="A25">
        <f>"System.PZ.A021"</f>
        <v/>
      </c>
      <c r="B25">
        <f>CONCATENATE($A$2, $A$1, $A25, B$2)</f>
        <v/>
      </c>
      <c r="C25">
        <f>CONCATENATE($A$2, $A$1, $A25, C$2)</f>
        <v/>
      </c>
      <c r="D25">
        <f>CONCATENATE($A$2, $A$1, $A25, D$2)</f>
        <v/>
      </c>
      <c r="E25">
        <f>CONCATENATE($A$2, $A$1, $A25, E$2)</f>
        <v/>
      </c>
      <c r="F25">
        <f>CONCATENATE($A$2, $A$1, $A25, F$2)</f>
        <v/>
      </c>
      <c r="G25">
        <f>CONCATENATE($A$2, $A$1, $A25, G$2)</f>
        <v/>
      </c>
      <c r="H25">
        <f>CONCATENATE($A$2, $A$1, $A25, H$2)</f>
        <v/>
      </c>
      <c r="I25">
        <f>CONCATENATE($A$2, $A$1, $A25, I$2)</f>
        <v/>
      </c>
      <c r="J25">
        <f>CONCATENATE($A$2, $A$1, $A25, J$2)</f>
        <v/>
      </c>
      <c r="K25">
        <f>CurrAttrValue(D25, 0)</f>
        <v/>
      </c>
      <c r="L25">
        <f>CurrAttrValue(E25, 0)</f>
        <v/>
      </c>
      <c r="M25">
        <f>CurrAttrValue(H25, 0)</f>
        <v/>
      </c>
      <c r="N25">
        <f>CurrAttrValue(I25, 0)</f>
        <v/>
      </c>
      <c r="O25">
        <f>CurrAttrValue(J25, 0)</f>
        <v/>
      </c>
      <c r="P25" s="5">
        <f>"22"</f>
        <v/>
      </c>
      <c r="Q25" s="6">
        <f>"АОбс. Отказ более 9-ти каналов измерения Тт  "</f>
        <v/>
      </c>
      <c r="R25" s="7">
        <f>IF(N25, S25, "")</f>
        <v/>
      </c>
      <c r="S25" s="7">
        <f>CurrAttrValue(C25, 0)</f>
        <v/>
      </c>
      <c r="T25" s="5">
        <f>IF(K25=-200, "д.вх.", K25)</f>
        <v/>
      </c>
      <c r="U25" s="5">
        <f>IF(L25=-200, "д.вх.", IF(N25, O25, L25))</f>
        <v/>
      </c>
      <c r="V25" s="5">
        <f>CurrAttrValue(G25, 0)</f>
        <v/>
      </c>
      <c r="W25" s="5">
        <f>IF(M25, "Блокирована", IF(N25, "Проверено", "-"))</f>
        <v/>
      </c>
    </row>
    <row r="26" ht="20" customHeight="1">
      <c r="A26">
        <f>"System.PZ.A022"</f>
        <v/>
      </c>
      <c r="B26">
        <f>CONCATENATE($A$2, $A$1, $A26, B$2)</f>
        <v/>
      </c>
      <c r="C26">
        <f>CONCATENATE($A$2, $A$1, $A26, C$2)</f>
        <v/>
      </c>
      <c r="D26">
        <f>CONCATENATE($A$2, $A$1, $A26, D$2)</f>
        <v/>
      </c>
      <c r="E26">
        <f>CONCATENATE($A$2, $A$1, $A26, E$2)</f>
        <v/>
      </c>
      <c r="F26">
        <f>CONCATENATE($A$2, $A$1, $A26, F$2)</f>
        <v/>
      </c>
      <c r="G26">
        <f>CONCATENATE($A$2, $A$1, $A26, G$2)</f>
        <v/>
      </c>
      <c r="H26">
        <f>CONCATENATE($A$2, $A$1, $A26, H$2)</f>
        <v/>
      </c>
      <c r="I26">
        <f>CONCATENATE($A$2, $A$1, $A26, I$2)</f>
        <v/>
      </c>
      <c r="J26">
        <f>CONCATENATE($A$2, $A$1, $A26, J$2)</f>
        <v/>
      </c>
      <c r="K26">
        <f>CurrAttrValue(D26, 0)</f>
        <v/>
      </c>
      <c r="L26">
        <f>CurrAttrValue(E26, 0)</f>
        <v/>
      </c>
      <c r="M26">
        <f>CurrAttrValue(H26, 0)</f>
        <v/>
      </c>
      <c r="N26">
        <f>CurrAttrValue(I26, 0)</f>
        <v/>
      </c>
      <c r="O26">
        <f>CurrAttrValue(J26, 0)</f>
        <v/>
      </c>
      <c r="P26" s="5">
        <f>"23"</f>
        <v/>
      </c>
      <c r="Q26" s="6">
        <f>"АОбс. Высокая неравномерность Тт на запуске  "</f>
        <v/>
      </c>
      <c r="R26" s="7">
        <f>IF(N26, S26, "")</f>
        <v/>
      </c>
      <c r="S26" s="7">
        <f>CurrAttrValue(C26, 0)</f>
        <v/>
      </c>
      <c r="T26" s="5">
        <f>IF(K26=-200, "д.вх.", K26)</f>
        <v/>
      </c>
      <c r="U26" s="5">
        <f>IF(L26=-200, "д.вх.", IF(N26, O26, L26))</f>
        <v/>
      </c>
      <c r="V26" s="5">
        <f>CurrAttrValue(G26, 0)</f>
        <v/>
      </c>
      <c r="W26" s="5">
        <f>IF(M26, "Блокирована", IF(N26, "Проверено", "-"))</f>
        <v/>
      </c>
    </row>
    <row r="27" ht="20" customHeight="1">
      <c r="A27">
        <f>"System.PZ.A023"</f>
        <v/>
      </c>
      <c r="B27">
        <f>CONCATENATE($A$2, $A$1, $A27, B$2)</f>
        <v/>
      </c>
      <c r="C27">
        <f>CONCATENATE($A$2, $A$1, $A27, C$2)</f>
        <v/>
      </c>
      <c r="D27">
        <f>CONCATENATE($A$2, $A$1, $A27, D$2)</f>
        <v/>
      </c>
      <c r="E27">
        <f>CONCATENATE($A$2, $A$1, $A27, E$2)</f>
        <v/>
      </c>
      <c r="F27">
        <f>CONCATENATE($A$2, $A$1, $A27, F$2)</f>
        <v/>
      </c>
      <c r="G27">
        <f>CONCATENATE($A$2, $A$1, $A27, G$2)</f>
        <v/>
      </c>
      <c r="H27">
        <f>CONCATENATE($A$2, $A$1, $A27, H$2)</f>
        <v/>
      </c>
      <c r="I27">
        <f>CONCATENATE($A$2, $A$1, $A27, I$2)</f>
        <v/>
      </c>
      <c r="J27">
        <f>CONCATENATE($A$2, $A$1, $A27, J$2)</f>
        <v/>
      </c>
      <c r="K27">
        <f>CurrAttrValue(D27, 0)</f>
        <v/>
      </c>
      <c r="L27">
        <f>CurrAttrValue(E27, 0)</f>
        <v/>
      </c>
      <c r="M27">
        <f>CurrAttrValue(H27, 0)</f>
        <v/>
      </c>
      <c r="N27">
        <f>CurrAttrValue(I27, 0)</f>
        <v/>
      </c>
      <c r="O27">
        <f>CurrAttrValue(J27, 0)</f>
        <v/>
      </c>
      <c r="P27" s="5">
        <f>"24"</f>
        <v/>
      </c>
      <c r="Q27" s="6">
        <f>"АОбс. Аварийно-высокая температура газа за турбиной ВД на запуске  "</f>
        <v/>
      </c>
      <c r="R27" s="7">
        <f>IF(N27, S27, "")</f>
        <v/>
      </c>
      <c r="S27" s="7">
        <f>CurrAttrValue(C27, 0)</f>
        <v/>
      </c>
      <c r="T27" s="5">
        <f>IF(K27=-200, "д.вх.", K27)</f>
        <v/>
      </c>
      <c r="U27" s="5">
        <f>IF(L27=-200, "д.вх.", IF(N27, O27, L27))</f>
        <v/>
      </c>
      <c r="V27" s="5">
        <f>CurrAttrValue(G27, 0)</f>
        <v/>
      </c>
      <c r="W27" s="5">
        <f>IF(M27, "Блокирована", IF(N27, "Проверено", "-"))</f>
        <v/>
      </c>
    </row>
    <row r="28" ht="20" customHeight="1">
      <c r="A28">
        <f>"System.PZ.A024"</f>
        <v/>
      </c>
      <c r="B28">
        <f>CONCATENATE($A$2, $A$1, $A28, B$2)</f>
        <v/>
      </c>
      <c r="C28">
        <f>CONCATENATE($A$2, $A$1, $A28, C$2)</f>
        <v/>
      </c>
      <c r="D28">
        <f>CONCATENATE($A$2, $A$1, $A28, D$2)</f>
        <v/>
      </c>
      <c r="E28">
        <f>CONCATENATE($A$2, $A$1, $A28, E$2)</f>
        <v/>
      </c>
      <c r="F28">
        <f>CONCATENATE($A$2, $A$1, $A28, F$2)</f>
        <v/>
      </c>
      <c r="G28">
        <f>CONCATENATE($A$2, $A$1, $A28, G$2)</f>
        <v/>
      </c>
      <c r="H28">
        <f>CONCATENATE($A$2, $A$1, $A28, H$2)</f>
        <v/>
      </c>
      <c r="I28">
        <f>CONCATENATE($A$2, $A$1, $A28, I$2)</f>
        <v/>
      </c>
      <c r="J28">
        <f>CONCATENATE($A$2, $A$1, $A28, J$2)</f>
        <v/>
      </c>
      <c r="K28">
        <f>CurrAttrValue(D28, 0)</f>
        <v/>
      </c>
      <c r="L28">
        <f>CurrAttrValue(E28, 0)</f>
        <v/>
      </c>
      <c r="M28">
        <f>CurrAttrValue(H28, 0)</f>
        <v/>
      </c>
      <c r="N28">
        <f>CurrAttrValue(I28, 0)</f>
        <v/>
      </c>
      <c r="O28">
        <f>CurrAttrValue(J28, 0)</f>
        <v/>
      </c>
      <c r="P28" s="5">
        <f>"25"</f>
        <v/>
      </c>
      <c r="Q28" s="6">
        <f>"АОбс. Отказ всех каналов измерения Тт зап  "</f>
        <v/>
      </c>
      <c r="R28" s="7">
        <f>IF(N28, S28, "")</f>
        <v/>
      </c>
      <c r="S28" s="7">
        <f>CurrAttrValue(C28, 0)</f>
        <v/>
      </c>
      <c r="T28" s="5">
        <f>IF(K28=-200, "д.вх.", K28)</f>
        <v/>
      </c>
      <c r="U28" s="5">
        <f>IF(L28=-200, "д.вх.", IF(N28, O28, L28))</f>
        <v/>
      </c>
      <c r="V28" s="5">
        <f>CurrAttrValue(G28, 0)</f>
        <v/>
      </c>
      <c r="W28" s="5">
        <f>IF(M28, "Блокирована", IF(N28, "Проверено", "-"))</f>
        <v/>
      </c>
    </row>
    <row r="29" ht="20" customHeight="1">
      <c r="A29">
        <f>"System.PZ.A025"</f>
        <v/>
      </c>
      <c r="B29">
        <f>CONCATENATE($A$2, $A$1, $A29, B$2)</f>
        <v/>
      </c>
      <c r="C29">
        <f>CONCATENATE($A$2, $A$1, $A29, C$2)</f>
        <v/>
      </c>
      <c r="D29">
        <f>CONCATENATE($A$2, $A$1, $A29, D$2)</f>
        <v/>
      </c>
      <c r="E29">
        <f>CONCATENATE($A$2, $A$1, $A29, E$2)</f>
        <v/>
      </c>
      <c r="F29">
        <f>CONCATENATE($A$2, $A$1, $A29, F$2)</f>
        <v/>
      </c>
      <c r="G29">
        <f>CONCATENATE($A$2, $A$1, $A29, G$2)</f>
        <v/>
      </c>
      <c r="H29">
        <f>CONCATENATE($A$2, $A$1, $A29, H$2)</f>
        <v/>
      </c>
      <c r="I29">
        <f>CONCATENATE($A$2, $A$1, $A29, I$2)</f>
        <v/>
      </c>
      <c r="J29">
        <f>CONCATENATE($A$2, $A$1, $A29, J$2)</f>
        <v/>
      </c>
      <c r="K29">
        <f>CurrAttrValue(D29, 0)</f>
        <v/>
      </c>
      <c r="L29">
        <f>CurrAttrValue(E29, 0)</f>
        <v/>
      </c>
      <c r="M29">
        <f>CurrAttrValue(H29, 0)</f>
        <v/>
      </c>
      <c r="N29">
        <f>CurrAttrValue(I29, 0)</f>
        <v/>
      </c>
      <c r="O29">
        <f>CurrAttrValue(J29, 0)</f>
        <v/>
      </c>
      <c r="P29" s="5">
        <f>"26"</f>
        <v/>
      </c>
      <c r="Q29" s="6">
        <f>"АОбс. Одновременный отказ датчиков ТТЗАП и ТТ  "</f>
        <v/>
      </c>
      <c r="R29" s="7">
        <f>IF(N29, S29, "")</f>
        <v/>
      </c>
      <c r="S29" s="7">
        <f>CurrAttrValue(C29, 0)</f>
        <v/>
      </c>
      <c r="T29" s="5">
        <f>IF(K29=-200, "д.вх.", K29)</f>
        <v/>
      </c>
      <c r="U29" s="5">
        <f>IF(L29=-200, "д.вх.", IF(N29, O29, L29))</f>
        <v/>
      </c>
      <c r="V29" s="5">
        <f>CurrAttrValue(G29, 0)</f>
        <v/>
      </c>
      <c r="W29" s="5">
        <f>IF(M29, "Блокирована", IF(N29, "Проверено", "-"))</f>
        <v/>
      </c>
    </row>
    <row r="32" ht="35" customHeight="1">
      <c r="Q32" s="8">
        <f>"должность"</f>
        <v/>
      </c>
      <c r="R32" s="9" t="n"/>
      <c r="S32" s="8">
        <f>"ФИО"</f>
        <v/>
      </c>
      <c r="T32" s="9" t="n"/>
      <c r="U32" s="8">
        <f>"подпись"</f>
        <v/>
      </c>
    </row>
    <row r="33" ht="35" customHeight="1">
      <c r="Q33" s="8">
        <f>"должность"</f>
        <v/>
      </c>
      <c r="R33" s="9" t="n"/>
      <c r="S33" s="8">
        <f>"ФИО"</f>
        <v/>
      </c>
      <c r="T33" s="9" t="n"/>
      <c r="U33" s="8">
        <f>"подпись"</f>
        <v/>
      </c>
    </row>
    <row r="34" ht="35" customHeight="1">
      <c r="Q34" s="8">
        <f>"должность"</f>
        <v/>
      </c>
      <c r="R34" s="9" t="n"/>
      <c r="S34" s="8">
        <f>"ФИО"</f>
        <v/>
      </c>
      <c r="T34" s="9" t="n"/>
      <c r="U34" s="8">
        <f>"подпись"</f>
        <v/>
      </c>
    </row>
    <row r="36" ht="25" customHeight="1">
      <c r="Q36" s="1">
        <f>"Протокол проверки защит ГПА3 на "</f>
        <v/>
      </c>
      <c r="R36" s="2">
        <f>R1</f>
        <v/>
      </c>
      <c r="S36" s="3">
        <f>S1</f>
        <v/>
      </c>
    </row>
    <row r="38" ht="20" customHeight="1">
      <c r="P38" s="4">
        <f>"№"</f>
        <v/>
      </c>
      <c r="Q38" s="4">
        <f>"Наименование защиты  "</f>
        <v/>
      </c>
      <c r="R38" s="4">
        <f>"Таймер"</f>
        <v/>
      </c>
      <c r="S38" s="4">
        <f>"Задержка"</f>
        <v/>
      </c>
      <c r="T38" s="4">
        <f>"Уставка"</f>
        <v/>
      </c>
      <c r="U38" s="4">
        <f>"Значение"</f>
        <v/>
      </c>
      <c r="V38" s="4">
        <f>"Eд.изм"</f>
        <v/>
      </c>
      <c r="W38" s="4">
        <f>"Отметка о проверке"</f>
        <v/>
      </c>
    </row>
    <row r="39" ht="20" customHeight="1">
      <c r="A39">
        <f>"System.PZ.A026"</f>
        <v/>
      </c>
      <c r="B39">
        <f>CONCATENATE($A$2, $A$1, $A39, B$2)</f>
        <v/>
      </c>
      <c r="C39">
        <f>CONCATENATE($A$2, $A$1, $A39, C$2)</f>
        <v/>
      </c>
      <c r="D39">
        <f>CONCATENATE($A$2, $A$1, $A39, D$2)</f>
        <v/>
      </c>
      <c r="E39">
        <f>CONCATENATE($A$2, $A$1, $A39, E$2)</f>
        <v/>
      </c>
      <c r="F39">
        <f>CONCATENATE($A$2, $A$1, $A39, F$2)</f>
        <v/>
      </c>
      <c r="G39">
        <f>CONCATENATE($A$2, $A$1, $A39, G$2)</f>
        <v/>
      </c>
      <c r="H39">
        <f>CONCATENATE($A$2, $A$1, $A39, H$2)</f>
        <v/>
      </c>
      <c r="I39">
        <f>CONCATENATE($A$2, $A$1, $A39, I$2)</f>
        <v/>
      </c>
      <c r="J39">
        <f>CONCATENATE($A$2, $A$1, $A39, J$2)</f>
        <v/>
      </c>
      <c r="K39">
        <f>CurrAttrValue(D39, 0)</f>
        <v/>
      </c>
      <c r="L39">
        <f>CurrAttrValue(E39, 0)</f>
        <v/>
      </c>
      <c r="M39">
        <f>CurrAttrValue(H39, 0)</f>
        <v/>
      </c>
      <c r="N39">
        <f>CurrAttrValue(I39, 0)</f>
        <v/>
      </c>
      <c r="O39">
        <f>CurrAttrValue(J39, 0)</f>
        <v/>
      </c>
      <c r="P39" s="5">
        <f>"27"</f>
        <v/>
      </c>
      <c r="Q39" s="6">
        <f>"АОбс. Нет розжига   "</f>
        <v/>
      </c>
      <c r="R39" s="7">
        <f>IF(N39, S39, "")</f>
        <v/>
      </c>
      <c r="S39" s="7">
        <f>CurrAttrValue(C39, 0)</f>
        <v/>
      </c>
      <c r="T39" s="5">
        <f>IF(K39=-200, "д.вх.", K39)</f>
        <v/>
      </c>
      <c r="U39" s="5">
        <f>IF(L39=-200, "д.вх.", IF(N39, O39, L39))</f>
        <v/>
      </c>
      <c r="V39" s="5">
        <f>CurrAttrValue(G39, 0)</f>
        <v/>
      </c>
      <c r="W39" s="5">
        <f>IF(M39, "Блокирована", IF(N39, "Проверено", "-"))</f>
        <v/>
      </c>
    </row>
    <row r="40" ht="20" customHeight="1">
      <c r="A40">
        <f>"System.PZ.A027"</f>
        <v/>
      </c>
      <c r="B40">
        <f>CONCATENATE($A$2, $A$1, $A40, B$2)</f>
        <v/>
      </c>
      <c r="C40">
        <f>CONCATENATE($A$2, $A$1, $A40, C$2)</f>
        <v/>
      </c>
      <c r="D40">
        <f>CONCATENATE($A$2, $A$1, $A40, D$2)</f>
        <v/>
      </c>
      <c r="E40">
        <f>CONCATENATE($A$2, $A$1, $A40, E$2)</f>
        <v/>
      </c>
      <c r="F40">
        <f>CONCATENATE($A$2, $A$1, $A40, F$2)</f>
        <v/>
      </c>
      <c r="G40">
        <f>CONCATENATE($A$2, $A$1, $A40, G$2)</f>
        <v/>
      </c>
      <c r="H40">
        <f>CONCATENATE($A$2, $A$1, $A40, H$2)</f>
        <v/>
      </c>
      <c r="I40">
        <f>CONCATENATE($A$2, $A$1, $A40, I$2)</f>
        <v/>
      </c>
      <c r="J40">
        <f>CONCATENATE($A$2, $A$1, $A40, J$2)</f>
        <v/>
      </c>
      <c r="K40">
        <f>CurrAttrValue(D40, 0)</f>
        <v/>
      </c>
      <c r="L40">
        <f>CurrAttrValue(E40, 0)</f>
        <v/>
      </c>
      <c r="M40">
        <f>CurrAttrValue(H40, 0)</f>
        <v/>
      </c>
      <c r="N40">
        <f>CurrAttrValue(I40, 0)</f>
        <v/>
      </c>
      <c r="O40">
        <f>CurrAttrValue(J40, 0)</f>
        <v/>
      </c>
      <c r="P40" s="5">
        <f>"28"</f>
        <v/>
      </c>
      <c r="Q40" s="6">
        <f>"АОбс. Нет розжига ни одной ЖТ  "</f>
        <v/>
      </c>
      <c r="R40" s="7">
        <f>IF(N40, S40, "")</f>
        <v/>
      </c>
      <c r="S40" s="7">
        <f>CurrAttrValue(C40, 0)</f>
        <v/>
      </c>
      <c r="T40" s="5">
        <f>IF(K40=-200, "д.вх.", K40)</f>
        <v/>
      </c>
      <c r="U40" s="5">
        <f>IF(L40=-200, "д.вх.", IF(N40, O40, L40))</f>
        <v/>
      </c>
      <c r="V40" s="5">
        <f>CurrAttrValue(G40, 0)</f>
        <v/>
      </c>
      <c r="W40" s="5">
        <f>IF(M40, "Блокирована", IF(N40, "Проверено", "-"))</f>
        <v/>
      </c>
    </row>
    <row r="41" ht="20" customHeight="1">
      <c r="A41">
        <f>"System.PZ.A028"</f>
        <v/>
      </c>
      <c r="B41">
        <f>CONCATENATE($A$2, $A$1, $A41, B$2)</f>
        <v/>
      </c>
      <c r="C41">
        <f>CONCATENATE($A$2, $A$1, $A41, C$2)</f>
        <v/>
      </c>
      <c r="D41">
        <f>CONCATENATE($A$2, $A$1, $A41, D$2)</f>
        <v/>
      </c>
      <c r="E41">
        <f>CONCATENATE($A$2, $A$1, $A41, E$2)</f>
        <v/>
      </c>
      <c r="F41">
        <f>CONCATENATE($A$2, $A$1, $A41, F$2)</f>
        <v/>
      </c>
      <c r="G41">
        <f>CONCATENATE($A$2, $A$1, $A41, G$2)</f>
        <v/>
      </c>
      <c r="H41">
        <f>CONCATENATE($A$2, $A$1, $A41, H$2)</f>
        <v/>
      </c>
      <c r="I41">
        <f>CONCATENATE($A$2, $A$1, $A41, I$2)</f>
        <v/>
      </c>
      <c r="J41">
        <f>CONCATENATE($A$2, $A$1, $A41, J$2)</f>
        <v/>
      </c>
      <c r="K41">
        <f>CurrAttrValue(D41, 0)</f>
        <v/>
      </c>
      <c r="L41">
        <f>CurrAttrValue(E41, 0)</f>
        <v/>
      </c>
      <c r="M41">
        <f>CurrAttrValue(H41, 0)</f>
        <v/>
      </c>
      <c r="N41">
        <f>CurrAttrValue(I41, 0)</f>
        <v/>
      </c>
      <c r="O41">
        <f>CurrAttrValue(J41, 0)</f>
        <v/>
      </c>
      <c r="P41" s="5">
        <f>"29"</f>
        <v/>
      </c>
      <c r="Q41" s="6">
        <f>"АОбс. АО по погасанию жаровых труб  "</f>
        <v/>
      </c>
      <c r="R41" s="7">
        <f>IF(N41, S41, "")</f>
        <v/>
      </c>
      <c r="S41" s="7">
        <f>CurrAttrValue(C41, 0)</f>
        <v/>
      </c>
      <c r="T41" s="5">
        <f>IF(K41=-200, "д.вх.", K41)</f>
        <v/>
      </c>
      <c r="U41" s="5">
        <f>IF(L41=-200, "д.вх.", IF(N41, O41, L41))</f>
        <v/>
      </c>
      <c r="V41" s="5">
        <f>CurrAttrValue(G41, 0)</f>
        <v/>
      </c>
      <c r="W41" s="5">
        <f>IF(M41, "Блокирована", IF(N41, "Проверено", "-"))</f>
        <v/>
      </c>
    </row>
    <row r="42" ht="20" customHeight="1">
      <c r="A42">
        <f>"System.PZ.A029"</f>
        <v/>
      </c>
      <c r="B42">
        <f>CONCATENATE($A$2, $A$1, $A42, B$2)</f>
        <v/>
      </c>
      <c r="C42">
        <f>CONCATENATE($A$2, $A$1, $A42, C$2)</f>
        <v/>
      </c>
      <c r="D42">
        <f>CONCATENATE($A$2, $A$1, $A42, D$2)</f>
        <v/>
      </c>
      <c r="E42">
        <f>CONCATENATE($A$2, $A$1, $A42, E$2)</f>
        <v/>
      </c>
      <c r="F42">
        <f>CONCATENATE($A$2, $A$1, $A42, F$2)</f>
        <v/>
      </c>
      <c r="G42">
        <f>CONCATENATE($A$2, $A$1, $A42, G$2)</f>
        <v/>
      </c>
      <c r="H42">
        <f>CONCATENATE($A$2, $A$1, $A42, H$2)</f>
        <v/>
      </c>
      <c r="I42">
        <f>CONCATENATE($A$2, $A$1, $A42, I$2)</f>
        <v/>
      </c>
      <c r="J42">
        <f>CONCATENATE($A$2, $A$1, $A42, J$2)</f>
        <v/>
      </c>
      <c r="K42">
        <f>CurrAttrValue(D42, 0)</f>
        <v/>
      </c>
      <c r="L42">
        <f>CurrAttrValue(E42, 0)</f>
        <v/>
      </c>
      <c r="M42">
        <f>CurrAttrValue(H42, 0)</f>
        <v/>
      </c>
      <c r="N42">
        <f>CurrAttrValue(I42, 0)</f>
        <v/>
      </c>
      <c r="O42">
        <f>CurrAttrValue(J42, 0)</f>
        <v/>
      </c>
      <c r="P42" s="5">
        <f>"30"</f>
        <v/>
      </c>
      <c r="Q42" s="6">
        <f>"АОбс. Погасание на запуске по 1-й термопаре  "</f>
        <v/>
      </c>
      <c r="R42" s="7">
        <f>IF(N42, S42, "")</f>
        <v/>
      </c>
      <c r="S42" s="7">
        <f>CurrAttrValue(C42, 0)</f>
        <v/>
      </c>
      <c r="T42" s="5">
        <f>IF(K42=-200, "д.вх.", K42)</f>
        <v/>
      </c>
      <c r="U42" s="5">
        <f>IF(L42=-200, "д.вх.", IF(N42, O42, L42))</f>
        <v/>
      </c>
      <c r="V42" s="5">
        <f>CurrAttrValue(G42, 0)</f>
        <v/>
      </c>
      <c r="W42" s="5">
        <f>IF(M42, "Блокирована", IF(N42, "Проверено", "-"))</f>
        <v/>
      </c>
    </row>
    <row r="43" ht="20" customHeight="1">
      <c r="A43">
        <f>"System.PZ.A030"</f>
        <v/>
      </c>
      <c r="B43">
        <f>CONCATENATE($A$2, $A$1, $A43, B$2)</f>
        <v/>
      </c>
      <c r="C43">
        <f>CONCATENATE($A$2, $A$1, $A43, C$2)</f>
        <v/>
      </c>
      <c r="D43">
        <f>CONCATENATE($A$2, $A$1, $A43, D$2)</f>
        <v/>
      </c>
      <c r="E43">
        <f>CONCATENATE($A$2, $A$1, $A43, E$2)</f>
        <v/>
      </c>
      <c r="F43">
        <f>CONCATENATE($A$2, $A$1, $A43, F$2)</f>
        <v/>
      </c>
      <c r="G43">
        <f>CONCATENATE($A$2, $A$1, $A43, G$2)</f>
        <v/>
      </c>
      <c r="H43">
        <f>CONCATENATE($A$2, $A$1, $A43, H$2)</f>
        <v/>
      </c>
      <c r="I43">
        <f>CONCATENATE($A$2, $A$1, $A43, I$2)</f>
        <v/>
      </c>
      <c r="J43">
        <f>CONCATENATE($A$2, $A$1, $A43, J$2)</f>
        <v/>
      </c>
      <c r="K43">
        <f>CurrAttrValue(D43, 0)</f>
        <v/>
      </c>
      <c r="L43">
        <f>CurrAttrValue(E43, 0)</f>
        <v/>
      </c>
      <c r="M43">
        <f>CurrAttrValue(H43, 0)</f>
        <v/>
      </c>
      <c r="N43">
        <f>CurrAttrValue(I43, 0)</f>
        <v/>
      </c>
      <c r="O43">
        <f>CurrAttrValue(J43, 0)</f>
        <v/>
      </c>
      <c r="P43" s="5">
        <f>"31"</f>
        <v/>
      </c>
      <c r="Q43" s="6">
        <f>"АОбс. Погасание на запуске по 2-й термопаре  "</f>
        <v/>
      </c>
      <c r="R43" s="7">
        <f>IF(N43, S43, "")</f>
        <v/>
      </c>
      <c r="S43" s="7">
        <f>CurrAttrValue(C43, 0)</f>
        <v/>
      </c>
      <c r="T43" s="5">
        <f>IF(K43=-200, "д.вх.", K43)</f>
        <v/>
      </c>
      <c r="U43" s="5">
        <f>IF(L43=-200, "д.вх.", IF(N43, O43, L43))</f>
        <v/>
      </c>
      <c r="V43" s="5">
        <f>CurrAttrValue(G43, 0)</f>
        <v/>
      </c>
      <c r="W43" s="5">
        <f>IF(M43, "Блокирована", IF(N43, "Проверено", "-"))</f>
        <v/>
      </c>
    </row>
    <row r="44" ht="20" customHeight="1">
      <c r="A44">
        <f>"System.PZ.A031"</f>
        <v/>
      </c>
      <c r="B44">
        <f>CONCATENATE($A$2, $A$1, $A44, B$2)</f>
        <v/>
      </c>
      <c r="C44">
        <f>CONCATENATE($A$2, $A$1, $A44, C$2)</f>
        <v/>
      </c>
      <c r="D44">
        <f>CONCATENATE($A$2, $A$1, $A44, D$2)</f>
        <v/>
      </c>
      <c r="E44">
        <f>CONCATENATE($A$2, $A$1, $A44, E$2)</f>
        <v/>
      </c>
      <c r="F44">
        <f>CONCATENATE($A$2, $A$1, $A44, F$2)</f>
        <v/>
      </c>
      <c r="G44">
        <f>CONCATENATE($A$2, $A$1, $A44, G$2)</f>
        <v/>
      </c>
      <c r="H44">
        <f>CONCATENATE($A$2, $A$1, $A44, H$2)</f>
        <v/>
      </c>
      <c r="I44">
        <f>CONCATENATE($A$2, $A$1, $A44, I$2)</f>
        <v/>
      </c>
      <c r="J44">
        <f>CONCATENATE($A$2, $A$1, $A44, J$2)</f>
        <v/>
      </c>
      <c r="K44">
        <f>CurrAttrValue(D44, 0)</f>
        <v/>
      </c>
      <c r="L44">
        <f>CurrAttrValue(E44, 0)</f>
        <v/>
      </c>
      <c r="M44">
        <f>CurrAttrValue(H44, 0)</f>
        <v/>
      </c>
      <c r="N44">
        <f>CurrAttrValue(I44, 0)</f>
        <v/>
      </c>
      <c r="O44">
        <f>CurrAttrValue(J44, 0)</f>
        <v/>
      </c>
      <c r="P44" s="5">
        <f>"32"</f>
        <v/>
      </c>
      <c r="Q44" s="6">
        <f>"АОбс. Погасание на запуске по 3-й термопаре  "</f>
        <v/>
      </c>
      <c r="R44" s="7">
        <f>IF(N44, S44, "")</f>
        <v/>
      </c>
      <c r="S44" s="7">
        <f>CurrAttrValue(C44, 0)</f>
        <v/>
      </c>
      <c r="T44" s="5">
        <f>IF(K44=-200, "д.вх.", K44)</f>
        <v/>
      </c>
      <c r="U44" s="5">
        <f>IF(L44=-200, "д.вх.", IF(N44, O44, L44))</f>
        <v/>
      </c>
      <c r="V44" s="5">
        <f>CurrAttrValue(G44, 0)</f>
        <v/>
      </c>
      <c r="W44" s="5">
        <f>IF(M44, "Блокирована", IF(N44, "Проверено", "-"))</f>
        <v/>
      </c>
    </row>
    <row r="45" ht="20" customHeight="1">
      <c r="A45">
        <f>"System.PZ.A032"</f>
        <v/>
      </c>
      <c r="B45">
        <f>CONCATENATE($A$2, $A$1, $A45, B$2)</f>
        <v/>
      </c>
      <c r="C45">
        <f>CONCATENATE($A$2, $A$1, $A45, C$2)</f>
        <v/>
      </c>
      <c r="D45">
        <f>CONCATENATE($A$2, $A$1, $A45, D$2)</f>
        <v/>
      </c>
      <c r="E45">
        <f>CONCATENATE($A$2, $A$1, $A45, E$2)</f>
        <v/>
      </c>
      <c r="F45">
        <f>CONCATENATE($A$2, $A$1, $A45, F$2)</f>
        <v/>
      </c>
      <c r="G45">
        <f>CONCATENATE($A$2, $A$1, $A45, G$2)</f>
        <v/>
      </c>
      <c r="H45">
        <f>CONCATENATE($A$2, $A$1, $A45, H$2)</f>
        <v/>
      </c>
      <c r="I45">
        <f>CONCATENATE($A$2, $A$1, $A45, I$2)</f>
        <v/>
      </c>
      <c r="J45">
        <f>CONCATENATE($A$2, $A$1, $A45, J$2)</f>
        <v/>
      </c>
      <c r="K45">
        <f>CurrAttrValue(D45, 0)</f>
        <v/>
      </c>
      <c r="L45">
        <f>CurrAttrValue(E45, 0)</f>
        <v/>
      </c>
      <c r="M45">
        <f>CurrAttrValue(H45, 0)</f>
        <v/>
      </c>
      <c r="N45">
        <f>CurrAttrValue(I45, 0)</f>
        <v/>
      </c>
      <c r="O45">
        <f>CurrAttrValue(J45, 0)</f>
        <v/>
      </c>
      <c r="P45" s="5">
        <f>"33"</f>
        <v/>
      </c>
      <c r="Q45" s="6">
        <f>"АОбс. Погасание на запуске по 4-й термопаре  "</f>
        <v/>
      </c>
      <c r="R45" s="7">
        <f>IF(N45, S45, "")</f>
        <v/>
      </c>
      <c r="S45" s="7">
        <f>CurrAttrValue(C45, 0)</f>
        <v/>
      </c>
      <c r="T45" s="5">
        <f>IF(K45=-200, "д.вх.", K45)</f>
        <v/>
      </c>
      <c r="U45" s="5">
        <f>IF(L45=-200, "д.вх.", IF(N45, O45, L45))</f>
        <v/>
      </c>
      <c r="V45" s="5">
        <f>CurrAttrValue(G45, 0)</f>
        <v/>
      </c>
      <c r="W45" s="5">
        <f>IF(M45, "Блокирована", IF(N45, "Проверено", "-"))</f>
        <v/>
      </c>
    </row>
    <row r="46" ht="20" customHeight="1">
      <c r="A46">
        <f>"System.PZ.A033"</f>
        <v/>
      </c>
      <c r="B46">
        <f>CONCATENATE($A$2, $A$1, $A46, B$2)</f>
        <v/>
      </c>
      <c r="C46">
        <f>CONCATENATE($A$2, $A$1, $A46, C$2)</f>
        <v/>
      </c>
      <c r="D46">
        <f>CONCATENATE($A$2, $A$1, $A46, D$2)</f>
        <v/>
      </c>
      <c r="E46">
        <f>CONCATENATE($A$2, $A$1, $A46, E$2)</f>
        <v/>
      </c>
      <c r="F46">
        <f>CONCATENATE($A$2, $A$1, $A46, F$2)</f>
        <v/>
      </c>
      <c r="G46">
        <f>CONCATENATE($A$2, $A$1, $A46, G$2)</f>
        <v/>
      </c>
      <c r="H46">
        <f>CONCATENATE($A$2, $A$1, $A46, H$2)</f>
        <v/>
      </c>
      <c r="I46">
        <f>CONCATENATE($A$2, $A$1, $A46, I$2)</f>
        <v/>
      </c>
      <c r="J46">
        <f>CONCATENATE($A$2, $A$1, $A46, J$2)</f>
        <v/>
      </c>
      <c r="K46">
        <f>CurrAttrValue(D46, 0)</f>
        <v/>
      </c>
      <c r="L46">
        <f>CurrAttrValue(E46, 0)</f>
        <v/>
      </c>
      <c r="M46">
        <f>CurrAttrValue(H46, 0)</f>
        <v/>
      </c>
      <c r="N46">
        <f>CurrAttrValue(I46, 0)</f>
        <v/>
      </c>
      <c r="O46">
        <f>CurrAttrValue(J46, 0)</f>
        <v/>
      </c>
      <c r="P46" s="5">
        <f>"34"</f>
        <v/>
      </c>
      <c r="Q46" s="6">
        <f>"АОбс. Погасание на запуске по 5-й термопаре  "</f>
        <v/>
      </c>
      <c r="R46" s="7">
        <f>IF(N46, S46, "")</f>
        <v/>
      </c>
      <c r="S46" s="7">
        <f>CurrAttrValue(C46, 0)</f>
        <v/>
      </c>
      <c r="T46" s="5">
        <f>IF(K46=-200, "д.вх.", K46)</f>
        <v/>
      </c>
      <c r="U46" s="5">
        <f>IF(L46=-200, "д.вх.", IF(N46, O46, L46))</f>
        <v/>
      </c>
      <c r="V46" s="5">
        <f>CurrAttrValue(G46, 0)</f>
        <v/>
      </c>
      <c r="W46" s="5">
        <f>IF(M46, "Блокирована", IF(N46, "Проверено", "-"))</f>
        <v/>
      </c>
    </row>
    <row r="47" ht="20" customHeight="1">
      <c r="A47">
        <f>"System.PZ.A034"</f>
        <v/>
      </c>
      <c r="B47">
        <f>CONCATENATE($A$2, $A$1, $A47, B$2)</f>
        <v/>
      </c>
      <c r="C47">
        <f>CONCATENATE($A$2, $A$1, $A47, C$2)</f>
        <v/>
      </c>
      <c r="D47">
        <f>CONCATENATE($A$2, $A$1, $A47, D$2)</f>
        <v/>
      </c>
      <c r="E47">
        <f>CONCATENATE($A$2, $A$1, $A47, E$2)</f>
        <v/>
      </c>
      <c r="F47">
        <f>CONCATENATE($A$2, $A$1, $A47, F$2)</f>
        <v/>
      </c>
      <c r="G47">
        <f>CONCATENATE($A$2, $A$1, $A47, G$2)</f>
        <v/>
      </c>
      <c r="H47">
        <f>CONCATENATE($A$2, $A$1, $A47, H$2)</f>
        <v/>
      </c>
      <c r="I47">
        <f>CONCATENATE($A$2, $A$1, $A47, I$2)</f>
        <v/>
      </c>
      <c r="J47">
        <f>CONCATENATE($A$2, $A$1, $A47, J$2)</f>
        <v/>
      </c>
      <c r="K47">
        <f>CurrAttrValue(D47, 0)</f>
        <v/>
      </c>
      <c r="L47">
        <f>CurrAttrValue(E47, 0)</f>
        <v/>
      </c>
      <c r="M47">
        <f>CurrAttrValue(H47, 0)</f>
        <v/>
      </c>
      <c r="N47">
        <f>CurrAttrValue(I47, 0)</f>
        <v/>
      </c>
      <c r="O47">
        <f>CurrAttrValue(J47, 0)</f>
        <v/>
      </c>
      <c r="P47" s="5">
        <f>"35"</f>
        <v/>
      </c>
      <c r="Q47" s="6">
        <f>"АОбс. Погасание на запуске по 6-й термопаре  "</f>
        <v/>
      </c>
      <c r="R47" s="7">
        <f>IF(N47, S47, "")</f>
        <v/>
      </c>
      <c r="S47" s="7">
        <f>CurrAttrValue(C47, 0)</f>
        <v/>
      </c>
      <c r="T47" s="5">
        <f>IF(K47=-200, "д.вх.", K47)</f>
        <v/>
      </c>
      <c r="U47" s="5">
        <f>IF(L47=-200, "д.вх.", IF(N47, O47, L47))</f>
        <v/>
      </c>
      <c r="V47" s="5">
        <f>CurrAttrValue(G47, 0)</f>
        <v/>
      </c>
      <c r="W47" s="5">
        <f>IF(M47, "Блокирована", IF(N47, "Проверено", "-"))</f>
        <v/>
      </c>
    </row>
    <row r="48" ht="20" customHeight="1">
      <c r="A48">
        <f>"System.PZ.A035"</f>
        <v/>
      </c>
      <c r="B48">
        <f>CONCATENATE($A$2, $A$1, $A48, B$2)</f>
        <v/>
      </c>
      <c r="C48">
        <f>CONCATENATE($A$2, $A$1, $A48, C$2)</f>
        <v/>
      </c>
      <c r="D48">
        <f>CONCATENATE($A$2, $A$1, $A48, D$2)</f>
        <v/>
      </c>
      <c r="E48">
        <f>CONCATENATE($A$2, $A$1, $A48, E$2)</f>
        <v/>
      </c>
      <c r="F48">
        <f>CONCATENATE($A$2, $A$1, $A48, F$2)</f>
        <v/>
      </c>
      <c r="G48">
        <f>CONCATENATE($A$2, $A$1, $A48, G$2)</f>
        <v/>
      </c>
      <c r="H48">
        <f>CONCATENATE($A$2, $A$1, $A48, H$2)</f>
        <v/>
      </c>
      <c r="I48">
        <f>CONCATENATE($A$2, $A$1, $A48, I$2)</f>
        <v/>
      </c>
      <c r="J48">
        <f>CONCATENATE($A$2, $A$1, $A48, J$2)</f>
        <v/>
      </c>
      <c r="K48">
        <f>CurrAttrValue(D48, 0)</f>
        <v/>
      </c>
      <c r="L48">
        <f>CurrAttrValue(E48, 0)</f>
        <v/>
      </c>
      <c r="M48">
        <f>CurrAttrValue(H48, 0)</f>
        <v/>
      </c>
      <c r="N48">
        <f>CurrAttrValue(I48, 0)</f>
        <v/>
      </c>
      <c r="O48">
        <f>CurrAttrValue(J48, 0)</f>
        <v/>
      </c>
      <c r="P48" s="5">
        <f>"36"</f>
        <v/>
      </c>
      <c r="Q48" s="6">
        <f>"АОбс. Погасание на запуске по 7-й термопаре  "</f>
        <v/>
      </c>
      <c r="R48" s="7">
        <f>IF(N48, S48, "")</f>
        <v/>
      </c>
      <c r="S48" s="7">
        <f>CurrAttrValue(C48, 0)</f>
        <v/>
      </c>
      <c r="T48" s="5">
        <f>IF(K48=-200, "д.вх.", K48)</f>
        <v/>
      </c>
      <c r="U48" s="5">
        <f>IF(L48=-200, "д.вх.", IF(N48, O48, L48))</f>
        <v/>
      </c>
      <c r="V48" s="5">
        <f>CurrAttrValue(G48, 0)</f>
        <v/>
      </c>
      <c r="W48" s="5">
        <f>IF(M48, "Блокирована", IF(N48, "Проверено", "-"))</f>
        <v/>
      </c>
    </row>
    <row r="49" ht="20" customHeight="1">
      <c r="A49">
        <f>"System.PZ.A036"</f>
        <v/>
      </c>
      <c r="B49">
        <f>CONCATENATE($A$2, $A$1, $A49, B$2)</f>
        <v/>
      </c>
      <c r="C49">
        <f>CONCATENATE($A$2, $A$1, $A49, C$2)</f>
        <v/>
      </c>
      <c r="D49">
        <f>CONCATENATE($A$2, $A$1, $A49, D$2)</f>
        <v/>
      </c>
      <c r="E49">
        <f>CONCATENATE($A$2, $A$1, $A49, E$2)</f>
        <v/>
      </c>
      <c r="F49">
        <f>CONCATENATE($A$2, $A$1, $A49, F$2)</f>
        <v/>
      </c>
      <c r="G49">
        <f>CONCATENATE($A$2, $A$1, $A49, G$2)</f>
        <v/>
      </c>
      <c r="H49">
        <f>CONCATENATE($A$2, $A$1, $A49, H$2)</f>
        <v/>
      </c>
      <c r="I49">
        <f>CONCATENATE($A$2, $A$1, $A49, I$2)</f>
        <v/>
      </c>
      <c r="J49">
        <f>CONCATENATE($A$2, $A$1, $A49, J$2)</f>
        <v/>
      </c>
      <c r="K49">
        <f>CurrAttrValue(D49, 0)</f>
        <v/>
      </c>
      <c r="L49">
        <f>CurrAttrValue(E49, 0)</f>
        <v/>
      </c>
      <c r="M49">
        <f>CurrAttrValue(H49, 0)</f>
        <v/>
      </c>
      <c r="N49">
        <f>CurrAttrValue(I49, 0)</f>
        <v/>
      </c>
      <c r="O49">
        <f>CurrAttrValue(J49, 0)</f>
        <v/>
      </c>
      <c r="P49" s="5">
        <f>"37"</f>
        <v/>
      </c>
      <c r="Q49" s="6">
        <f>"АОбс. Погасание на запуске по 8-й термопаре  "</f>
        <v/>
      </c>
      <c r="R49" s="7">
        <f>IF(N49, S49, "")</f>
        <v/>
      </c>
      <c r="S49" s="7">
        <f>CurrAttrValue(C49, 0)</f>
        <v/>
      </c>
      <c r="T49" s="5">
        <f>IF(K49=-200, "д.вх.", K49)</f>
        <v/>
      </c>
      <c r="U49" s="5">
        <f>IF(L49=-200, "д.вх.", IF(N49, O49, L49))</f>
        <v/>
      </c>
      <c r="V49" s="5">
        <f>CurrAttrValue(G49, 0)</f>
        <v/>
      </c>
      <c r="W49" s="5">
        <f>IF(M49, "Блокирована", IF(N49, "Проверено", "-"))</f>
        <v/>
      </c>
    </row>
    <row r="50" ht="20" customHeight="1">
      <c r="A50">
        <f>"System.PZ.A037"</f>
        <v/>
      </c>
      <c r="B50">
        <f>CONCATENATE($A$2, $A$1, $A50, B$2)</f>
        <v/>
      </c>
      <c r="C50">
        <f>CONCATENATE($A$2, $A$1, $A50, C$2)</f>
        <v/>
      </c>
      <c r="D50">
        <f>CONCATENATE($A$2, $A$1, $A50, D$2)</f>
        <v/>
      </c>
      <c r="E50">
        <f>CONCATENATE($A$2, $A$1, $A50, E$2)</f>
        <v/>
      </c>
      <c r="F50">
        <f>CONCATENATE($A$2, $A$1, $A50, F$2)</f>
        <v/>
      </c>
      <c r="G50">
        <f>CONCATENATE($A$2, $A$1, $A50, G$2)</f>
        <v/>
      </c>
      <c r="H50">
        <f>CONCATENATE($A$2, $A$1, $A50, H$2)</f>
        <v/>
      </c>
      <c r="I50">
        <f>CONCATENATE($A$2, $A$1, $A50, I$2)</f>
        <v/>
      </c>
      <c r="J50">
        <f>CONCATENATE($A$2, $A$1, $A50, J$2)</f>
        <v/>
      </c>
      <c r="K50">
        <f>CurrAttrValue(D50, 0)</f>
        <v/>
      </c>
      <c r="L50">
        <f>CurrAttrValue(E50, 0)</f>
        <v/>
      </c>
      <c r="M50">
        <f>CurrAttrValue(H50, 0)</f>
        <v/>
      </c>
      <c r="N50">
        <f>CurrAttrValue(I50, 0)</f>
        <v/>
      </c>
      <c r="O50">
        <f>CurrAttrValue(J50, 0)</f>
        <v/>
      </c>
      <c r="P50" s="5">
        <f>"38"</f>
        <v/>
      </c>
      <c r="Q50" s="6">
        <f>"АОбс. Погасание на запуске по 9-й термопаре  "</f>
        <v/>
      </c>
      <c r="R50" s="7">
        <f>IF(N50, S50, "")</f>
        <v/>
      </c>
      <c r="S50" s="7">
        <f>CurrAttrValue(C50, 0)</f>
        <v/>
      </c>
      <c r="T50" s="5">
        <f>IF(K50=-200, "д.вх.", K50)</f>
        <v/>
      </c>
      <c r="U50" s="5">
        <f>IF(L50=-200, "д.вх.", IF(N50, O50, L50))</f>
        <v/>
      </c>
      <c r="V50" s="5">
        <f>CurrAttrValue(G50, 0)</f>
        <v/>
      </c>
      <c r="W50" s="5">
        <f>IF(M50, "Блокирована", IF(N50, "Проверено", "-"))</f>
        <v/>
      </c>
    </row>
    <row r="51" ht="20" customHeight="1">
      <c r="A51">
        <f>"System.PZ.A038"</f>
        <v/>
      </c>
      <c r="B51">
        <f>CONCATENATE($A$2, $A$1, $A51, B$2)</f>
        <v/>
      </c>
      <c r="C51">
        <f>CONCATENATE($A$2, $A$1, $A51, C$2)</f>
        <v/>
      </c>
      <c r="D51">
        <f>CONCATENATE($A$2, $A$1, $A51, D$2)</f>
        <v/>
      </c>
      <c r="E51">
        <f>CONCATENATE($A$2, $A$1, $A51, E$2)</f>
        <v/>
      </c>
      <c r="F51">
        <f>CONCATENATE($A$2, $A$1, $A51, F$2)</f>
        <v/>
      </c>
      <c r="G51">
        <f>CONCATENATE($A$2, $A$1, $A51, G$2)</f>
        <v/>
      </c>
      <c r="H51">
        <f>CONCATENATE($A$2, $A$1, $A51, H$2)</f>
        <v/>
      </c>
      <c r="I51">
        <f>CONCATENATE($A$2, $A$1, $A51, I$2)</f>
        <v/>
      </c>
      <c r="J51">
        <f>CONCATENATE($A$2, $A$1, $A51, J$2)</f>
        <v/>
      </c>
      <c r="K51">
        <f>CurrAttrValue(D51, 0)</f>
        <v/>
      </c>
      <c r="L51">
        <f>CurrAttrValue(E51, 0)</f>
        <v/>
      </c>
      <c r="M51">
        <f>CurrAttrValue(H51, 0)</f>
        <v/>
      </c>
      <c r="N51">
        <f>CurrAttrValue(I51, 0)</f>
        <v/>
      </c>
      <c r="O51">
        <f>CurrAttrValue(J51, 0)</f>
        <v/>
      </c>
      <c r="P51" s="5">
        <f>"39"</f>
        <v/>
      </c>
      <c r="Q51" s="6">
        <f>"АОбс. Погасание на запуске по 10-й термопаре  "</f>
        <v/>
      </c>
      <c r="R51" s="7">
        <f>IF(N51, S51, "")</f>
        <v/>
      </c>
      <c r="S51" s="7">
        <f>CurrAttrValue(C51, 0)</f>
        <v/>
      </c>
      <c r="T51" s="5">
        <f>IF(K51=-200, "д.вх.", K51)</f>
        <v/>
      </c>
      <c r="U51" s="5">
        <f>IF(L51=-200, "д.вх.", IF(N51, O51, L51))</f>
        <v/>
      </c>
      <c r="V51" s="5">
        <f>CurrAttrValue(G51, 0)</f>
        <v/>
      </c>
      <c r="W51" s="5">
        <f>IF(M51, "Блокирована", IF(N51, "Проверено", "-"))</f>
        <v/>
      </c>
    </row>
    <row r="52" ht="20" customHeight="1">
      <c r="A52">
        <f>"System.PZ.A039"</f>
        <v/>
      </c>
      <c r="B52">
        <f>CONCATENATE($A$2, $A$1, $A52, B$2)</f>
        <v/>
      </c>
      <c r="C52">
        <f>CONCATENATE($A$2, $A$1, $A52, C$2)</f>
        <v/>
      </c>
      <c r="D52">
        <f>CONCATENATE($A$2, $A$1, $A52, D$2)</f>
        <v/>
      </c>
      <c r="E52">
        <f>CONCATENATE($A$2, $A$1, $A52, E$2)</f>
        <v/>
      </c>
      <c r="F52">
        <f>CONCATENATE($A$2, $A$1, $A52, F$2)</f>
        <v/>
      </c>
      <c r="G52">
        <f>CONCATENATE($A$2, $A$1, $A52, G$2)</f>
        <v/>
      </c>
      <c r="H52">
        <f>CONCATENATE($A$2, $A$1, $A52, H$2)</f>
        <v/>
      </c>
      <c r="I52">
        <f>CONCATENATE($A$2, $A$1, $A52, I$2)</f>
        <v/>
      </c>
      <c r="J52">
        <f>CONCATENATE($A$2, $A$1, $A52, J$2)</f>
        <v/>
      </c>
      <c r="K52">
        <f>CurrAttrValue(D52, 0)</f>
        <v/>
      </c>
      <c r="L52">
        <f>CurrAttrValue(E52, 0)</f>
        <v/>
      </c>
      <c r="M52">
        <f>CurrAttrValue(H52, 0)</f>
        <v/>
      </c>
      <c r="N52">
        <f>CurrAttrValue(I52, 0)</f>
        <v/>
      </c>
      <c r="O52">
        <f>CurrAttrValue(J52, 0)</f>
        <v/>
      </c>
      <c r="P52" s="5">
        <f>"40"</f>
        <v/>
      </c>
      <c r="Q52" s="6">
        <f>"АОбс. Погасание на запуске по 11-й термопаре  "</f>
        <v/>
      </c>
      <c r="R52" s="7">
        <f>IF(N52, S52, "")</f>
        <v/>
      </c>
      <c r="S52" s="7">
        <f>CurrAttrValue(C52, 0)</f>
        <v/>
      </c>
      <c r="T52" s="5">
        <f>IF(K52=-200, "д.вх.", K52)</f>
        <v/>
      </c>
      <c r="U52" s="5">
        <f>IF(L52=-200, "д.вх.", IF(N52, O52, L52))</f>
        <v/>
      </c>
      <c r="V52" s="5">
        <f>CurrAttrValue(G52, 0)</f>
        <v/>
      </c>
      <c r="W52" s="5">
        <f>IF(M52, "Блокирована", IF(N52, "Проверено", "-"))</f>
        <v/>
      </c>
    </row>
    <row r="53" ht="20" customHeight="1">
      <c r="A53">
        <f>"System.PZ.A040"</f>
        <v/>
      </c>
      <c r="B53">
        <f>CONCATENATE($A$2, $A$1, $A53, B$2)</f>
        <v/>
      </c>
      <c r="C53">
        <f>CONCATENATE($A$2, $A$1, $A53, C$2)</f>
        <v/>
      </c>
      <c r="D53">
        <f>CONCATENATE($A$2, $A$1, $A53, D$2)</f>
        <v/>
      </c>
      <c r="E53">
        <f>CONCATENATE($A$2, $A$1, $A53, E$2)</f>
        <v/>
      </c>
      <c r="F53">
        <f>CONCATENATE($A$2, $A$1, $A53, F$2)</f>
        <v/>
      </c>
      <c r="G53">
        <f>CONCATENATE($A$2, $A$1, $A53, G$2)</f>
        <v/>
      </c>
      <c r="H53">
        <f>CONCATENATE($A$2, $A$1, $A53, H$2)</f>
        <v/>
      </c>
      <c r="I53">
        <f>CONCATENATE($A$2, $A$1, $A53, I$2)</f>
        <v/>
      </c>
      <c r="J53">
        <f>CONCATENATE($A$2, $A$1, $A53, J$2)</f>
        <v/>
      </c>
      <c r="K53">
        <f>CurrAttrValue(D53, 0)</f>
        <v/>
      </c>
      <c r="L53">
        <f>CurrAttrValue(E53, 0)</f>
        <v/>
      </c>
      <c r="M53">
        <f>CurrAttrValue(H53, 0)</f>
        <v/>
      </c>
      <c r="N53">
        <f>CurrAttrValue(I53, 0)</f>
        <v/>
      </c>
      <c r="O53">
        <f>CurrAttrValue(J53, 0)</f>
        <v/>
      </c>
      <c r="P53" s="5">
        <f>"41"</f>
        <v/>
      </c>
      <c r="Q53" s="6">
        <f>"АОбс. Погасание на запуске по 12-й термопаре  "</f>
        <v/>
      </c>
      <c r="R53" s="7">
        <f>IF(N53, S53, "")</f>
        <v/>
      </c>
      <c r="S53" s="7">
        <f>CurrAttrValue(C53, 0)</f>
        <v/>
      </c>
      <c r="T53" s="5">
        <f>IF(K53=-200, "д.вх.", K53)</f>
        <v/>
      </c>
      <c r="U53" s="5">
        <f>IF(L53=-200, "д.вх.", IF(N53, O53, L53))</f>
        <v/>
      </c>
      <c r="V53" s="5">
        <f>CurrAttrValue(G53, 0)</f>
        <v/>
      </c>
      <c r="W53" s="5">
        <f>IF(M53, "Блокирована", IF(N53, "Проверено", "-"))</f>
        <v/>
      </c>
    </row>
    <row r="54" ht="20" customHeight="1">
      <c r="A54">
        <f>"System.PZ.A041"</f>
        <v/>
      </c>
      <c r="B54">
        <f>CONCATENATE($A$2, $A$1, $A54, B$2)</f>
        <v/>
      </c>
      <c r="C54">
        <f>CONCATENATE($A$2, $A$1, $A54, C$2)</f>
        <v/>
      </c>
      <c r="D54">
        <f>CONCATENATE($A$2, $A$1, $A54, D$2)</f>
        <v/>
      </c>
      <c r="E54">
        <f>CONCATENATE($A$2, $A$1, $A54, E$2)</f>
        <v/>
      </c>
      <c r="F54">
        <f>CONCATENATE($A$2, $A$1, $A54, F$2)</f>
        <v/>
      </c>
      <c r="G54">
        <f>CONCATENATE($A$2, $A$1, $A54, G$2)</f>
        <v/>
      </c>
      <c r="H54">
        <f>CONCATENATE($A$2, $A$1, $A54, H$2)</f>
        <v/>
      </c>
      <c r="I54">
        <f>CONCATENATE($A$2, $A$1, $A54, I$2)</f>
        <v/>
      </c>
      <c r="J54">
        <f>CONCATENATE($A$2, $A$1, $A54, J$2)</f>
        <v/>
      </c>
      <c r="K54">
        <f>CurrAttrValue(D54, 0)</f>
        <v/>
      </c>
      <c r="L54">
        <f>CurrAttrValue(E54, 0)</f>
        <v/>
      </c>
      <c r="M54">
        <f>CurrAttrValue(H54, 0)</f>
        <v/>
      </c>
      <c r="N54">
        <f>CurrAttrValue(I54, 0)</f>
        <v/>
      </c>
      <c r="O54">
        <f>CurrAttrValue(J54, 0)</f>
        <v/>
      </c>
      <c r="P54" s="5">
        <f>"42"</f>
        <v/>
      </c>
      <c r="Q54" s="6">
        <f>"АОбс. Погасание на режиме по 1-й термопаре  "</f>
        <v/>
      </c>
      <c r="R54" s="7">
        <f>IF(N54, S54, "")</f>
        <v/>
      </c>
      <c r="S54" s="7">
        <f>CurrAttrValue(C54, 0)</f>
        <v/>
      </c>
      <c r="T54" s="5">
        <f>IF(K54=-200, "д.вх.", K54)</f>
        <v/>
      </c>
      <c r="U54" s="5">
        <f>IF(L54=-200, "д.вх.", IF(N54, O54, L54))</f>
        <v/>
      </c>
      <c r="V54" s="5">
        <f>CurrAttrValue(G54, 0)</f>
        <v/>
      </c>
      <c r="W54" s="5">
        <f>IF(M54, "Блокирована", IF(N54, "Проверено", "-"))</f>
        <v/>
      </c>
    </row>
    <row r="55" ht="20" customHeight="1">
      <c r="A55">
        <f>"System.PZ.A042"</f>
        <v/>
      </c>
      <c r="B55">
        <f>CONCATENATE($A$2, $A$1, $A55, B$2)</f>
        <v/>
      </c>
      <c r="C55">
        <f>CONCATENATE($A$2, $A$1, $A55, C$2)</f>
        <v/>
      </c>
      <c r="D55">
        <f>CONCATENATE($A$2, $A$1, $A55, D$2)</f>
        <v/>
      </c>
      <c r="E55">
        <f>CONCATENATE($A$2, $A$1, $A55, E$2)</f>
        <v/>
      </c>
      <c r="F55">
        <f>CONCATENATE($A$2, $A$1, $A55, F$2)</f>
        <v/>
      </c>
      <c r="G55">
        <f>CONCATENATE($A$2, $A$1, $A55, G$2)</f>
        <v/>
      </c>
      <c r="H55">
        <f>CONCATENATE($A$2, $A$1, $A55, H$2)</f>
        <v/>
      </c>
      <c r="I55">
        <f>CONCATENATE($A$2, $A$1, $A55, I$2)</f>
        <v/>
      </c>
      <c r="J55">
        <f>CONCATENATE($A$2, $A$1, $A55, J$2)</f>
        <v/>
      </c>
      <c r="K55">
        <f>CurrAttrValue(D55, 0)</f>
        <v/>
      </c>
      <c r="L55">
        <f>CurrAttrValue(E55, 0)</f>
        <v/>
      </c>
      <c r="M55">
        <f>CurrAttrValue(H55, 0)</f>
        <v/>
      </c>
      <c r="N55">
        <f>CurrAttrValue(I55, 0)</f>
        <v/>
      </c>
      <c r="O55">
        <f>CurrAttrValue(J55, 0)</f>
        <v/>
      </c>
      <c r="P55" s="5">
        <f>"43"</f>
        <v/>
      </c>
      <c r="Q55" s="6">
        <f>"АОбс. Погасание на режиме по 2-й термопаре  "</f>
        <v/>
      </c>
      <c r="R55" s="7">
        <f>IF(N55, S55, "")</f>
        <v/>
      </c>
      <c r="S55" s="7">
        <f>CurrAttrValue(C55, 0)</f>
        <v/>
      </c>
      <c r="T55" s="5">
        <f>IF(K55=-200, "д.вх.", K55)</f>
        <v/>
      </c>
      <c r="U55" s="5">
        <f>IF(L55=-200, "д.вх.", IF(N55, O55, L55))</f>
        <v/>
      </c>
      <c r="V55" s="5">
        <f>CurrAttrValue(G55, 0)</f>
        <v/>
      </c>
      <c r="W55" s="5">
        <f>IF(M55, "Блокирована", IF(N55, "Проверено", "-"))</f>
        <v/>
      </c>
    </row>
    <row r="56" ht="20" customHeight="1">
      <c r="A56">
        <f>"System.PZ.A043"</f>
        <v/>
      </c>
      <c r="B56">
        <f>CONCATENATE($A$2, $A$1, $A56, B$2)</f>
        <v/>
      </c>
      <c r="C56">
        <f>CONCATENATE($A$2, $A$1, $A56, C$2)</f>
        <v/>
      </c>
      <c r="D56">
        <f>CONCATENATE($A$2, $A$1, $A56, D$2)</f>
        <v/>
      </c>
      <c r="E56">
        <f>CONCATENATE($A$2, $A$1, $A56, E$2)</f>
        <v/>
      </c>
      <c r="F56">
        <f>CONCATENATE($A$2, $A$1, $A56, F$2)</f>
        <v/>
      </c>
      <c r="G56">
        <f>CONCATENATE($A$2, $A$1, $A56, G$2)</f>
        <v/>
      </c>
      <c r="H56">
        <f>CONCATENATE($A$2, $A$1, $A56, H$2)</f>
        <v/>
      </c>
      <c r="I56">
        <f>CONCATENATE($A$2, $A$1, $A56, I$2)</f>
        <v/>
      </c>
      <c r="J56">
        <f>CONCATENATE($A$2, $A$1, $A56, J$2)</f>
        <v/>
      </c>
      <c r="K56">
        <f>CurrAttrValue(D56, 0)</f>
        <v/>
      </c>
      <c r="L56">
        <f>CurrAttrValue(E56, 0)</f>
        <v/>
      </c>
      <c r="M56">
        <f>CurrAttrValue(H56, 0)</f>
        <v/>
      </c>
      <c r="N56">
        <f>CurrAttrValue(I56, 0)</f>
        <v/>
      </c>
      <c r="O56">
        <f>CurrAttrValue(J56, 0)</f>
        <v/>
      </c>
      <c r="P56" s="5">
        <f>"44"</f>
        <v/>
      </c>
      <c r="Q56" s="6">
        <f>"АОбс. Погасание на режиме по 3-й термопаре  "</f>
        <v/>
      </c>
      <c r="R56" s="7">
        <f>IF(N56, S56, "")</f>
        <v/>
      </c>
      <c r="S56" s="7">
        <f>CurrAttrValue(C56, 0)</f>
        <v/>
      </c>
      <c r="T56" s="5">
        <f>IF(K56=-200, "д.вх.", K56)</f>
        <v/>
      </c>
      <c r="U56" s="5">
        <f>IF(L56=-200, "д.вх.", IF(N56, O56, L56))</f>
        <v/>
      </c>
      <c r="V56" s="5">
        <f>CurrAttrValue(G56, 0)</f>
        <v/>
      </c>
      <c r="W56" s="5">
        <f>IF(M56, "Блокирована", IF(N56, "Проверено", "-"))</f>
        <v/>
      </c>
    </row>
    <row r="57" ht="20" customHeight="1">
      <c r="A57">
        <f>"System.PZ.A044"</f>
        <v/>
      </c>
      <c r="B57">
        <f>CONCATENATE($A$2, $A$1, $A57, B$2)</f>
        <v/>
      </c>
      <c r="C57">
        <f>CONCATENATE($A$2, $A$1, $A57, C$2)</f>
        <v/>
      </c>
      <c r="D57">
        <f>CONCATENATE($A$2, $A$1, $A57, D$2)</f>
        <v/>
      </c>
      <c r="E57">
        <f>CONCATENATE($A$2, $A$1, $A57, E$2)</f>
        <v/>
      </c>
      <c r="F57">
        <f>CONCATENATE($A$2, $A$1, $A57, F$2)</f>
        <v/>
      </c>
      <c r="G57">
        <f>CONCATENATE($A$2, $A$1, $A57, G$2)</f>
        <v/>
      </c>
      <c r="H57">
        <f>CONCATENATE($A$2, $A$1, $A57, H$2)</f>
        <v/>
      </c>
      <c r="I57">
        <f>CONCATENATE($A$2, $A$1, $A57, I$2)</f>
        <v/>
      </c>
      <c r="J57">
        <f>CONCATENATE($A$2, $A$1, $A57, J$2)</f>
        <v/>
      </c>
      <c r="K57">
        <f>CurrAttrValue(D57, 0)</f>
        <v/>
      </c>
      <c r="L57">
        <f>CurrAttrValue(E57, 0)</f>
        <v/>
      </c>
      <c r="M57">
        <f>CurrAttrValue(H57, 0)</f>
        <v/>
      </c>
      <c r="N57">
        <f>CurrAttrValue(I57, 0)</f>
        <v/>
      </c>
      <c r="O57">
        <f>CurrAttrValue(J57, 0)</f>
        <v/>
      </c>
      <c r="P57" s="5">
        <f>"45"</f>
        <v/>
      </c>
      <c r="Q57" s="6">
        <f>"АОбс. Погасание на режиме по 4-й термопаре  "</f>
        <v/>
      </c>
      <c r="R57" s="7">
        <f>IF(N57, S57, "")</f>
        <v/>
      </c>
      <c r="S57" s="7">
        <f>CurrAttrValue(C57, 0)</f>
        <v/>
      </c>
      <c r="T57" s="5">
        <f>IF(K57=-200, "д.вх.", K57)</f>
        <v/>
      </c>
      <c r="U57" s="5">
        <f>IF(L57=-200, "д.вх.", IF(N57, O57, L57))</f>
        <v/>
      </c>
      <c r="V57" s="5">
        <f>CurrAttrValue(G57, 0)</f>
        <v/>
      </c>
      <c r="W57" s="5">
        <f>IF(M57, "Блокирована", IF(N57, "Проверено", "-"))</f>
        <v/>
      </c>
    </row>
    <row r="58" ht="20" customHeight="1">
      <c r="A58">
        <f>"System.PZ.A045"</f>
        <v/>
      </c>
      <c r="B58">
        <f>CONCATENATE($A$2, $A$1, $A58, B$2)</f>
        <v/>
      </c>
      <c r="C58">
        <f>CONCATENATE($A$2, $A$1, $A58, C$2)</f>
        <v/>
      </c>
      <c r="D58">
        <f>CONCATENATE($A$2, $A$1, $A58, D$2)</f>
        <v/>
      </c>
      <c r="E58">
        <f>CONCATENATE($A$2, $A$1, $A58, E$2)</f>
        <v/>
      </c>
      <c r="F58">
        <f>CONCATENATE($A$2, $A$1, $A58, F$2)</f>
        <v/>
      </c>
      <c r="G58">
        <f>CONCATENATE($A$2, $A$1, $A58, G$2)</f>
        <v/>
      </c>
      <c r="H58">
        <f>CONCATENATE($A$2, $A$1, $A58, H$2)</f>
        <v/>
      </c>
      <c r="I58">
        <f>CONCATENATE($A$2, $A$1, $A58, I$2)</f>
        <v/>
      </c>
      <c r="J58">
        <f>CONCATENATE($A$2, $A$1, $A58, J$2)</f>
        <v/>
      </c>
      <c r="K58">
        <f>CurrAttrValue(D58, 0)</f>
        <v/>
      </c>
      <c r="L58">
        <f>CurrAttrValue(E58, 0)</f>
        <v/>
      </c>
      <c r="M58">
        <f>CurrAttrValue(H58, 0)</f>
        <v/>
      </c>
      <c r="N58">
        <f>CurrAttrValue(I58, 0)</f>
        <v/>
      </c>
      <c r="O58">
        <f>CurrAttrValue(J58, 0)</f>
        <v/>
      </c>
      <c r="P58" s="5">
        <f>"46"</f>
        <v/>
      </c>
      <c r="Q58" s="6">
        <f>"АОбс. Погасание на режиме по 5-й термопаре  "</f>
        <v/>
      </c>
      <c r="R58" s="7">
        <f>IF(N58, S58, "")</f>
        <v/>
      </c>
      <c r="S58" s="7">
        <f>CurrAttrValue(C58, 0)</f>
        <v/>
      </c>
      <c r="T58" s="5">
        <f>IF(K58=-200, "д.вх.", K58)</f>
        <v/>
      </c>
      <c r="U58" s="5">
        <f>IF(L58=-200, "д.вх.", IF(N58, O58, L58))</f>
        <v/>
      </c>
      <c r="V58" s="5">
        <f>CurrAttrValue(G58, 0)</f>
        <v/>
      </c>
      <c r="W58" s="5">
        <f>IF(M58, "Блокирована", IF(N58, "Проверено", "-"))</f>
        <v/>
      </c>
    </row>
    <row r="59" ht="20" customHeight="1">
      <c r="A59">
        <f>"System.PZ.A046"</f>
        <v/>
      </c>
      <c r="B59">
        <f>CONCATENATE($A$2, $A$1, $A59, B$2)</f>
        <v/>
      </c>
      <c r="C59">
        <f>CONCATENATE($A$2, $A$1, $A59, C$2)</f>
        <v/>
      </c>
      <c r="D59">
        <f>CONCATENATE($A$2, $A$1, $A59, D$2)</f>
        <v/>
      </c>
      <c r="E59">
        <f>CONCATENATE($A$2, $A$1, $A59, E$2)</f>
        <v/>
      </c>
      <c r="F59">
        <f>CONCATENATE($A$2, $A$1, $A59, F$2)</f>
        <v/>
      </c>
      <c r="G59">
        <f>CONCATENATE($A$2, $A$1, $A59, G$2)</f>
        <v/>
      </c>
      <c r="H59">
        <f>CONCATENATE($A$2, $A$1, $A59, H$2)</f>
        <v/>
      </c>
      <c r="I59">
        <f>CONCATENATE($A$2, $A$1, $A59, I$2)</f>
        <v/>
      </c>
      <c r="J59">
        <f>CONCATENATE($A$2, $A$1, $A59, J$2)</f>
        <v/>
      </c>
      <c r="K59">
        <f>CurrAttrValue(D59, 0)</f>
        <v/>
      </c>
      <c r="L59">
        <f>CurrAttrValue(E59, 0)</f>
        <v/>
      </c>
      <c r="M59">
        <f>CurrAttrValue(H59, 0)</f>
        <v/>
      </c>
      <c r="N59">
        <f>CurrAttrValue(I59, 0)</f>
        <v/>
      </c>
      <c r="O59">
        <f>CurrAttrValue(J59, 0)</f>
        <v/>
      </c>
      <c r="P59" s="5">
        <f>"47"</f>
        <v/>
      </c>
      <c r="Q59" s="6">
        <f>"АОбс. Погасание на режиме по 6-й термопаре  "</f>
        <v/>
      </c>
      <c r="R59" s="7">
        <f>IF(N59, S59, "")</f>
        <v/>
      </c>
      <c r="S59" s="7">
        <f>CurrAttrValue(C59, 0)</f>
        <v/>
      </c>
      <c r="T59" s="5">
        <f>IF(K59=-200, "д.вх.", K59)</f>
        <v/>
      </c>
      <c r="U59" s="5">
        <f>IF(L59=-200, "д.вх.", IF(N59, O59, L59))</f>
        <v/>
      </c>
      <c r="V59" s="5">
        <f>CurrAttrValue(G59, 0)</f>
        <v/>
      </c>
      <c r="W59" s="5">
        <f>IF(M59, "Блокирована", IF(N59, "Проверено", "-"))</f>
        <v/>
      </c>
    </row>
    <row r="60" ht="20" customHeight="1">
      <c r="A60">
        <f>"System.PZ.A047"</f>
        <v/>
      </c>
      <c r="B60">
        <f>CONCATENATE($A$2, $A$1, $A60, B$2)</f>
        <v/>
      </c>
      <c r="C60">
        <f>CONCATENATE($A$2, $A$1, $A60, C$2)</f>
        <v/>
      </c>
      <c r="D60">
        <f>CONCATENATE($A$2, $A$1, $A60, D$2)</f>
        <v/>
      </c>
      <c r="E60">
        <f>CONCATENATE($A$2, $A$1, $A60, E$2)</f>
        <v/>
      </c>
      <c r="F60">
        <f>CONCATENATE($A$2, $A$1, $A60, F$2)</f>
        <v/>
      </c>
      <c r="G60">
        <f>CONCATENATE($A$2, $A$1, $A60, G$2)</f>
        <v/>
      </c>
      <c r="H60">
        <f>CONCATENATE($A$2, $A$1, $A60, H$2)</f>
        <v/>
      </c>
      <c r="I60">
        <f>CONCATENATE($A$2, $A$1, $A60, I$2)</f>
        <v/>
      </c>
      <c r="J60">
        <f>CONCATENATE($A$2, $A$1, $A60, J$2)</f>
        <v/>
      </c>
      <c r="K60">
        <f>CurrAttrValue(D60, 0)</f>
        <v/>
      </c>
      <c r="L60">
        <f>CurrAttrValue(E60, 0)</f>
        <v/>
      </c>
      <c r="M60">
        <f>CurrAttrValue(H60, 0)</f>
        <v/>
      </c>
      <c r="N60">
        <f>CurrAttrValue(I60, 0)</f>
        <v/>
      </c>
      <c r="O60">
        <f>CurrAttrValue(J60, 0)</f>
        <v/>
      </c>
      <c r="P60" s="5">
        <f>"48"</f>
        <v/>
      </c>
      <c r="Q60" s="6">
        <f>"АОбс. Погасание на режиме по 7-й термопаре  "</f>
        <v/>
      </c>
      <c r="R60" s="7">
        <f>IF(N60, S60, "")</f>
        <v/>
      </c>
      <c r="S60" s="7">
        <f>CurrAttrValue(C60, 0)</f>
        <v/>
      </c>
      <c r="T60" s="5">
        <f>IF(K60=-200, "д.вх.", K60)</f>
        <v/>
      </c>
      <c r="U60" s="5">
        <f>IF(L60=-200, "д.вх.", IF(N60, O60, L60))</f>
        <v/>
      </c>
      <c r="V60" s="5">
        <f>CurrAttrValue(G60, 0)</f>
        <v/>
      </c>
      <c r="W60" s="5">
        <f>IF(M60, "Блокирована", IF(N60, "Проверено", "-"))</f>
        <v/>
      </c>
    </row>
    <row r="61" ht="20" customHeight="1">
      <c r="A61">
        <f>"System.PZ.A048"</f>
        <v/>
      </c>
      <c r="B61">
        <f>CONCATENATE($A$2, $A$1, $A61, B$2)</f>
        <v/>
      </c>
      <c r="C61">
        <f>CONCATENATE($A$2, $A$1, $A61, C$2)</f>
        <v/>
      </c>
      <c r="D61">
        <f>CONCATENATE($A$2, $A$1, $A61, D$2)</f>
        <v/>
      </c>
      <c r="E61">
        <f>CONCATENATE($A$2, $A$1, $A61, E$2)</f>
        <v/>
      </c>
      <c r="F61">
        <f>CONCATENATE($A$2, $A$1, $A61, F$2)</f>
        <v/>
      </c>
      <c r="G61">
        <f>CONCATENATE($A$2, $A$1, $A61, G$2)</f>
        <v/>
      </c>
      <c r="H61">
        <f>CONCATENATE($A$2, $A$1, $A61, H$2)</f>
        <v/>
      </c>
      <c r="I61">
        <f>CONCATENATE($A$2, $A$1, $A61, I$2)</f>
        <v/>
      </c>
      <c r="J61">
        <f>CONCATENATE($A$2, $A$1, $A61, J$2)</f>
        <v/>
      </c>
      <c r="K61">
        <f>CurrAttrValue(D61, 0)</f>
        <v/>
      </c>
      <c r="L61">
        <f>CurrAttrValue(E61, 0)</f>
        <v/>
      </c>
      <c r="M61">
        <f>CurrAttrValue(H61, 0)</f>
        <v/>
      </c>
      <c r="N61">
        <f>CurrAttrValue(I61, 0)</f>
        <v/>
      </c>
      <c r="O61">
        <f>CurrAttrValue(J61, 0)</f>
        <v/>
      </c>
      <c r="P61" s="5">
        <f>"49"</f>
        <v/>
      </c>
      <c r="Q61" s="6">
        <f>"АОбс. Погасание на режиме по 8-й термопаре  "</f>
        <v/>
      </c>
      <c r="R61" s="7">
        <f>IF(N61, S61, "")</f>
        <v/>
      </c>
      <c r="S61" s="7">
        <f>CurrAttrValue(C61, 0)</f>
        <v/>
      </c>
      <c r="T61" s="5">
        <f>IF(K61=-200, "д.вх.", K61)</f>
        <v/>
      </c>
      <c r="U61" s="5">
        <f>IF(L61=-200, "д.вх.", IF(N61, O61, L61))</f>
        <v/>
      </c>
      <c r="V61" s="5">
        <f>CurrAttrValue(G61, 0)</f>
        <v/>
      </c>
      <c r="W61" s="5">
        <f>IF(M61, "Блокирована", IF(N61, "Проверено", "-"))</f>
        <v/>
      </c>
    </row>
    <row r="62" ht="20" customHeight="1">
      <c r="A62">
        <f>"System.PZ.A049"</f>
        <v/>
      </c>
      <c r="B62">
        <f>CONCATENATE($A$2, $A$1, $A62, B$2)</f>
        <v/>
      </c>
      <c r="C62">
        <f>CONCATENATE($A$2, $A$1, $A62, C$2)</f>
        <v/>
      </c>
      <c r="D62">
        <f>CONCATENATE($A$2, $A$1, $A62, D$2)</f>
        <v/>
      </c>
      <c r="E62">
        <f>CONCATENATE($A$2, $A$1, $A62, E$2)</f>
        <v/>
      </c>
      <c r="F62">
        <f>CONCATENATE($A$2, $A$1, $A62, F$2)</f>
        <v/>
      </c>
      <c r="G62">
        <f>CONCATENATE($A$2, $A$1, $A62, G$2)</f>
        <v/>
      </c>
      <c r="H62">
        <f>CONCATENATE($A$2, $A$1, $A62, H$2)</f>
        <v/>
      </c>
      <c r="I62">
        <f>CONCATENATE($A$2, $A$1, $A62, I$2)</f>
        <v/>
      </c>
      <c r="J62">
        <f>CONCATENATE($A$2, $A$1, $A62, J$2)</f>
        <v/>
      </c>
      <c r="K62">
        <f>CurrAttrValue(D62, 0)</f>
        <v/>
      </c>
      <c r="L62">
        <f>CurrAttrValue(E62, 0)</f>
        <v/>
      </c>
      <c r="M62">
        <f>CurrAttrValue(H62, 0)</f>
        <v/>
      </c>
      <c r="N62">
        <f>CurrAttrValue(I62, 0)</f>
        <v/>
      </c>
      <c r="O62">
        <f>CurrAttrValue(J62, 0)</f>
        <v/>
      </c>
      <c r="P62" s="5">
        <f>"50"</f>
        <v/>
      </c>
      <c r="Q62" s="6">
        <f>"АОбс. Погасание на режиме по 9-й термопаре  "</f>
        <v/>
      </c>
      <c r="R62" s="7">
        <f>IF(N62, S62, "")</f>
        <v/>
      </c>
      <c r="S62" s="7">
        <f>CurrAttrValue(C62, 0)</f>
        <v/>
      </c>
      <c r="T62" s="5">
        <f>IF(K62=-200, "д.вх.", K62)</f>
        <v/>
      </c>
      <c r="U62" s="5">
        <f>IF(L62=-200, "д.вх.", IF(N62, O62, L62))</f>
        <v/>
      </c>
      <c r="V62" s="5">
        <f>CurrAttrValue(G62, 0)</f>
        <v/>
      </c>
      <c r="W62" s="5">
        <f>IF(M62, "Блокирована", IF(N62, "Проверено", "-"))</f>
        <v/>
      </c>
    </row>
    <row r="63" ht="20" customHeight="1">
      <c r="A63">
        <f>"System.PZ.A050"</f>
        <v/>
      </c>
      <c r="B63">
        <f>CONCATENATE($A$2, $A$1, $A63, B$2)</f>
        <v/>
      </c>
      <c r="C63">
        <f>CONCATENATE($A$2, $A$1, $A63, C$2)</f>
        <v/>
      </c>
      <c r="D63">
        <f>CONCATENATE($A$2, $A$1, $A63, D$2)</f>
        <v/>
      </c>
      <c r="E63">
        <f>CONCATENATE($A$2, $A$1, $A63, E$2)</f>
        <v/>
      </c>
      <c r="F63">
        <f>CONCATENATE($A$2, $A$1, $A63, F$2)</f>
        <v/>
      </c>
      <c r="G63">
        <f>CONCATENATE($A$2, $A$1, $A63, G$2)</f>
        <v/>
      </c>
      <c r="H63">
        <f>CONCATENATE($A$2, $A$1, $A63, H$2)</f>
        <v/>
      </c>
      <c r="I63">
        <f>CONCATENATE($A$2, $A$1, $A63, I$2)</f>
        <v/>
      </c>
      <c r="J63">
        <f>CONCATENATE($A$2, $A$1, $A63, J$2)</f>
        <v/>
      </c>
      <c r="K63">
        <f>CurrAttrValue(D63, 0)</f>
        <v/>
      </c>
      <c r="L63">
        <f>CurrAttrValue(E63, 0)</f>
        <v/>
      </c>
      <c r="M63">
        <f>CurrAttrValue(H63, 0)</f>
        <v/>
      </c>
      <c r="N63">
        <f>CurrAttrValue(I63, 0)</f>
        <v/>
      </c>
      <c r="O63">
        <f>CurrAttrValue(J63, 0)</f>
        <v/>
      </c>
      <c r="P63" s="5">
        <f>"51"</f>
        <v/>
      </c>
      <c r="Q63" s="6">
        <f>"АОбс. Погасание на режиме по 10-й термопаре  "</f>
        <v/>
      </c>
      <c r="R63" s="7">
        <f>IF(N63, S63, "")</f>
        <v/>
      </c>
      <c r="S63" s="7">
        <f>CurrAttrValue(C63, 0)</f>
        <v/>
      </c>
      <c r="T63" s="5">
        <f>IF(K63=-200, "д.вх.", K63)</f>
        <v/>
      </c>
      <c r="U63" s="5">
        <f>IF(L63=-200, "д.вх.", IF(N63, O63, L63))</f>
        <v/>
      </c>
      <c r="V63" s="5">
        <f>CurrAttrValue(G63, 0)</f>
        <v/>
      </c>
      <c r="W63" s="5">
        <f>IF(M63, "Блокирована", IF(N63, "Проверено", "-"))</f>
        <v/>
      </c>
    </row>
    <row r="64" ht="20" customHeight="1">
      <c r="A64">
        <f>"System.PZ.A051"</f>
        <v/>
      </c>
      <c r="B64">
        <f>CONCATENATE($A$2, $A$1, $A64, B$2)</f>
        <v/>
      </c>
      <c r="C64">
        <f>CONCATENATE($A$2, $A$1, $A64, C$2)</f>
        <v/>
      </c>
      <c r="D64">
        <f>CONCATENATE($A$2, $A$1, $A64, D$2)</f>
        <v/>
      </c>
      <c r="E64">
        <f>CONCATENATE($A$2, $A$1, $A64, E$2)</f>
        <v/>
      </c>
      <c r="F64">
        <f>CONCATENATE($A$2, $A$1, $A64, F$2)</f>
        <v/>
      </c>
      <c r="G64">
        <f>CONCATENATE($A$2, $A$1, $A64, G$2)</f>
        <v/>
      </c>
      <c r="H64">
        <f>CONCATENATE($A$2, $A$1, $A64, H$2)</f>
        <v/>
      </c>
      <c r="I64">
        <f>CONCATENATE($A$2, $A$1, $A64, I$2)</f>
        <v/>
      </c>
      <c r="J64">
        <f>CONCATENATE($A$2, $A$1, $A64, J$2)</f>
        <v/>
      </c>
      <c r="K64">
        <f>CurrAttrValue(D64, 0)</f>
        <v/>
      </c>
      <c r="L64">
        <f>CurrAttrValue(E64, 0)</f>
        <v/>
      </c>
      <c r="M64">
        <f>CurrAttrValue(H64, 0)</f>
        <v/>
      </c>
      <c r="N64">
        <f>CurrAttrValue(I64, 0)</f>
        <v/>
      </c>
      <c r="O64">
        <f>CurrAttrValue(J64, 0)</f>
        <v/>
      </c>
      <c r="P64" s="5">
        <f>"52"</f>
        <v/>
      </c>
      <c r="Q64" s="6">
        <f>"АОбс. Погасание на режиме по 11-й термопаре  "</f>
        <v/>
      </c>
      <c r="R64" s="7">
        <f>IF(N64, S64, "")</f>
        <v/>
      </c>
      <c r="S64" s="7">
        <f>CurrAttrValue(C64, 0)</f>
        <v/>
      </c>
      <c r="T64" s="5">
        <f>IF(K64=-200, "д.вх.", K64)</f>
        <v/>
      </c>
      <c r="U64" s="5">
        <f>IF(L64=-200, "д.вх.", IF(N64, O64, L64))</f>
        <v/>
      </c>
      <c r="V64" s="5">
        <f>CurrAttrValue(G64, 0)</f>
        <v/>
      </c>
      <c r="W64" s="5">
        <f>IF(M64, "Блокирована", IF(N64, "Проверено", "-"))</f>
        <v/>
      </c>
    </row>
    <row r="67" ht="35" customHeight="1">
      <c r="Q67" s="8">
        <f>"должность"</f>
        <v/>
      </c>
      <c r="R67" s="9" t="n"/>
      <c r="S67" s="8">
        <f>"ФИО"</f>
        <v/>
      </c>
      <c r="T67" s="9" t="n"/>
      <c r="U67" s="8">
        <f>"подпись"</f>
        <v/>
      </c>
    </row>
    <row r="68" ht="35" customHeight="1">
      <c r="Q68" s="8">
        <f>"должность"</f>
        <v/>
      </c>
      <c r="R68" s="9" t="n"/>
      <c r="S68" s="8">
        <f>"ФИО"</f>
        <v/>
      </c>
      <c r="T68" s="9" t="n"/>
      <c r="U68" s="8">
        <f>"подпись"</f>
        <v/>
      </c>
    </row>
    <row r="69" ht="35" customHeight="1">
      <c r="Q69" s="8">
        <f>"должность"</f>
        <v/>
      </c>
      <c r="R69" s="9" t="n"/>
      <c r="S69" s="8">
        <f>"ФИО"</f>
        <v/>
      </c>
      <c r="T69" s="9" t="n"/>
      <c r="U69" s="8">
        <f>"подпись"</f>
        <v/>
      </c>
    </row>
    <row r="71" ht="25" customHeight="1">
      <c r="Q71" s="1">
        <f>"Протокол проверки защит ГПА3 на "</f>
        <v/>
      </c>
      <c r="R71" s="2">
        <f>R1</f>
        <v/>
      </c>
      <c r="S71" s="3">
        <f>S1</f>
        <v/>
      </c>
    </row>
    <row r="73" ht="20" customHeight="1">
      <c r="P73" s="4">
        <f>"№"</f>
        <v/>
      </c>
      <c r="Q73" s="4">
        <f>"Наименование защиты  "</f>
        <v/>
      </c>
      <c r="R73" s="4">
        <f>"Таймер"</f>
        <v/>
      </c>
      <c r="S73" s="4">
        <f>"Задержка"</f>
        <v/>
      </c>
      <c r="T73" s="4">
        <f>"Уставка"</f>
        <v/>
      </c>
      <c r="U73" s="4">
        <f>"Значение"</f>
        <v/>
      </c>
      <c r="V73" s="4">
        <f>"Eд.изм"</f>
        <v/>
      </c>
      <c r="W73" s="4">
        <f>"Отметка о проверке"</f>
        <v/>
      </c>
    </row>
    <row r="74" ht="20" customHeight="1">
      <c r="A74">
        <f>"System.PZ.A052"</f>
        <v/>
      </c>
      <c r="B74">
        <f>CONCATENATE($A$2, $A$1, $A74, B$2)</f>
        <v/>
      </c>
      <c r="C74">
        <f>CONCATENATE($A$2, $A$1, $A74, C$2)</f>
        <v/>
      </c>
      <c r="D74">
        <f>CONCATENATE($A$2, $A$1, $A74, D$2)</f>
        <v/>
      </c>
      <c r="E74">
        <f>CONCATENATE($A$2, $A$1, $A74, E$2)</f>
        <v/>
      </c>
      <c r="F74">
        <f>CONCATENATE($A$2, $A$1, $A74, F$2)</f>
        <v/>
      </c>
      <c r="G74">
        <f>CONCATENATE($A$2, $A$1, $A74, G$2)</f>
        <v/>
      </c>
      <c r="H74">
        <f>CONCATENATE($A$2, $A$1, $A74, H$2)</f>
        <v/>
      </c>
      <c r="I74">
        <f>CONCATENATE($A$2, $A$1, $A74, I$2)</f>
        <v/>
      </c>
      <c r="J74">
        <f>CONCATENATE($A$2, $A$1, $A74, J$2)</f>
        <v/>
      </c>
      <c r="K74">
        <f>CurrAttrValue(D74, 0)</f>
        <v/>
      </c>
      <c r="L74">
        <f>CurrAttrValue(E74, 0)</f>
        <v/>
      </c>
      <c r="M74">
        <f>CurrAttrValue(H74, 0)</f>
        <v/>
      </c>
      <c r="N74">
        <f>CurrAttrValue(I74, 0)</f>
        <v/>
      </c>
      <c r="O74">
        <f>CurrAttrValue(J74, 0)</f>
        <v/>
      </c>
      <c r="P74" s="5">
        <f>"53"</f>
        <v/>
      </c>
      <c r="Q74" s="6">
        <f>"АОбс. Погасание на режиме по 12-й термопаре  "</f>
        <v/>
      </c>
      <c r="R74" s="7">
        <f>IF(N74, S74, "")</f>
        <v/>
      </c>
      <c r="S74" s="7">
        <f>CurrAttrValue(C74, 0)</f>
        <v/>
      </c>
      <c r="T74" s="5">
        <f>IF(K74=-200, "д.вх.", K74)</f>
        <v/>
      </c>
      <c r="U74" s="5">
        <f>IF(L74=-200, "д.вх.", IF(N74, O74, L74))</f>
        <v/>
      </c>
      <c r="V74" s="5">
        <f>CurrAttrValue(G74, 0)</f>
        <v/>
      </c>
      <c r="W74" s="5">
        <f>IF(M74, "Блокирована", IF(N74, "Проверено", "-"))</f>
        <v/>
      </c>
    </row>
    <row r="75" ht="20" customHeight="1">
      <c r="A75">
        <f>"System.PZ.A053"</f>
        <v/>
      </c>
      <c r="B75">
        <f>CONCATENATE($A$2, $A$1, $A75, B$2)</f>
        <v/>
      </c>
      <c r="C75">
        <f>CONCATENATE($A$2, $A$1, $A75, C$2)</f>
        <v/>
      </c>
      <c r="D75">
        <f>CONCATENATE($A$2, $A$1, $A75, D$2)</f>
        <v/>
      </c>
      <c r="E75">
        <f>CONCATENATE($A$2, $A$1, $A75, E$2)</f>
        <v/>
      </c>
      <c r="F75">
        <f>CONCATENATE($A$2, $A$1, $A75, F$2)</f>
        <v/>
      </c>
      <c r="G75">
        <f>CONCATENATE($A$2, $A$1, $A75, G$2)</f>
        <v/>
      </c>
      <c r="H75">
        <f>CONCATENATE($A$2, $A$1, $A75, H$2)</f>
        <v/>
      </c>
      <c r="I75">
        <f>CONCATENATE($A$2, $A$1, $A75, I$2)</f>
        <v/>
      </c>
      <c r="J75">
        <f>CONCATENATE($A$2, $A$1, $A75, J$2)</f>
        <v/>
      </c>
      <c r="K75">
        <f>CurrAttrValue(D75, 0)</f>
        <v/>
      </c>
      <c r="L75">
        <f>CurrAttrValue(E75, 0)</f>
        <v/>
      </c>
      <c r="M75">
        <f>CurrAttrValue(H75, 0)</f>
        <v/>
      </c>
      <c r="N75">
        <f>CurrAttrValue(I75, 0)</f>
        <v/>
      </c>
      <c r="O75">
        <f>CurrAttrValue(J75, 0)</f>
        <v/>
      </c>
      <c r="P75" s="5">
        <f>"54"</f>
        <v/>
      </c>
      <c r="Q75" s="6">
        <f>"АОбс. Отказ канала измерения Тв на входе в двигатель на запуске  "</f>
        <v/>
      </c>
      <c r="R75" s="7">
        <f>IF(N75, S75, "")</f>
        <v/>
      </c>
      <c r="S75" s="7">
        <f>CurrAttrValue(C75, 0)</f>
        <v/>
      </c>
      <c r="T75" s="5">
        <f>IF(K75=-200, "д.вх.", K75)</f>
        <v/>
      </c>
      <c r="U75" s="5">
        <f>IF(L75=-200, "д.вх.", IF(N75, O75, L75))</f>
        <v/>
      </c>
      <c r="V75" s="5">
        <f>CurrAttrValue(G75, 0)</f>
        <v/>
      </c>
      <c r="W75" s="5">
        <f>IF(M75, "Блокирована", IF(N75, "Проверено", "-"))</f>
        <v/>
      </c>
    </row>
    <row r="76" ht="20" customHeight="1">
      <c r="A76">
        <f>"System.PZ.A054"</f>
        <v/>
      </c>
      <c r="B76">
        <f>CONCATENATE($A$2, $A$1, $A76, B$2)</f>
        <v/>
      </c>
      <c r="C76">
        <f>CONCATENATE($A$2, $A$1, $A76, C$2)</f>
        <v/>
      </c>
      <c r="D76">
        <f>CONCATENATE($A$2, $A$1, $A76, D$2)</f>
        <v/>
      </c>
      <c r="E76">
        <f>CONCATENATE($A$2, $A$1, $A76, E$2)</f>
        <v/>
      </c>
      <c r="F76">
        <f>CONCATENATE($A$2, $A$1, $A76, F$2)</f>
        <v/>
      </c>
      <c r="G76">
        <f>CONCATENATE($A$2, $A$1, $A76, G$2)</f>
        <v/>
      </c>
      <c r="H76">
        <f>CONCATENATE($A$2, $A$1, $A76, H$2)</f>
        <v/>
      </c>
      <c r="I76">
        <f>CONCATENATE($A$2, $A$1, $A76, I$2)</f>
        <v/>
      </c>
      <c r="J76">
        <f>CONCATENATE($A$2, $A$1, $A76, J$2)</f>
        <v/>
      </c>
      <c r="K76">
        <f>CurrAttrValue(D76, 0)</f>
        <v/>
      </c>
      <c r="L76">
        <f>CurrAttrValue(E76, 0)</f>
        <v/>
      </c>
      <c r="M76">
        <f>CurrAttrValue(H76, 0)</f>
        <v/>
      </c>
      <c r="N76">
        <f>CurrAttrValue(I76, 0)</f>
        <v/>
      </c>
      <c r="O76">
        <f>CurrAttrValue(J76, 0)</f>
        <v/>
      </c>
      <c r="P76" s="5">
        <f>"55"</f>
        <v/>
      </c>
      <c r="Q76" s="6">
        <f>"ВОбс. Отказ канала измерения Тв на входе в двигатель  "</f>
        <v/>
      </c>
      <c r="R76" s="7">
        <f>IF(N76, S76, "")</f>
        <v/>
      </c>
      <c r="S76" s="7">
        <f>CurrAttrValue(C76, 0)</f>
        <v/>
      </c>
      <c r="T76" s="5">
        <f>IF(K76=-200, "д.вх.", K76)</f>
        <v/>
      </c>
      <c r="U76" s="5">
        <f>IF(L76=-200, "д.вх.", IF(N76, O76, L76))</f>
        <v/>
      </c>
      <c r="V76" s="5">
        <f>CurrAttrValue(G76, 0)</f>
        <v/>
      </c>
      <c r="W76" s="5">
        <f>IF(M76, "Блокирована", IF(N76, "Проверено", "-"))</f>
        <v/>
      </c>
    </row>
    <row r="77" ht="20" customHeight="1">
      <c r="A77">
        <f>"System.PZ.A055"</f>
        <v/>
      </c>
      <c r="B77">
        <f>CONCATENATE($A$2, $A$1, $A77, B$2)</f>
        <v/>
      </c>
      <c r="C77">
        <f>CONCATENATE($A$2, $A$1, $A77, C$2)</f>
        <v/>
      </c>
      <c r="D77">
        <f>CONCATENATE($A$2, $A$1, $A77, D$2)</f>
        <v/>
      </c>
      <c r="E77">
        <f>CONCATENATE($A$2, $A$1, $A77, E$2)</f>
        <v/>
      </c>
      <c r="F77">
        <f>CONCATENATE($A$2, $A$1, $A77, F$2)</f>
        <v/>
      </c>
      <c r="G77">
        <f>CONCATENATE($A$2, $A$1, $A77, G$2)</f>
        <v/>
      </c>
      <c r="H77">
        <f>CONCATENATE($A$2, $A$1, $A77, H$2)</f>
        <v/>
      </c>
      <c r="I77">
        <f>CONCATENATE($A$2, $A$1, $A77, I$2)</f>
        <v/>
      </c>
      <c r="J77">
        <f>CONCATENATE($A$2, $A$1, $A77, J$2)</f>
        <v/>
      </c>
      <c r="K77">
        <f>CurrAttrValue(D77, 0)</f>
        <v/>
      </c>
      <c r="L77">
        <f>CurrAttrValue(E77, 0)</f>
        <v/>
      </c>
      <c r="M77">
        <f>CurrAttrValue(H77, 0)</f>
        <v/>
      </c>
      <c r="N77">
        <f>CurrAttrValue(I77, 0)</f>
        <v/>
      </c>
      <c r="O77">
        <f>CurrAttrValue(J77, 0)</f>
        <v/>
      </c>
      <c r="P77" s="5">
        <f>"56"</f>
        <v/>
      </c>
      <c r="Q77" s="6">
        <f>"АОбс. Низкая температура масла на входе в двигатель  "</f>
        <v/>
      </c>
      <c r="R77" s="7">
        <f>IF(N77, S77, "")</f>
        <v/>
      </c>
      <c r="S77" s="7">
        <f>CurrAttrValue(C77, 0)</f>
        <v/>
      </c>
      <c r="T77" s="5">
        <f>IF(K77=-200, "д.вх.", K77)</f>
        <v/>
      </c>
      <c r="U77" s="5">
        <f>IF(L77=-200, "д.вх.", IF(N77, O77, L77))</f>
        <v/>
      </c>
      <c r="V77" s="5">
        <f>CurrAttrValue(G77, 0)</f>
        <v/>
      </c>
      <c r="W77" s="5">
        <f>IF(M77, "Блокирована", IF(N77, "Проверено", "-"))</f>
        <v/>
      </c>
    </row>
    <row r="78" ht="20" customHeight="1">
      <c r="A78">
        <f>"System.PZ.A056"</f>
        <v/>
      </c>
      <c r="B78">
        <f>CONCATENATE($A$2, $A$1, $A78, B$2)</f>
        <v/>
      </c>
      <c r="C78">
        <f>CONCATENATE($A$2, $A$1, $A78, C$2)</f>
        <v/>
      </c>
      <c r="D78">
        <f>CONCATENATE($A$2, $A$1, $A78, D$2)</f>
        <v/>
      </c>
      <c r="E78">
        <f>CONCATENATE($A$2, $A$1, $A78, E$2)</f>
        <v/>
      </c>
      <c r="F78">
        <f>CONCATENATE($A$2, $A$1, $A78, F$2)</f>
        <v/>
      </c>
      <c r="G78">
        <f>CONCATENATE($A$2, $A$1, $A78, G$2)</f>
        <v/>
      </c>
      <c r="H78">
        <f>CONCATENATE($A$2, $A$1, $A78, H$2)</f>
        <v/>
      </c>
      <c r="I78">
        <f>CONCATENATE($A$2, $A$1, $A78, I$2)</f>
        <v/>
      </c>
      <c r="J78">
        <f>CONCATENATE($A$2, $A$1, $A78, J$2)</f>
        <v/>
      </c>
      <c r="K78">
        <f>CurrAttrValue(D78, 0)</f>
        <v/>
      </c>
      <c r="L78">
        <f>CurrAttrValue(E78, 0)</f>
        <v/>
      </c>
      <c r="M78">
        <f>CurrAttrValue(H78, 0)</f>
        <v/>
      </c>
      <c r="N78">
        <f>CurrAttrValue(I78, 0)</f>
        <v/>
      </c>
      <c r="O78">
        <f>CurrAttrValue(J78, 0)</f>
        <v/>
      </c>
      <c r="P78" s="5">
        <f>"57"</f>
        <v/>
      </c>
      <c r="Q78" s="6">
        <f>"АОбс. Отказ каналы температуры масла на входе в двигатель  "</f>
        <v/>
      </c>
      <c r="R78" s="7">
        <f>IF(N78, S78, "")</f>
        <v/>
      </c>
      <c r="S78" s="7">
        <f>CurrAttrValue(C78, 0)</f>
        <v/>
      </c>
      <c r="T78" s="5">
        <f>IF(K78=-200, "д.вх.", K78)</f>
        <v/>
      </c>
      <c r="U78" s="5">
        <f>IF(L78=-200, "д.вх.", IF(N78, O78, L78))</f>
        <v/>
      </c>
      <c r="V78" s="5">
        <f>CurrAttrValue(G78, 0)</f>
        <v/>
      </c>
      <c r="W78" s="5">
        <f>IF(M78, "Блокирована", IF(N78, "Проверено", "-"))</f>
        <v/>
      </c>
    </row>
    <row r="79" ht="20" customHeight="1">
      <c r="A79">
        <f>"System.PZ.A057"</f>
        <v/>
      </c>
      <c r="B79">
        <f>CONCATENATE($A$2, $A$1, $A79, B$2)</f>
        <v/>
      </c>
      <c r="C79">
        <f>CONCATENATE($A$2, $A$1, $A79, C$2)</f>
        <v/>
      </c>
      <c r="D79">
        <f>CONCATENATE($A$2, $A$1, $A79, D$2)</f>
        <v/>
      </c>
      <c r="E79">
        <f>CONCATENATE($A$2, $A$1, $A79, E$2)</f>
        <v/>
      </c>
      <c r="F79">
        <f>CONCATENATE($A$2, $A$1, $A79, F$2)</f>
        <v/>
      </c>
      <c r="G79">
        <f>CONCATENATE($A$2, $A$1, $A79, G$2)</f>
        <v/>
      </c>
      <c r="H79">
        <f>CONCATENATE($A$2, $A$1, $A79, H$2)</f>
        <v/>
      </c>
      <c r="I79">
        <f>CONCATENATE($A$2, $A$1, $A79, I$2)</f>
        <v/>
      </c>
      <c r="J79">
        <f>CONCATENATE($A$2, $A$1, $A79, J$2)</f>
        <v/>
      </c>
      <c r="K79">
        <f>CurrAttrValue(D79, 0)</f>
        <v/>
      </c>
      <c r="L79">
        <f>CurrAttrValue(E79, 0)</f>
        <v/>
      </c>
      <c r="M79">
        <f>CurrAttrValue(H79, 0)</f>
        <v/>
      </c>
      <c r="N79">
        <f>CurrAttrValue(I79, 0)</f>
        <v/>
      </c>
      <c r="O79">
        <f>CurrAttrValue(J79, 0)</f>
        <v/>
      </c>
      <c r="P79" s="5">
        <f>"58"</f>
        <v/>
      </c>
      <c r="Q79" s="6">
        <f>"ВОбс. Повышенная температура масла на входе в двигатель  "</f>
        <v/>
      </c>
      <c r="R79" s="7">
        <f>IF(N79, S79, "")</f>
        <v/>
      </c>
      <c r="S79" s="7">
        <f>CurrAttrValue(C79, 0)</f>
        <v/>
      </c>
      <c r="T79" s="5">
        <f>IF(K79=-200, "д.вх.", K79)</f>
        <v/>
      </c>
      <c r="U79" s="5">
        <f>IF(L79=-200, "д.вх.", IF(N79, O79, L79))</f>
        <v/>
      </c>
      <c r="V79" s="5">
        <f>CurrAttrValue(G79, 0)</f>
        <v/>
      </c>
      <c r="W79" s="5">
        <f>IF(M79, "Блокирована", IF(N79, "Проверено", "-"))</f>
        <v/>
      </c>
    </row>
    <row r="80" ht="20" customHeight="1">
      <c r="A80">
        <f>"System.PZ.A058"</f>
        <v/>
      </c>
      <c r="B80">
        <f>CONCATENATE($A$2, $A$1, $A80, B$2)</f>
        <v/>
      </c>
      <c r="C80">
        <f>CONCATENATE($A$2, $A$1, $A80, C$2)</f>
        <v/>
      </c>
      <c r="D80">
        <f>CONCATENATE($A$2, $A$1, $A80, D$2)</f>
        <v/>
      </c>
      <c r="E80">
        <f>CONCATENATE($A$2, $A$1, $A80, E$2)</f>
        <v/>
      </c>
      <c r="F80">
        <f>CONCATENATE($A$2, $A$1, $A80, F$2)</f>
        <v/>
      </c>
      <c r="G80">
        <f>CONCATENATE($A$2, $A$1, $A80, G$2)</f>
        <v/>
      </c>
      <c r="H80">
        <f>CONCATENATE($A$2, $A$1, $A80, H$2)</f>
        <v/>
      </c>
      <c r="I80">
        <f>CONCATENATE($A$2, $A$1, $A80, I$2)</f>
        <v/>
      </c>
      <c r="J80">
        <f>CONCATENATE($A$2, $A$1, $A80, J$2)</f>
        <v/>
      </c>
      <c r="K80">
        <f>CurrAttrValue(D80, 0)</f>
        <v/>
      </c>
      <c r="L80">
        <f>CurrAttrValue(E80, 0)</f>
        <v/>
      </c>
      <c r="M80">
        <f>CurrAttrValue(H80, 0)</f>
        <v/>
      </c>
      <c r="N80">
        <f>CurrAttrValue(I80, 0)</f>
        <v/>
      </c>
      <c r="O80">
        <f>CurrAttrValue(J80, 0)</f>
        <v/>
      </c>
      <c r="P80" s="5">
        <f>"59"</f>
        <v/>
      </c>
      <c r="Q80" s="6">
        <f>"ВОбс. Отказ датчика Тм на выходе из опоры ШП КВД  "</f>
        <v/>
      </c>
      <c r="R80" s="7">
        <f>IF(N80, S80, "")</f>
        <v/>
      </c>
      <c r="S80" s="7">
        <f>CurrAttrValue(C80, 0)</f>
        <v/>
      </c>
      <c r="T80" s="5">
        <f>IF(K80=-200, "д.вх.", K80)</f>
        <v/>
      </c>
      <c r="U80" s="5">
        <f>IF(L80=-200, "д.вх.", IF(N80, O80, L80))</f>
        <v/>
      </c>
      <c r="V80" s="5">
        <f>CurrAttrValue(G80, 0)</f>
        <v/>
      </c>
      <c r="W80" s="5">
        <f>IF(M80, "Блокирована", IF(N80, "Проверено", "-"))</f>
        <v/>
      </c>
    </row>
    <row r="81" ht="20" customHeight="1">
      <c r="A81">
        <f>"System.PZ.A059"</f>
        <v/>
      </c>
      <c r="B81">
        <f>CONCATENATE($A$2, $A$1, $A81, B$2)</f>
        <v/>
      </c>
      <c r="C81">
        <f>CONCATENATE($A$2, $A$1, $A81, C$2)</f>
        <v/>
      </c>
      <c r="D81">
        <f>CONCATENATE($A$2, $A$1, $A81, D$2)</f>
        <v/>
      </c>
      <c r="E81">
        <f>CONCATENATE($A$2, $A$1, $A81, E$2)</f>
        <v/>
      </c>
      <c r="F81">
        <f>CONCATENATE($A$2, $A$1, $A81, F$2)</f>
        <v/>
      </c>
      <c r="G81">
        <f>CONCATENATE($A$2, $A$1, $A81, G$2)</f>
        <v/>
      </c>
      <c r="H81">
        <f>CONCATENATE($A$2, $A$1, $A81, H$2)</f>
        <v/>
      </c>
      <c r="I81">
        <f>CONCATENATE($A$2, $A$1, $A81, I$2)</f>
        <v/>
      </c>
      <c r="J81">
        <f>CONCATENATE($A$2, $A$1, $A81, J$2)</f>
        <v/>
      </c>
      <c r="K81">
        <f>CurrAttrValue(D81, 0)</f>
        <v/>
      </c>
      <c r="L81">
        <f>CurrAttrValue(E81, 0)</f>
        <v/>
      </c>
      <c r="M81">
        <f>CurrAttrValue(H81, 0)</f>
        <v/>
      </c>
      <c r="N81">
        <f>CurrAttrValue(I81, 0)</f>
        <v/>
      </c>
      <c r="O81">
        <f>CurrAttrValue(J81, 0)</f>
        <v/>
      </c>
      <c r="P81" s="5">
        <f>"60"</f>
        <v/>
      </c>
      <c r="Q81" s="6">
        <f>"АОбс. Отказ датчика Тм на выходе из опоры ШП КВД на запуске  "</f>
        <v/>
      </c>
      <c r="R81" s="7">
        <f>IF(N81, S81, "")</f>
        <v/>
      </c>
      <c r="S81" s="7">
        <f>CurrAttrValue(C81, 0)</f>
        <v/>
      </c>
      <c r="T81" s="5">
        <f>IF(K81=-200, "д.вх.", K81)</f>
        <v/>
      </c>
      <c r="U81" s="5">
        <f>IF(L81=-200, "д.вх.", IF(N81, O81, L81))</f>
        <v/>
      </c>
      <c r="V81" s="5">
        <f>CurrAttrValue(G81, 0)</f>
        <v/>
      </c>
      <c r="W81" s="5">
        <f>IF(M81, "Блокирована", IF(N81, "Проверено", "-"))</f>
        <v/>
      </c>
    </row>
    <row r="82" ht="20" customHeight="1">
      <c r="A82">
        <f>"System.PZ.A060"</f>
        <v/>
      </c>
      <c r="B82">
        <f>CONCATENATE($A$2, $A$1, $A82, B$2)</f>
        <v/>
      </c>
      <c r="C82">
        <f>CONCATENATE($A$2, $A$1, $A82, C$2)</f>
        <v/>
      </c>
      <c r="D82">
        <f>CONCATENATE($A$2, $A$1, $A82, D$2)</f>
        <v/>
      </c>
      <c r="E82">
        <f>CONCATENATE($A$2, $A$1, $A82, E$2)</f>
        <v/>
      </c>
      <c r="F82">
        <f>CONCATENATE($A$2, $A$1, $A82, F$2)</f>
        <v/>
      </c>
      <c r="G82">
        <f>CONCATENATE($A$2, $A$1, $A82, G$2)</f>
        <v/>
      </c>
      <c r="H82">
        <f>CONCATENATE($A$2, $A$1, $A82, H$2)</f>
        <v/>
      </c>
      <c r="I82">
        <f>CONCATENATE($A$2, $A$1, $A82, I$2)</f>
        <v/>
      </c>
      <c r="J82">
        <f>CONCATENATE($A$2, $A$1, $A82, J$2)</f>
        <v/>
      </c>
      <c r="K82">
        <f>CurrAttrValue(D82, 0)</f>
        <v/>
      </c>
      <c r="L82">
        <f>CurrAttrValue(E82, 0)</f>
        <v/>
      </c>
      <c r="M82">
        <f>CurrAttrValue(H82, 0)</f>
        <v/>
      </c>
      <c r="N82">
        <f>CurrAttrValue(I82, 0)</f>
        <v/>
      </c>
      <c r="O82">
        <f>CurrAttrValue(J82, 0)</f>
        <v/>
      </c>
      <c r="P82" s="5">
        <f>"61"</f>
        <v/>
      </c>
      <c r="Q82" s="6">
        <f>"ВОбс. Высокая температура масла откачки от ШП КВД  "</f>
        <v/>
      </c>
      <c r="R82" s="7">
        <f>IF(N82, S82, "")</f>
        <v/>
      </c>
      <c r="S82" s="7">
        <f>CurrAttrValue(C82, 0)</f>
        <v/>
      </c>
      <c r="T82" s="5">
        <f>IF(K82=-200, "д.вх.", K82)</f>
        <v/>
      </c>
      <c r="U82" s="5">
        <f>IF(L82=-200, "д.вх.", IF(N82, O82, L82))</f>
        <v/>
      </c>
      <c r="V82" s="5">
        <f>CurrAttrValue(G82, 0)</f>
        <v/>
      </c>
      <c r="W82" s="5">
        <f>IF(M82, "Блокирована", IF(N82, "Проверено", "-"))</f>
        <v/>
      </c>
    </row>
    <row r="83" ht="20" customHeight="1">
      <c r="A83">
        <f>"System.PZ.A061"</f>
        <v/>
      </c>
      <c r="B83">
        <f>CONCATENATE($A$2, $A$1, $A83, B$2)</f>
        <v/>
      </c>
      <c r="C83">
        <f>CONCATENATE($A$2, $A$1, $A83, C$2)</f>
        <v/>
      </c>
      <c r="D83">
        <f>CONCATENATE($A$2, $A$1, $A83, D$2)</f>
        <v/>
      </c>
      <c r="E83">
        <f>CONCATENATE($A$2, $A$1, $A83, E$2)</f>
        <v/>
      </c>
      <c r="F83">
        <f>CONCATENATE($A$2, $A$1, $A83, F$2)</f>
        <v/>
      </c>
      <c r="G83">
        <f>CONCATENATE($A$2, $A$1, $A83, G$2)</f>
        <v/>
      </c>
      <c r="H83">
        <f>CONCATENATE($A$2, $A$1, $A83, H$2)</f>
        <v/>
      </c>
      <c r="I83">
        <f>CONCATENATE($A$2, $A$1, $A83, I$2)</f>
        <v/>
      </c>
      <c r="J83">
        <f>CONCATENATE($A$2, $A$1, $A83, J$2)</f>
        <v/>
      </c>
      <c r="K83">
        <f>CurrAttrValue(D83, 0)</f>
        <v/>
      </c>
      <c r="L83">
        <f>CurrAttrValue(E83, 0)</f>
        <v/>
      </c>
      <c r="M83">
        <f>CurrAttrValue(H83, 0)</f>
        <v/>
      </c>
      <c r="N83">
        <f>CurrAttrValue(I83, 0)</f>
        <v/>
      </c>
      <c r="O83">
        <f>CurrAttrValue(J83, 0)</f>
        <v/>
      </c>
      <c r="P83" s="5">
        <f>"62"</f>
        <v/>
      </c>
      <c r="Q83" s="6">
        <f>"АОбс. Высокая температура масла откачки от ШП КВД  "</f>
        <v/>
      </c>
      <c r="R83" s="7">
        <f>IF(N83, S83, "")</f>
        <v/>
      </c>
      <c r="S83" s="7">
        <f>CurrAttrValue(C83, 0)</f>
        <v/>
      </c>
      <c r="T83" s="5">
        <f>IF(K83=-200, "д.вх.", K83)</f>
        <v/>
      </c>
      <c r="U83" s="5">
        <f>IF(L83=-200, "д.вх.", IF(N83, O83, L83))</f>
        <v/>
      </c>
      <c r="V83" s="5">
        <f>CurrAttrValue(G83, 0)</f>
        <v/>
      </c>
      <c r="W83" s="5">
        <f>IF(M83, "Блокирована", IF(N83, "Проверено", "-"))</f>
        <v/>
      </c>
    </row>
    <row r="84" ht="20" customHeight="1">
      <c r="A84">
        <f>"System.PZ.A062"</f>
        <v/>
      </c>
      <c r="B84">
        <f>CONCATENATE($A$2, $A$1, $A84, B$2)</f>
        <v/>
      </c>
      <c r="C84">
        <f>CONCATENATE($A$2, $A$1, $A84, C$2)</f>
        <v/>
      </c>
      <c r="D84">
        <f>CONCATENATE($A$2, $A$1, $A84, D$2)</f>
        <v/>
      </c>
      <c r="E84">
        <f>CONCATENATE($A$2, $A$1, $A84, E$2)</f>
        <v/>
      </c>
      <c r="F84">
        <f>CONCATENATE($A$2, $A$1, $A84, F$2)</f>
        <v/>
      </c>
      <c r="G84">
        <f>CONCATENATE($A$2, $A$1, $A84, G$2)</f>
        <v/>
      </c>
      <c r="H84">
        <f>CONCATENATE($A$2, $A$1, $A84, H$2)</f>
        <v/>
      </c>
      <c r="I84">
        <f>CONCATENATE($A$2, $A$1, $A84, I$2)</f>
        <v/>
      </c>
      <c r="J84">
        <f>CONCATENATE($A$2, $A$1, $A84, J$2)</f>
        <v/>
      </c>
      <c r="K84">
        <f>CurrAttrValue(D84, 0)</f>
        <v/>
      </c>
      <c r="L84">
        <f>CurrAttrValue(E84, 0)</f>
        <v/>
      </c>
      <c r="M84">
        <f>CurrAttrValue(H84, 0)</f>
        <v/>
      </c>
      <c r="N84">
        <f>CurrAttrValue(I84, 0)</f>
        <v/>
      </c>
      <c r="O84">
        <f>CurrAttrValue(J84, 0)</f>
        <v/>
      </c>
      <c r="P84" s="5">
        <f>"63"</f>
        <v/>
      </c>
      <c r="Q84" s="6">
        <f>"ВОбс. Отказ датчика Тм на выходе из опоры РП ТВД  "</f>
        <v/>
      </c>
      <c r="R84" s="7">
        <f>IF(N84, S84, "")</f>
        <v/>
      </c>
      <c r="S84" s="7">
        <f>CurrAttrValue(C84, 0)</f>
        <v/>
      </c>
      <c r="T84" s="5">
        <f>IF(K84=-200, "д.вх.", K84)</f>
        <v/>
      </c>
      <c r="U84" s="5">
        <f>IF(L84=-200, "д.вх.", IF(N84, O84, L84))</f>
        <v/>
      </c>
      <c r="V84" s="5">
        <f>CurrAttrValue(G84, 0)</f>
        <v/>
      </c>
      <c r="W84" s="5">
        <f>IF(M84, "Блокирована", IF(N84, "Проверено", "-"))</f>
        <v/>
      </c>
    </row>
    <row r="85" ht="20" customHeight="1">
      <c r="A85">
        <f>"System.PZ.A063"</f>
        <v/>
      </c>
      <c r="B85">
        <f>CONCATENATE($A$2, $A$1, $A85, B$2)</f>
        <v/>
      </c>
      <c r="C85">
        <f>CONCATENATE($A$2, $A$1, $A85, C$2)</f>
        <v/>
      </c>
      <c r="D85">
        <f>CONCATENATE($A$2, $A$1, $A85, D$2)</f>
        <v/>
      </c>
      <c r="E85">
        <f>CONCATENATE($A$2, $A$1, $A85, E$2)</f>
        <v/>
      </c>
      <c r="F85">
        <f>CONCATENATE($A$2, $A$1, $A85, F$2)</f>
        <v/>
      </c>
      <c r="G85">
        <f>CONCATENATE($A$2, $A$1, $A85, G$2)</f>
        <v/>
      </c>
      <c r="H85">
        <f>CONCATENATE($A$2, $A$1, $A85, H$2)</f>
        <v/>
      </c>
      <c r="I85">
        <f>CONCATENATE($A$2, $A$1, $A85, I$2)</f>
        <v/>
      </c>
      <c r="J85">
        <f>CONCATENATE($A$2, $A$1, $A85, J$2)</f>
        <v/>
      </c>
      <c r="K85">
        <f>CurrAttrValue(D85, 0)</f>
        <v/>
      </c>
      <c r="L85">
        <f>CurrAttrValue(E85, 0)</f>
        <v/>
      </c>
      <c r="M85">
        <f>CurrAttrValue(H85, 0)</f>
        <v/>
      </c>
      <c r="N85">
        <f>CurrAttrValue(I85, 0)</f>
        <v/>
      </c>
      <c r="O85">
        <f>CurrAttrValue(J85, 0)</f>
        <v/>
      </c>
      <c r="P85" s="5">
        <f>"64"</f>
        <v/>
      </c>
      <c r="Q85" s="6">
        <f>"АОбс. Отказ датчика Тм на выходе из опоры РП ТВД на запуске  "</f>
        <v/>
      </c>
      <c r="R85" s="7">
        <f>IF(N85, S85, "")</f>
        <v/>
      </c>
      <c r="S85" s="7">
        <f>CurrAttrValue(C85, 0)</f>
        <v/>
      </c>
      <c r="T85" s="5">
        <f>IF(K85=-200, "д.вх.", K85)</f>
        <v/>
      </c>
      <c r="U85" s="5">
        <f>IF(L85=-200, "д.вх.", IF(N85, O85, L85))</f>
        <v/>
      </c>
      <c r="V85" s="5">
        <f>CurrAttrValue(G85, 0)</f>
        <v/>
      </c>
      <c r="W85" s="5">
        <f>IF(M85, "Блокирована", IF(N85, "Проверено", "-"))</f>
        <v/>
      </c>
    </row>
    <row r="86" ht="20" customHeight="1">
      <c r="A86">
        <f>"System.PZ.A064"</f>
        <v/>
      </c>
      <c r="B86">
        <f>CONCATENATE($A$2, $A$1, $A86, B$2)</f>
        <v/>
      </c>
      <c r="C86">
        <f>CONCATENATE($A$2, $A$1, $A86, C$2)</f>
        <v/>
      </c>
      <c r="D86">
        <f>CONCATENATE($A$2, $A$1, $A86, D$2)</f>
        <v/>
      </c>
      <c r="E86">
        <f>CONCATENATE($A$2, $A$1, $A86, E$2)</f>
        <v/>
      </c>
      <c r="F86">
        <f>CONCATENATE($A$2, $A$1, $A86, F$2)</f>
        <v/>
      </c>
      <c r="G86">
        <f>CONCATENATE($A$2, $A$1, $A86, G$2)</f>
        <v/>
      </c>
      <c r="H86">
        <f>CONCATENATE($A$2, $A$1, $A86, H$2)</f>
        <v/>
      </c>
      <c r="I86">
        <f>CONCATENATE($A$2, $A$1, $A86, I$2)</f>
        <v/>
      </c>
      <c r="J86">
        <f>CONCATENATE($A$2, $A$1, $A86, J$2)</f>
        <v/>
      </c>
      <c r="K86">
        <f>CurrAttrValue(D86, 0)</f>
        <v/>
      </c>
      <c r="L86">
        <f>CurrAttrValue(E86, 0)</f>
        <v/>
      </c>
      <c r="M86">
        <f>CurrAttrValue(H86, 0)</f>
        <v/>
      </c>
      <c r="N86">
        <f>CurrAttrValue(I86, 0)</f>
        <v/>
      </c>
      <c r="O86">
        <f>CurrAttrValue(J86, 0)</f>
        <v/>
      </c>
      <c r="P86" s="5">
        <f>"65"</f>
        <v/>
      </c>
      <c r="Q86" s="6">
        <f>"ВОбс. Высокая температура масла на откачки от опоры РП ТВД  "</f>
        <v/>
      </c>
      <c r="R86" s="7">
        <f>IF(N86, S86, "")</f>
        <v/>
      </c>
      <c r="S86" s="7">
        <f>CurrAttrValue(C86, 0)</f>
        <v/>
      </c>
      <c r="T86" s="5">
        <f>IF(K86=-200, "д.вх.", K86)</f>
        <v/>
      </c>
      <c r="U86" s="5">
        <f>IF(L86=-200, "д.вх.", IF(N86, O86, L86))</f>
        <v/>
      </c>
      <c r="V86" s="5">
        <f>CurrAttrValue(G86, 0)</f>
        <v/>
      </c>
      <c r="W86" s="5">
        <f>IF(M86, "Блокирована", IF(N86, "Проверено", "-"))</f>
        <v/>
      </c>
    </row>
    <row r="87" ht="20" customHeight="1">
      <c r="A87">
        <f>"System.PZ.A065"</f>
        <v/>
      </c>
      <c r="B87">
        <f>CONCATENATE($A$2, $A$1, $A87, B$2)</f>
        <v/>
      </c>
      <c r="C87">
        <f>CONCATENATE($A$2, $A$1, $A87, C$2)</f>
        <v/>
      </c>
      <c r="D87">
        <f>CONCATENATE($A$2, $A$1, $A87, D$2)</f>
        <v/>
      </c>
      <c r="E87">
        <f>CONCATENATE($A$2, $A$1, $A87, E$2)</f>
        <v/>
      </c>
      <c r="F87">
        <f>CONCATENATE($A$2, $A$1, $A87, F$2)</f>
        <v/>
      </c>
      <c r="G87">
        <f>CONCATENATE($A$2, $A$1, $A87, G$2)</f>
        <v/>
      </c>
      <c r="H87">
        <f>CONCATENATE($A$2, $A$1, $A87, H$2)</f>
        <v/>
      </c>
      <c r="I87">
        <f>CONCATENATE($A$2, $A$1, $A87, I$2)</f>
        <v/>
      </c>
      <c r="J87">
        <f>CONCATENATE($A$2, $A$1, $A87, J$2)</f>
        <v/>
      </c>
      <c r="K87">
        <f>CurrAttrValue(D87, 0)</f>
        <v/>
      </c>
      <c r="L87">
        <f>CurrAttrValue(E87, 0)</f>
        <v/>
      </c>
      <c r="M87">
        <f>CurrAttrValue(H87, 0)</f>
        <v/>
      </c>
      <c r="N87">
        <f>CurrAttrValue(I87, 0)</f>
        <v/>
      </c>
      <c r="O87">
        <f>CurrAttrValue(J87, 0)</f>
        <v/>
      </c>
      <c r="P87" s="5">
        <f>"66"</f>
        <v/>
      </c>
      <c r="Q87" s="6">
        <f>"АОбс. Аварийно-высокая температура масла откачки от опоры РП ТВД  "</f>
        <v/>
      </c>
      <c r="R87" s="7">
        <f>IF(N87, S87, "")</f>
        <v/>
      </c>
      <c r="S87" s="7">
        <f>CurrAttrValue(C87, 0)</f>
        <v/>
      </c>
      <c r="T87" s="5">
        <f>IF(K87=-200, "д.вх.", K87)</f>
        <v/>
      </c>
      <c r="U87" s="5">
        <f>IF(L87=-200, "д.вх.", IF(N87, O87, L87))</f>
        <v/>
      </c>
      <c r="V87" s="5">
        <f>CurrAttrValue(G87, 0)</f>
        <v/>
      </c>
      <c r="W87" s="5">
        <f>IF(M87, "Блокирована", IF(N87, "Проверено", "-"))</f>
        <v/>
      </c>
    </row>
    <row r="88" ht="20" customHeight="1">
      <c r="A88">
        <f>"System.PZ.A066"</f>
        <v/>
      </c>
      <c r="B88">
        <f>CONCATENATE($A$2, $A$1, $A88, B$2)</f>
        <v/>
      </c>
      <c r="C88">
        <f>CONCATENATE($A$2, $A$1, $A88, C$2)</f>
        <v/>
      </c>
      <c r="D88">
        <f>CONCATENATE($A$2, $A$1, $A88, D$2)</f>
        <v/>
      </c>
      <c r="E88">
        <f>CONCATENATE($A$2, $A$1, $A88, E$2)</f>
        <v/>
      </c>
      <c r="F88">
        <f>CONCATENATE($A$2, $A$1, $A88, F$2)</f>
        <v/>
      </c>
      <c r="G88">
        <f>CONCATENATE($A$2, $A$1, $A88, G$2)</f>
        <v/>
      </c>
      <c r="H88">
        <f>CONCATENATE($A$2, $A$1, $A88, H$2)</f>
        <v/>
      </c>
      <c r="I88">
        <f>CONCATENATE($A$2, $A$1, $A88, I$2)</f>
        <v/>
      </c>
      <c r="J88">
        <f>CONCATENATE($A$2, $A$1, $A88, J$2)</f>
        <v/>
      </c>
      <c r="K88">
        <f>CurrAttrValue(D88, 0)</f>
        <v/>
      </c>
      <c r="L88">
        <f>CurrAttrValue(E88, 0)</f>
        <v/>
      </c>
      <c r="M88">
        <f>CurrAttrValue(H88, 0)</f>
        <v/>
      </c>
      <c r="N88">
        <f>CurrAttrValue(I88, 0)</f>
        <v/>
      </c>
      <c r="O88">
        <f>CurrAttrValue(J88, 0)</f>
        <v/>
      </c>
      <c r="P88" s="5">
        <f>"67"</f>
        <v/>
      </c>
      <c r="Q88" s="6">
        <f>"ВОбс. Отказ датчика Тм на выходе из опоры РП ТНД  "</f>
        <v/>
      </c>
      <c r="R88" s="7">
        <f>IF(N88, S88, "")</f>
        <v/>
      </c>
      <c r="S88" s="7">
        <f>CurrAttrValue(C88, 0)</f>
        <v/>
      </c>
      <c r="T88" s="5">
        <f>IF(K88=-200, "д.вх.", K88)</f>
        <v/>
      </c>
      <c r="U88" s="5">
        <f>IF(L88=-200, "д.вх.", IF(N88, O88, L88))</f>
        <v/>
      </c>
      <c r="V88" s="5">
        <f>CurrAttrValue(G88, 0)</f>
        <v/>
      </c>
      <c r="W88" s="5">
        <f>IF(M88, "Блокирована", IF(N88, "Проверено", "-"))</f>
        <v/>
      </c>
    </row>
    <row r="89" ht="20" customHeight="1">
      <c r="A89">
        <f>"System.PZ.A067"</f>
        <v/>
      </c>
      <c r="B89">
        <f>CONCATENATE($A$2, $A$1, $A89, B$2)</f>
        <v/>
      </c>
      <c r="C89">
        <f>CONCATENATE($A$2, $A$1, $A89, C$2)</f>
        <v/>
      </c>
      <c r="D89">
        <f>CONCATENATE($A$2, $A$1, $A89, D$2)</f>
        <v/>
      </c>
      <c r="E89">
        <f>CONCATENATE($A$2, $A$1, $A89, E$2)</f>
        <v/>
      </c>
      <c r="F89">
        <f>CONCATENATE($A$2, $A$1, $A89, F$2)</f>
        <v/>
      </c>
      <c r="G89">
        <f>CONCATENATE($A$2, $A$1, $A89, G$2)</f>
        <v/>
      </c>
      <c r="H89">
        <f>CONCATENATE($A$2, $A$1, $A89, H$2)</f>
        <v/>
      </c>
      <c r="I89">
        <f>CONCATENATE($A$2, $A$1, $A89, I$2)</f>
        <v/>
      </c>
      <c r="J89">
        <f>CONCATENATE($A$2, $A$1, $A89, J$2)</f>
        <v/>
      </c>
      <c r="K89">
        <f>CurrAttrValue(D89, 0)</f>
        <v/>
      </c>
      <c r="L89">
        <f>CurrAttrValue(E89, 0)</f>
        <v/>
      </c>
      <c r="M89">
        <f>CurrAttrValue(H89, 0)</f>
        <v/>
      </c>
      <c r="N89">
        <f>CurrAttrValue(I89, 0)</f>
        <v/>
      </c>
      <c r="O89">
        <f>CurrAttrValue(J89, 0)</f>
        <v/>
      </c>
      <c r="P89" s="5">
        <f>"68"</f>
        <v/>
      </c>
      <c r="Q89" s="6">
        <f>"АОбс. Отказ датчика Тм на выходе из опоры РП ТНД на запуске  "</f>
        <v/>
      </c>
      <c r="R89" s="7">
        <f>IF(N89, S89, "")</f>
        <v/>
      </c>
      <c r="S89" s="7">
        <f>CurrAttrValue(C89, 0)</f>
        <v/>
      </c>
      <c r="T89" s="5">
        <f>IF(K89=-200, "д.вх.", K89)</f>
        <v/>
      </c>
      <c r="U89" s="5">
        <f>IF(L89=-200, "д.вх.", IF(N89, O89, L89))</f>
        <v/>
      </c>
      <c r="V89" s="5">
        <f>CurrAttrValue(G89, 0)</f>
        <v/>
      </c>
      <c r="W89" s="5">
        <f>IF(M89, "Блокирована", IF(N89, "Проверено", "-"))</f>
        <v/>
      </c>
    </row>
    <row r="90" ht="20" customHeight="1">
      <c r="A90">
        <f>"System.PZ.A068"</f>
        <v/>
      </c>
      <c r="B90">
        <f>CONCATENATE($A$2, $A$1, $A90, B$2)</f>
        <v/>
      </c>
      <c r="C90">
        <f>CONCATENATE($A$2, $A$1, $A90, C$2)</f>
        <v/>
      </c>
      <c r="D90">
        <f>CONCATENATE($A$2, $A$1, $A90, D$2)</f>
        <v/>
      </c>
      <c r="E90">
        <f>CONCATENATE($A$2, $A$1, $A90, E$2)</f>
        <v/>
      </c>
      <c r="F90">
        <f>CONCATENATE($A$2, $A$1, $A90, F$2)</f>
        <v/>
      </c>
      <c r="G90">
        <f>CONCATENATE($A$2, $A$1, $A90, G$2)</f>
        <v/>
      </c>
      <c r="H90">
        <f>CONCATENATE($A$2, $A$1, $A90, H$2)</f>
        <v/>
      </c>
      <c r="I90">
        <f>CONCATENATE($A$2, $A$1, $A90, I$2)</f>
        <v/>
      </c>
      <c r="J90">
        <f>CONCATENATE($A$2, $A$1, $A90, J$2)</f>
        <v/>
      </c>
      <c r="K90">
        <f>CurrAttrValue(D90, 0)</f>
        <v/>
      </c>
      <c r="L90">
        <f>CurrAttrValue(E90, 0)</f>
        <v/>
      </c>
      <c r="M90">
        <f>CurrAttrValue(H90, 0)</f>
        <v/>
      </c>
      <c r="N90">
        <f>CurrAttrValue(I90, 0)</f>
        <v/>
      </c>
      <c r="O90">
        <f>CurrAttrValue(J90, 0)</f>
        <v/>
      </c>
      <c r="P90" s="5">
        <f>"69"</f>
        <v/>
      </c>
      <c r="Q90" s="6">
        <f>"ВОбс. Высокая температура масла на откачки от опоры РП ТНД  "</f>
        <v/>
      </c>
      <c r="R90" s="7">
        <f>IF(N90, S90, "")</f>
        <v/>
      </c>
      <c r="S90" s="7">
        <f>CurrAttrValue(C90, 0)</f>
        <v/>
      </c>
      <c r="T90" s="5">
        <f>IF(K90=-200, "д.вх.", K90)</f>
        <v/>
      </c>
      <c r="U90" s="5">
        <f>IF(L90=-200, "д.вх.", IF(N90, O90, L90))</f>
        <v/>
      </c>
      <c r="V90" s="5">
        <f>CurrAttrValue(G90, 0)</f>
        <v/>
      </c>
      <c r="W90" s="5">
        <f>IF(M90, "Блокирована", IF(N90, "Проверено", "-"))</f>
        <v/>
      </c>
    </row>
    <row r="91" ht="20" customHeight="1">
      <c r="A91">
        <f>"System.PZ.A069"</f>
        <v/>
      </c>
      <c r="B91">
        <f>CONCATENATE($A$2, $A$1, $A91, B$2)</f>
        <v/>
      </c>
      <c r="C91">
        <f>CONCATENATE($A$2, $A$1, $A91, C$2)</f>
        <v/>
      </c>
      <c r="D91">
        <f>CONCATENATE($A$2, $A$1, $A91, D$2)</f>
        <v/>
      </c>
      <c r="E91">
        <f>CONCATENATE($A$2, $A$1, $A91, E$2)</f>
        <v/>
      </c>
      <c r="F91">
        <f>CONCATENATE($A$2, $A$1, $A91, F$2)</f>
        <v/>
      </c>
      <c r="G91">
        <f>CONCATENATE($A$2, $A$1, $A91, G$2)</f>
        <v/>
      </c>
      <c r="H91">
        <f>CONCATENATE($A$2, $A$1, $A91, H$2)</f>
        <v/>
      </c>
      <c r="I91">
        <f>CONCATENATE($A$2, $A$1, $A91, I$2)</f>
        <v/>
      </c>
      <c r="J91">
        <f>CONCATENATE($A$2, $A$1, $A91, J$2)</f>
        <v/>
      </c>
      <c r="K91">
        <f>CurrAttrValue(D91, 0)</f>
        <v/>
      </c>
      <c r="L91">
        <f>CurrAttrValue(E91, 0)</f>
        <v/>
      </c>
      <c r="M91">
        <f>CurrAttrValue(H91, 0)</f>
        <v/>
      </c>
      <c r="N91">
        <f>CurrAttrValue(I91, 0)</f>
        <v/>
      </c>
      <c r="O91">
        <f>CurrAttrValue(J91, 0)</f>
        <v/>
      </c>
      <c r="P91" s="5">
        <f>"70"</f>
        <v/>
      </c>
      <c r="Q91" s="6">
        <f>"АОбс. Аварийно-высокая температура масла откачки от опоры РП ТНД  "</f>
        <v/>
      </c>
      <c r="R91" s="7">
        <f>IF(N91, S91, "")</f>
        <v/>
      </c>
      <c r="S91" s="7">
        <f>CurrAttrValue(C91, 0)</f>
        <v/>
      </c>
      <c r="T91" s="5">
        <f>IF(K91=-200, "д.вх.", K91)</f>
        <v/>
      </c>
      <c r="U91" s="5">
        <f>IF(L91=-200, "д.вх.", IF(N91, O91, L91))</f>
        <v/>
      </c>
      <c r="V91" s="5">
        <f>CurrAttrValue(G91, 0)</f>
        <v/>
      </c>
      <c r="W91" s="5">
        <f>IF(M91, "Блокирована", IF(N91, "Проверено", "-"))</f>
        <v/>
      </c>
    </row>
    <row r="92" ht="20" customHeight="1">
      <c r="A92">
        <f>"System.PZ.A070"</f>
        <v/>
      </c>
      <c r="B92">
        <f>CONCATENATE($A$2, $A$1, $A92, B$2)</f>
        <v/>
      </c>
      <c r="C92">
        <f>CONCATENATE($A$2, $A$1, $A92, C$2)</f>
        <v/>
      </c>
      <c r="D92">
        <f>CONCATENATE($A$2, $A$1, $A92, D$2)</f>
        <v/>
      </c>
      <c r="E92">
        <f>CONCATENATE($A$2, $A$1, $A92, E$2)</f>
        <v/>
      </c>
      <c r="F92">
        <f>CONCATENATE($A$2, $A$1, $A92, F$2)</f>
        <v/>
      </c>
      <c r="G92">
        <f>CONCATENATE($A$2, $A$1, $A92, G$2)</f>
        <v/>
      </c>
      <c r="H92">
        <f>CONCATENATE($A$2, $A$1, $A92, H$2)</f>
        <v/>
      </c>
      <c r="I92">
        <f>CONCATENATE($A$2, $A$1, $A92, I$2)</f>
        <v/>
      </c>
      <c r="J92">
        <f>CONCATENATE($A$2, $A$1, $A92, J$2)</f>
        <v/>
      </c>
      <c r="K92">
        <f>CurrAttrValue(D92, 0)</f>
        <v/>
      </c>
      <c r="L92">
        <f>CurrAttrValue(E92, 0)</f>
        <v/>
      </c>
      <c r="M92">
        <f>CurrAttrValue(H92, 0)</f>
        <v/>
      </c>
      <c r="N92">
        <f>CurrAttrValue(I92, 0)</f>
        <v/>
      </c>
      <c r="O92">
        <f>CurrAttrValue(J92, 0)</f>
        <v/>
      </c>
      <c r="P92" s="5">
        <f>"71"</f>
        <v/>
      </c>
      <c r="Q92" s="6">
        <f>"ВОбс. Отказ датчика Тм на выходе из опор СТ  "</f>
        <v/>
      </c>
      <c r="R92" s="7">
        <f>IF(N92, S92, "")</f>
        <v/>
      </c>
      <c r="S92" s="7">
        <f>CurrAttrValue(C92, 0)</f>
        <v/>
      </c>
      <c r="T92" s="5">
        <f>IF(K92=-200, "д.вх.", K92)</f>
        <v/>
      </c>
      <c r="U92" s="5">
        <f>IF(L92=-200, "д.вх.", IF(N92, O92, L92))</f>
        <v/>
      </c>
      <c r="V92" s="5">
        <f>CurrAttrValue(G92, 0)</f>
        <v/>
      </c>
      <c r="W92" s="5">
        <f>IF(M92, "Блокирована", IF(N92, "Проверено", "-"))</f>
        <v/>
      </c>
    </row>
    <row r="93" ht="20" customHeight="1">
      <c r="A93">
        <f>"System.PZ.A071"</f>
        <v/>
      </c>
      <c r="B93">
        <f>CONCATENATE($A$2, $A$1, $A93, B$2)</f>
        <v/>
      </c>
      <c r="C93">
        <f>CONCATENATE($A$2, $A$1, $A93, C$2)</f>
        <v/>
      </c>
      <c r="D93">
        <f>CONCATENATE($A$2, $A$1, $A93, D$2)</f>
        <v/>
      </c>
      <c r="E93">
        <f>CONCATENATE($A$2, $A$1, $A93, E$2)</f>
        <v/>
      </c>
      <c r="F93">
        <f>CONCATENATE($A$2, $A$1, $A93, F$2)</f>
        <v/>
      </c>
      <c r="G93">
        <f>CONCATENATE($A$2, $A$1, $A93, G$2)</f>
        <v/>
      </c>
      <c r="H93">
        <f>CONCATENATE($A$2, $A$1, $A93, H$2)</f>
        <v/>
      </c>
      <c r="I93">
        <f>CONCATENATE($A$2, $A$1, $A93, I$2)</f>
        <v/>
      </c>
      <c r="J93">
        <f>CONCATENATE($A$2, $A$1, $A93, J$2)</f>
        <v/>
      </c>
      <c r="K93">
        <f>CurrAttrValue(D93, 0)</f>
        <v/>
      </c>
      <c r="L93">
        <f>CurrAttrValue(E93, 0)</f>
        <v/>
      </c>
      <c r="M93">
        <f>CurrAttrValue(H93, 0)</f>
        <v/>
      </c>
      <c r="N93">
        <f>CurrAttrValue(I93, 0)</f>
        <v/>
      </c>
      <c r="O93">
        <f>CurrAttrValue(J93, 0)</f>
        <v/>
      </c>
      <c r="P93" s="5">
        <f>"72"</f>
        <v/>
      </c>
      <c r="Q93" s="6">
        <f>"АОбс. Отказ датчика Тм на выходе из опор СТ на запуске  "</f>
        <v/>
      </c>
      <c r="R93" s="7">
        <f>IF(N93, S93, "")</f>
        <v/>
      </c>
      <c r="S93" s="7">
        <f>CurrAttrValue(C93, 0)</f>
        <v/>
      </c>
      <c r="T93" s="5">
        <f>IF(K93=-200, "д.вх.", K93)</f>
        <v/>
      </c>
      <c r="U93" s="5">
        <f>IF(L93=-200, "д.вх.", IF(N93, O93, L93))</f>
        <v/>
      </c>
      <c r="V93" s="5">
        <f>CurrAttrValue(G93, 0)</f>
        <v/>
      </c>
      <c r="W93" s="5">
        <f>IF(M93, "Блокирована", IF(N93, "Проверено", "-"))</f>
        <v/>
      </c>
    </row>
    <row r="94" ht="20" customHeight="1">
      <c r="A94">
        <f>"System.PZ.A072"</f>
        <v/>
      </c>
      <c r="B94">
        <f>CONCATENATE($A$2, $A$1, $A94, B$2)</f>
        <v/>
      </c>
      <c r="C94">
        <f>CONCATENATE($A$2, $A$1, $A94, C$2)</f>
        <v/>
      </c>
      <c r="D94">
        <f>CONCATENATE($A$2, $A$1, $A94, D$2)</f>
        <v/>
      </c>
      <c r="E94">
        <f>CONCATENATE($A$2, $A$1, $A94, E$2)</f>
        <v/>
      </c>
      <c r="F94">
        <f>CONCATENATE($A$2, $A$1, $A94, F$2)</f>
        <v/>
      </c>
      <c r="G94">
        <f>CONCATENATE($A$2, $A$1, $A94, G$2)</f>
        <v/>
      </c>
      <c r="H94">
        <f>CONCATENATE($A$2, $A$1, $A94, H$2)</f>
        <v/>
      </c>
      <c r="I94">
        <f>CONCATENATE($A$2, $A$1, $A94, I$2)</f>
        <v/>
      </c>
      <c r="J94">
        <f>CONCATENATE($A$2, $A$1, $A94, J$2)</f>
        <v/>
      </c>
      <c r="K94">
        <f>CurrAttrValue(D94, 0)</f>
        <v/>
      </c>
      <c r="L94">
        <f>CurrAttrValue(E94, 0)</f>
        <v/>
      </c>
      <c r="M94">
        <f>CurrAttrValue(H94, 0)</f>
        <v/>
      </c>
      <c r="N94">
        <f>CurrAttrValue(I94, 0)</f>
        <v/>
      </c>
      <c r="O94">
        <f>CurrAttrValue(J94, 0)</f>
        <v/>
      </c>
      <c r="P94" s="5">
        <f>"73"</f>
        <v/>
      </c>
      <c r="Q94" s="6">
        <f>"ВОбс. Высокая температура масла откачки от СТ  "</f>
        <v/>
      </c>
      <c r="R94" s="7">
        <f>IF(N94, S94, "")</f>
        <v/>
      </c>
      <c r="S94" s="7">
        <f>CurrAttrValue(C94, 0)</f>
        <v/>
      </c>
      <c r="T94" s="5">
        <f>IF(K94=-200, "д.вх.", K94)</f>
        <v/>
      </c>
      <c r="U94" s="5">
        <f>IF(L94=-200, "д.вх.", IF(N94, O94, L94))</f>
        <v/>
      </c>
      <c r="V94" s="5">
        <f>CurrAttrValue(G94, 0)</f>
        <v/>
      </c>
      <c r="W94" s="5">
        <f>IF(M94, "Блокирована", IF(N94, "Проверено", "-"))</f>
        <v/>
      </c>
    </row>
    <row r="95" ht="20" customHeight="1">
      <c r="A95">
        <f>"System.PZ.A073"</f>
        <v/>
      </c>
      <c r="B95">
        <f>CONCATENATE($A$2, $A$1, $A95, B$2)</f>
        <v/>
      </c>
      <c r="C95">
        <f>CONCATENATE($A$2, $A$1, $A95, C$2)</f>
        <v/>
      </c>
      <c r="D95">
        <f>CONCATENATE($A$2, $A$1, $A95, D$2)</f>
        <v/>
      </c>
      <c r="E95">
        <f>CONCATENATE($A$2, $A$1, $A95, E$2)</f>
        <v/>
      </c>
      <c r="F95">
        <f>CONCATENATE($A$2, $A$1, $A95, F$2)</f>
        <v/>
      </c>
      <c r="G95">
        <f>CONCATENATE($A$2, $A$1, $A95, G$2)</f>
        <v/>
      </c>
      <c r="H95">
        <f>CONCATENATE($A$2, $A$1, $A95, H$2)</f>
        <v/>
      </c>
      <c r="I95">
        <f>CONCATENATE($A$2, $A$1, $A95, I$2)</f>
        <v/>
      </c>
      <c r="J95">
        <f>CONCATENATE($A$2, $A$1, $A95, J$2)</f>
        <v/>
      </c>
      <c r="K95">
        <f>CurrAttrValue(D95, 0)</f>
        <v/>
      </c>
      <c r="L95">
        <f>CurrAttrValue(E95, 0)</f>
        <v/>
      </c>
      <c r="M95">
        <f>CurrAttrValue(H95, 0)</f>
        <v/>
      </c>
      <c r="N95">
        <f>CurrAttrValue(I95, 0)</f>
        <v/>
      </c>
      <c r="O95">
        <f>CurrAttrValue(J95, 0)</f>
        <v/>
      </c>
      <c r="P95" s="5">
        <f>"74"</f>
        <v/>
      </c>
      <c r="Q95" s="6">
        <f>"АОбс. Аварийно-высокая температура масла откачки от СТ  "</f>
        <v/>
      </c>
      <c r="R95" s="7">
        <f>IF(N95, S95, "")</f>
        <v/>
      </c>
      <c r="S95" s="7">
        <f>CurrAttrValue(C95, 0)</f>
        <v/>
      </c>
      <c r="T95" s="5">
        <f>IF(K95=-200, "д.вх.", K95)</f>
        <v/>
      </c>
      <c r="U95" s="5">
        <f>IF(L95=-200, "д.вх.", IF(N95, O95, L95))</f>
        <v/>
      </c>
      <c r="V95" s="5">
        <f>CurrAttrValue(G95, 0)</f>
        <v/>
      </c>
      <c r="W95" s="5">
        <f>IF(M95, "Блокирована", IF(N95, "Проверено", "-"))</f>
        <v/>
      </c>
    </row>
    <row r="96" ht="20" customHeight="1">
      <c r="A96">
        <f>"System.PZ.A074"</f>
        <v/>
      </c>
      <c r="B96">
        <f>CONCATENATE($A$2, $A$1, $A96, B$2)</f>
        <v/>
      </c>
      <c r="C96">
        <f>CONCATENATE($A$2, $A$1, $A96, C$2)</f>
        <v/>
      </c>
      <c r="D96">
        <f>CONCATENATE($A$2, $A$1, $A96, D$2)</f>
        <v/>
      </c>
      <c r="E96">
        <f>CONCATENATE($A$2, $A$1, $A96, E$2)</f>
        <v/>
      </c>
      <c r="F96">
        <f>CONCATENATE($A$2, $A$1, $A96, F$2)</f>
        <v/>
      </c>
      <c r="G96">
        <f>CONCATENATE($A$2, $A$1, $A96, G$2)</f>
        <v/>
      </c>
      <c r="H96">
        <f>CONCATENATE($A$2, $A$1, $A96, H$2)</f>
        <v/>
      </c>
      <c r="I96">
        <f>CONCATENATE($A$2, $A$1, $A96, I$2)</f>
        <v/>
      </c>
      <c r="J96">
        <f>CONCATENATE($A$2, $A$1, $A96, J$2)</f>
        <v/>
      </c>
      <c r="K96">
        <f>CurrAttrValue(D96, 0)</f>
        <v/>
      </c>
      <c r="L96">
        <f>CurrAttrValue(E96, 0)</f>
        <v/>
      </c>
      <c r="M96">
        <f>CurrAttrValue(H96, 0)</f>
        <v/>
      </c>
      <c r="N96">
        <f>CurrAttrValue(I96, 0)</f>
        <v/>
      </c>
      <c r="O96">
        <f>CurrAttrValue(J96, 0)</f>
        <v/>
      </c>
      <c r="P96" s="5">
        <f>"75"</f>
        <v/>
      </c>
      <c r="Q96" s="6">
        <f>"ВОбс. Отказ датчика давления воздуха за компрессором ВД  "</f>
        <v/>
      </c>
      <c r="R96" s="7">
        <f>IF(N96, S96, "")</f>
        <v/>
      </c>
      <c r="S96" s="7">
        <f>CurrAttrValue(C96, 0)</f>
        <v/>
      </c>
      <c r="T96" s="5">
        <f>IF(K96=-200, "д.вх.", K96)</f>
        <v/>
      </c>
      <c r="U96" s="5">
        <f>IF(L96=-200, "д.вх.", IF(N96, O96, L96))</f>
        <v/>
      </c>
      <c r="V96" s="5">
        <f>CurrAttrValue(G96, 0)</f>
        <v/>
      </c>
      <c r="W96" s="5">
        <f>IF(M96, "Блокирована", IF(N96, "Проверено", "-"))</f>
        <v/>
      </c>
    </row>
    <row r="97" ht="20" customHeight="1">
      <c r="A97">
        <f>"System.PZ.A075"</f>
        <v/>
      </c>
      <c r="B97">
        <f>CONCATENATE($A$2, $A$1, $A97, B$2)</f>
        <v/>
      </c>
      <c r="C97">
        <f>CONCATENATE($A$2, $A$1, $A97, C$2)</f>
        <v/>
      </c>
      <c r="D97">
        <f>CONCATENATE($A$2, $A$1, $A97, D$2)</f>
        <v/>
      </c>
      <c r="E97">
        <f>CONCATENATE($A$2, $A$1, $A97, E$2)</f>
        <v/>
      </c>
      <c r="F97">
        <f>CONCATENATE($A$2, $A$1, $A97, F$2)</f>
        <v/>
      </c>
      <c r="G97">
        <f>CONCATENATE($A$2, $A$1, $A97, G$2)</f>
        <v/>
      </c>
      <c r="H97">
        <f>CONCATENATE($A$2, $A$1, $A97, H$2)</f>
        <v/>
      </c>
      <c r="I97">
        <f>CONCATENATE($A$2, $A$1, $A97, I$2)</f>
        <v/>
      </c>
      <c r="J97">
        <f>CONCATENATE($A$2, $A$1, $A97, J$2)</f>
        <v/>
      </c>
      <c r="K97">
        <f>CurrAttrValue(D97, 0)</f>
        <v/>
      </c>
      <c r="L97">
        <f>CurrAttrValue(E97, 0)</f>
        <v/>
      </c>
      <c r="M97">
        <f>CurrAttrValue(H97, 0)</f>
        <v/>
      </c>
      <c r="N97">
        <f>CurrAttrValue(I97, 0)</f>
        <v/>
      </c>
      <c r="O97">
        <f>CurrAttrValue(J97, 0)</f>
        <v/>
      </c>
      <c r="P97" s="5">
        <f>"76"</f>
        <v/>
      </c>
      <c r="Q97" s="6">
        <f>"ВОбс. Низкое давление воздуха охлажения ТНД  "</f>
        <v/>
      </c>
      <c r="R97" s="7">
        <f>IF(N97, S97, "")</f>
        <v/>
      </c>
      <c r="S97" s="7">
        <f>CurrAttrValue(C97, 0)</f>
        <v/>
      </c>
      <c r="T97" s="5">
        <f>IF(K97=-200, "д.вх.", K97)</f>
        <v/>
      </c>
      <c r="U97" s="5">
        <f>IF(L97=-200, "д.вх.", IF(N97, O97, L97))</f>
        <v/>
      </c>
      <c r="V97" s="5">
        <f>CurrAttrValue(G97, 0)</f>
        <v/>
      </c>
      <c r="W97" s="5">
        <f>IF(M97, "Блокирована", IF(N97, "Проверено", "-"))</f>
        <v/>
      </c>
    </row>
    <row r="98" ht="20" customHeight="1">
      <c r="A98">
        <f>"System.PZ.A076"</f>
        <v/>
      </c>
      <c r="B98">
        <f>CONCATENATE($A$2, $A$1, $A98, B$2)</f>
        <v/>
      </c>
      <c r="C98">
        <f>CONCATENATE($A$2, $A$1, $A98, C$2)</f>
        <v/>
      </c>
      <c r="D98">
        <f>CONCATENATE($A$2, $A$1, $A98, D$2)</f>
        <v/>
      </c>
      <c r="E98">
        <f>CONCATENATE($A$2, $A$1, $A98, E$2)</f>
        <v/>
      </c>
      <c r="F98">
        <f>CONCATENATE($A$2, $A$1, $A98, F$2)</f>
        <v/>
      </c>
      <c r="G98">
        <f>CONCATENATE($A$2, $A$1, $A98, G$2)</f>
        <v/>
      </c>
      <c r="H98">
        <f>CONCATENATE($A$2, $A$1, $A98, H$2)</f>
        <v/>
      </c>
      <c r="I98">
        <f>CONCATENATE($A$2, $A$1, $A98, I$2)</f>
        <v/>
      </c>
      <c r="J98">
        <f>CONCATENATE($A$2, $A$1, $A98, J$2)</f>
        <v/>
      </c>
      <c r="K98">
        <f>CurrAttrValue(D98, 0)</f>
        <v/>
      </c>
      <c r="L98">
        <f>CurrAttrValue(E98, 0)</f>
        <v/>
      </c>
      <c r="M98">
        <f>CurrAttrValue(H98, 0)</f>
        <v/>
      </c>
      <c r="N98">
        <f>CurrAttrValue(I98, 0)</f>
        <v/>
      </c>
      <c r="O98">
        <f>CurrAttrValue(J98, 0)</f>
        <v/>
      </c>
      <c r="P98" s="5">
        <f>"77"</f>
        <v/>
      </c>
      <c r="Q98" s="6">
        <f>"ВОбс. Низкое давление воздуха после ВВТ1  "</f>
        <v/>
      </c>
      <c r="R98" s="7">
        <f>IF(N98, S98, "")</f>
        <v/>
      </c>
      <c r="S98" s="7">
        <f>CurrAttrValue(C98, 0)</f>
        <v/>
      </c>
      <c r="T98" s="5">
        <f>IF(K98=-200, "д.вх.", K98)</f>
        <v/>
      </c>
      <c r="U98" s="5">
        <f>IF(L98=-200, "д.вх.", IF(N98, O98, L98))</f>
        <v/>
      </c>
      <c r="V98" s="5">
        <f>CurrAttrValue(G98, 0)</f>
        <v/>
      </c>
      <c r="W98" s="5">
        <f>IF(M98, "Блокирована", IF(N98, "Проверено", "-"))</f>
        <v/>
      </c>
    </row>
    <row r="99" ht="20" customHeight="1">
      <c r="A99">
        <f>"System.PZ.A077"</f>
        <v/>
      </c>
      <c r="B99">
        <f>CONCATENATE($A$2, $A$1, $A99, B$2)</f>
        <v/>
      </c>
      <c r="C99">
        <f>CONCATENATE($A$2, $A$1, $A99, C$2)</f>
        <v/>
      </c>
      <c r="D99">
        <f>CONCATENATE($A$2, $A$1, $A99, D$2)</f>
        <v/>
      </c>
      <c r="E99">
        <f>CONCATENATE($A$2, $A$1, $A99, E$2)</f>
        <v/>
      </c>
      <c r="F99">
        <f>CONCATENATE($A$2, $A$1, $A99, F$2)</f>
        <v/>
      </c>
      <c r="G99">
        <f>CONCATENATE($A$2, $A$1, $A99, G$2)</f>
        <v/>
      </c>
      <c r="H99">
        <f>CONCATENATE($A$2, $A$1, $A99, H$2)</f>
        <v/>
      </c>
      <c r="I99">
        <f>CONCATENATE($A$2, $A$1, $A99, I$2)</f>
        <v/>
      </c>
      <c r="J99">
        <f>CONCATENATE($A$2, $A$1, $A99, J$2)</f>
        <v/>
      </c>
      <c r="K99">
        <f>CurrAttrValue(D99, 0)</f>
        <v/>
      </c>
      <c r="L99">
        <f>CurrAttrValue(E99, 0)</f>
        <v/>
      </c>
      <c r="M99">
        <f>CurrAttrValue(H99, 0)</f>
        <v/>
      </c>
      <c r="N99">
        <f>CurrAttrValue(I99, 0)</f>
        <v/>
      </c>
      <c r="O99">
        <f>CurrAttrValue(J99, 0)</f>
        <v/>
      </c>
      <c r="P99" s="5">
        <f>"78"</f>
        <v/>
      </c>
      <c r="Q99" s="6">
        <f>"АОбс. Нет давления пускового газа перед СтВ  "</f>
        <v/>
      </c>
      <c r="R99" s="7">
        <f>IF(N99, S99, "")</f>
        <v/>
      </c>
      <c r="S99" s="7">
        <f>CurrAttrValue(C99, 0)</f>
        <v/>
      </c>
      <c r="T99" s="5">
        <f>IF(K99=-200, "д.вх.", K99)</f>
        <v/>
      </c>
      <c r="U99" s="5">
        <f>IF(L99=-200, "д.вх.", IF(N99, O99, L99))</f>
        <v/>
      </c>
      <c r="V99" s="5">
        <f>CurrAttrValue(G99, 0)</f>
        <v/>
      </c>
      <c r="W99" s="5">
        <f>IF(M99, "Блокирована", IF(N99, "Проверено", "-"))</f>
        <v/>
      </c>
    </row>
    <row r="102" ht="35" customHeight="1">
      <c r="Q102" s="8">
        <f>"должность"</f>
        <v/>
      </c>
      <c r="R102" s="9" t="n"/>
      <c r="S102" s="8">
        <f>"ФИО"</f>
        <v/>
      </c>
      <c r="T102" s="9" t="n"/>
      <c r="U102" s="8">
        <f>"подпись"</f>
        <v/>
      </c>
    </row>
    <row r="103" ht="35" customHeight="1">
      <c r="Q103" s="8">
        <f>"должность"</f>
        <v/>
      </c>
      <c r="R103" s="9" t="n"/>
      <c r="S103" s="8">
        <f>"ФИО"</f>
        <v/>
      </c>
      <c r="T103" s="9" t="n"/>
      <c r="U103" s="8">
        <f>"подпись"</f>
        <v/>
      </c>
    </row>
    <row r="104" ht="35" customHeight="1">
      <c r="Q104" s="8">
        <f>"должность"</f>
        <v/>
      </c>
      <c r="R104" s="9" t="n"/>
      <c r="S104" s="8">
        <f>"ФИО"</f>
        <v/>
      </c>
      <c r="T104" s="9" t="n"/>
      <c r="U104" s="8">
        <f>"подпись"</f>
        <v/>
      </c>
    </row>
    <row r="106" ht="25" customHeight="1">
      <c r="Q106" s="1">
        <f>"Протокол проверки защит ГПА3 на "</f>
        <v/>
      </c>
      <c r="R106" s="2">
        <f>R1</f>
        <v/>
      </c>
      <c r="S106" s="3">
        <f>S1</f>
        <v/>
      </c>
    </row>
    <row r="108" ht="20" customHeight="1">
      <c r="P108" s="4">
        <f>"№"</f>
        <v/>
      </c>
      <c r="Q108" s="4">
        <f>"Наименование защиты  "</f>
        <v/>
      </c>
      <c r="R108" s="4">
        <f>"Таймер"</f>
        <v/>
      </c>
      <c r="S108" s="4">
        <f>"Задержка"</f>
        <v/>
      </c>
      <c r="T108" s="4">
        <f>"Уставка"</f>
        <v/>
      </c>
      <c r="U108" s="4">
        <f>"Значение"</f>
        <v/>
      </c>
      <c r="V108" s="4">
        <f>"Eд.изм"</f>
        <v/>
      </c>
      <c r="W108" s="4">
        <f>"Отметка о проверке"</f>
        <v/>
      </c>
    </row>
    <row r="109" ht="20" customHeight="1">
      <c r="A109">
        <f>"System.PZ.A078"</f>
        <v/>
      </c>
      <c r="B109">
        <f>CONCATENATE($A$2, $A$1, $A109, B$2)</f>
        <v/>
      </c>
      <c r="C109">
        <f>CONCATENATE($A$2, $A$1, $A109, C$2)</f>
        <v/>
      </c>
      <c r="D109">
        <f>CONCATENATE($A$2, $A$1, $A109, D$2)</f>
        <v/>
      </c>
      <c r="E109">
        <f>CONCATENATE($A$2, $A$1, $A109, E$2)</f>
        <v/>
      </c>
      <c r="F109">
        <f>CONCATENATE($A$2, $A$1, $A109, F$2)</f>
        <v/>
      </c>
      <c r="G109">
        <f>CONCATENATE($A$2, $A$1, $A109, G$2)</f>
        <v/>
      </c>
      <c r="H109">
        <f>CONCATENATE($A$2, $A$1, $A109, H$2)</f>
        <v/>
      </c>
      <c r="I109">
        <f>CONCATENATE($A$2, $A$1, $A109, I$2)</f>
        <v/>
      </c>
      <c r="J109">
        <f>CONCATENATE($A$2, $A$1, $A109, J$2)</f>
        <v/>
      </c>
      <c r="K109">
        <f>CurrAttrValue(D109, 0)</f>
        <v/>
      </c>
      <c r="L109">
        <f>CurrAttrValue(E109, 0)</f>
        <v/>
      </c>
      <c r="M109">
        <f>CurrAttrValue(H109, 0)</f>
        <v/>
      </c>
      <c r="N109">
        <f>CurrAttrValue(I109, 0)</f>
        <v/>
      </c>
      <c r="O109">
        <f>CurrAttrValue(J109, 0)</f>
        <v/>
      </c>
      <c r="P109" s="5">
        <f>"79"</f>
        <v/>
      </c>
      <c r="Q109" s="6">
        <f>"АОбс. Низкое давление пускового газа перед СтВ  "</f>
        <v/>
      </c>
      <c r="R109" s="7">
        <f>IF(N109, S109, "")</f>
        <v/>
      </c>
      <c r="S109" s="7">
        <f>CurrAttrValue(C109, 0)</f>
        <v/>
      </c>
      <c r="T109" s="5">
        <f>IF(K109=-200, "д.вх.", K109)</f>
        <v/>
      </c>
      <c r="U109" s="5">
        <f>IF(L109=-200, "д.вх.", IF(N109, O109, L109))</f>
        <v/>
      </c>
      <c r="V109" s="5">
        <f>CurrAttrValue(G109, 0)</f>
        <v/>
      </c>
      <c r="W109" s="5">
        <f>IF(M109, "Блокирована", IF(N109, "Проверено", "-"))</f>
        <v/>
      </c>
    </row>
    <row r="110" ht="20" customHeight="1">
      <c r="A110">
        <f>"System.PZ.A079"</f>
        <v/>
      </c>
      <c r="B110">
        <f>CONCATENATE($A$2, $A$1, $A110, B$2)</f>
        <v/>
      </c>
      <c r="C110">
        <f>CONCATENATE($A$2, $A$1, $A110, C$2)</f>
        <v/>
      </c>
      <c r="D110">
        <f>CONCATENATE($A$2, $A$1, $A110, D$2)</f>
        <v/>
      </c>
      <c r="E110">
        <f>CONCATENATE($A$2, $A$1, $A110, E$2)</f>
        <v/>
      </c>
      <c r="F110">
        <f>CONCATENATE($A$2, $A$1, $A110, F$2)</f>
        <v/>
      </c>
      <c r="G110">
        <f>CONCATENATE($A$2, $A$1, $A110, G$2)</f>
        <v/>
      </c>
      <c r="H110">
        <f>CONCATENATE($A$2, $A$1, $A110, H$2)</f>
        <v/>
      </c>
      <c r="I110">
        <f>CONCATENATE($A$2, $A$1, $A110, I$2)</f>
        <v/>
      </c>
      <c r="J110">
        <f>CONCATENATE($A$2, $A$1, $A110, J$2)</f>
        <v/>
      </c>
      <c r="K110">
        <f>CurrAttrValue(D110, 0)</f>
        <v/>
      </c>
      <c r="L110">
        <f>CurrAttrValue(E110, 0)</f>
        <v/>
      </c>
      <c r="M110">
        <f>CurrAttrValue(H110, 0)</f>
        <v/>
      </c>
      <c r="N110">
        <f>CurrAttrValue(I110, 0)</f>
        <v/>
      </c>
      <c r="O110">
        <f>CurrAttrValue(J110, 0)</f>
        <v/>
      </c>
      <c r="P110" s="5">
        <f>"80"</f>
        <v/>
      </c>
      <c r="Q110" s="6">
        <f>"АОбс. Высокое давление пускового газа перед СтВ  "</f>
        <v/>
      </c>
      <c r="R110" s="7">
        <f>IF(N110, S110, "")</f>
        <v/>
      </c>
      <c r="S110" s="7">
        <f>CurrAttrValue(C110, 0)</f>
        <v/>
      </c>
      <c r="T110" s="5">
        <f>IF(K110=-200, "д.вх.", K110)</f>
        <v/>
      </c>
      <c r="U110" s="5">
        <f>IF(L110=-200, "д.вх.", IF(N110, O110, L110))</f>
        <v/>
      </c>
      <c r="V110" s="5">
        <f>CurrAttrValue(G110, 0)</f>
        <v/>
      </c>
      <c r="W110" s="5">
        <f>IF(M110, "Блокирована", IF(N110, "Проверено", "-"))</f>
        <v/>
      </c>
    </row>
    <row r="111" ht="20" customHeight="1">
      <c r="A111">
        <f>"System.PZ.A080"</f>
        <v/>
      </c>
      <c r="B111">
        <f>CONCATENATE($A$2, $A$1, $A111, B$2)</f>
        <v/>
      </c>
      <c r="C111">
        <f>CONCATENATE($A$2, $A$1, $A111, C$2)</f>
        <v/>
      </c>
      <c r="D111">
        <f>CONCATENATE($A$2, $A$1, $A111, D$2)</f>
        <v/>
      </c>
      <c r="E111">
        <f>CONCATENATE($A$2, $A$1, $A111, E$2)</f>
        <v/>
      </c>
      <c r="F111">
        <f>CONCATENATE($A$2, $A$1, $A111, F$2)</f>
        <v/>
      </c>
      <c r="G111">
        <f>CONCATENATE($A$2, $A$1, $A111, G$2)</f>
        <v/>
      </c>
      <c r="H111">
        <f>CONCATENATE($A$2, $A$1, $A111, H$2)</f>
        <v/>
      </c>
      <c r="I111">
        <f>CONCATENATE($A$2, $A$1, $A111, I$2)</f>
        <v/>
      </c>
      <c r="J111">
        <f>CONCATENATE($A$2, $A$1, $A111, J$2)</f>
        <v/>
      </c>
      <c r="K111">
        <f>CurrAttrValue(D111, 0)</f>
        <v/>
      </c>
      <c r="L111">
        <f>CurrAttrValue(E111, 0)</f>
        <v/>
      </c>
      <c r="M111">
        <f>CurrAttrValue(H111, 0)</f>
        <v/>
      </c>
      <c r="N111">
        <f>CurrAttrValue(I111, 0)</f>
        <v/>
      </c>
      <c r="O111">
        <f>CurrAttrValue(J111, 0)</f>
        <v/>
      </c>
      <c r="P111" s="5">
        <f>"81"</f>
        <v/>
      </c>
      <c r="Q111" s="6">
        <f>"АОбс. Аварийно-высокое давление пускового газа перед СтВ  "</f>
        <v/>
      </c>
      <c r="R111" s="7">
        <f>IF(N111, S111, "")</f>
        <v/>
      </c>
      <c r="S111" s="7">
        <f>CurrAttrValue(C111, 0)</f>
        <v/>
      </c>
      <c r="T111" s="5">
        <f>IF(K111=-200, "д.вх.", K111)</f>
        <v/>
      </c>
      <c r="U111" s="5">
        <f>IF(L111=-200, "д.вх.", IF(N111, O111, L111))</f>
        <v/>
      </c>
      <c r="V111" s="5">
        <f>CurrAttrValue(G111, 0)</f>
        <v/>
      </c>
      <c r="W111" s="5">
        <f>IF(M111, "Блокирована", IF(N111, "Проверено", "-"))</f>
        <v/>
      </c>
    </row>
    <row r="112" ht="20" customHeight="1">
      <c r="A112">
        <f>"System.PZ.A081"</f>
        <v/>
      </c>
      <c r="B112">
        <f>CONCATENATE($A$2, $A$1, $A112, B$2)</f>
        <v/>
      </c>
      <c r="C112">
        <f>CONCATENATE($A$2, $A$1, $A112, C$2)</f>
        <v/>
      </c>
      <c r="D112">
        <f>CONCATENATE($A$2, $A$1, $A112, D$2)</f>
        <v/>
      </c>
      <c r="E112">
        <f>CONCATENATE($A$2, $A$1, $A112, E$2)</f>
        <v/>
      </c>
      <c r="F112">
        <f>CONCATENATE($A$2, $A$1, $A112, F$2)</f>
        <v/>
      </c>
      <c r="G112">
        <f>CONCATENATE($A$2, $A$1, $A112, G$2)</f>
        <v/>
      </c>
      <c r="H112">
        <f>CONCATENATE($A$2, $A$1, $A112, H$2)</f>
        <v/>
      </c>
      <c r="I112">
        <f>CONCATENATE($A$2, $A$1, $A112, I$2)</f>
        <v/>
      </c>
      <c r="J112">
        <f>CONCATENATE($A$2, $A$1, $A112, J$2)</f>
        <v/>
      </c>
      <c r="K112">
        <f>CurrAttrValue(D112, 0)</f>
        <v/>
      </c>
      <c r="L112">
        <f>CurrAttrValue(E112, 0)</f>
        <v/>
      </c>
      <c r="M112">
        <f>CurrAttrValue(H112, 0)</f>
        <v/>
      </c>
      <c r="N112">
        <f>CurrAttrValue(I112, 0)</f>
        <v/>
      </c>
      <c r="O112">
        <f>CurrAttrValue(J112, 0)</f>
        <v/>
      </c>
      <c r="P112" s="5">
        <f>"82"</f>
        <v/>
      </c>
      <c r="Q112" s="6">
        <f>"АОбс. Отказ канала измерения давления газа перед СтВ  "</f>
        <v/>
      </c>
      <c r="R112" s="7">
        <f>IF(N112, S112, "")</f>
        <v/>
      </c>
      <c r="S112" s="7">
        <f>CurrAttrValue(C112, 0)</f>
        <v/>
      </c>
      <c r="T112" s="5">
        <f>IF(K112=-200, "д.вх.", K112)</f>
        <v/>
      </c>
      <c r="U112" s="5">
        <f>IF(L112=-200, "д.вх.", IF(N112, O112, L112))</f>
        <v/>
      </c>
      <c r="V112" s="5">
        <f>CurrAttrValue(G112, 0)</f>
        <v/>
      </c>
      <c r="W112" s="5">
        <f>IF(M112, "Блокирована", IF(N112, "Проверено", "-"))</f>
        <v/>
      </c>
    </row>
    <row r="113" ht="20" customHeight="1">
      <c r="A113">
        <f>"System.PZ.A082"</f>
        <v/>
      </c>
      <c r="B113">
        <f>CONCATENATE($A$2, $A$1, $A113, B$2)</f>
        <v/>
      </c>
      <c r="C113">
        <f>CONCATENATE($A$2, $A$1, $A113, C$2)</f>
        <v/>
      </c>
      <c r="D113">
        <f>CONCATENATE($A$2, $A$1, $A113, D$2)</f>
        <v/>
      </c>
      <c r="E113">
        <f>CONCATENATE($A$2, $A$1, $A113, E$2)</f>
        <v/>
      </c>
      <c r="F113">
        <f>CONCATENATE($A$2, $A$1, $A113, F$2)</f>
        <v/>
      </c>
      <c r="G113">
        <f>CONCATENATE($A$2, $A$1, $A113, G$2)</f>
        <v/>
      </c>
      <c r="H113">
        <f>CONCATENATE($A$2, $A$1, $A113, H$2)</f>
        <v/>
      </c>
      <c r="I113">
        <f>CONCATENATE($A$2, $A$1, $A113, I$2)</f>
        <v/>
      </c>
      <c r="J113">
        <f>CONCATENATE($A$2, $A$1, $A113, J$2)</f>
        <v/>
      </c>
      <c r="K113">
        <f>CurrAttrValue(D113, 0)</f>
        <v/>
      </c>
      <c r="L113">
        <f>CurrAttrValue(E113, 0)</f>
        <v/>
      </c>
      <c r="M113">
        <f>CurrAttrValue(H113, 0)</f>
        <v/>
      </c>
      <c r="N113">
        <f>CurrAttrValue(I113, 0)</f>
        <v/>
      </c>
      <c r="O113">
        <f>CurrAttrValue(J113, 0)</f>
        <v/>
      </c>
      <c r="P113" s="5">
        <f>"83"</f>
        <v/>
      </c>
      <c r="Q113" s="6">
        <f>"АОбс. Пониженная температура топливного газа на входе в СК0 на запуске  "</f>
        <v/>
      </c>
      <c r="R113" s="7">
        <f>IF(N113, S113, "")</f>
        <v/>
      </c>
      <c r="S113" s="7">
        <f>CurrAttrValue(C113, 0)</f>
        <v/>
      </c>
      <c r="T113" s="5">
        <f>IF(K113=-200, "д.вх.", K113)</f>
        <v/>
      </c>
      <c r="U113" s="5">
        <f>IF(L113=-200, "д.вх.", IF(N113, O113, L113))</f>
        <v/>
      </c>
      <c r="V113" s="5">
        <f>CurrAttrValue(G113, 0)</f>
        <v/>
      </c>
      <c r="W113" s="5">
        <f>IF(M113, "Блокирована", IF(N113, "Проверено", "-"))</f>
        <v/>
      </c>
    </row>
    <row r="114" ht="20" customHeight="1">
      <c r="A114">
        <f>"System.PZ.A083"</f>
        <v/>
      </c>
      <c r="B114">
        <f>CONCATENATE($A$2, $A$1, $A114, B$2)</f>
        <v/>
      </c>
      <c r="C114">
        <f>CONCATENATE($A$2, $A$1, $A114, C$2)</f>
        <v/>
      </c>
      <c r="D114">
        <f>CONCATENATE($A$2, $A$1, $A114, D$2)</f>
        <v/>
      </c>
      <c r="E114">
        <f>CONCATENATE($A$2, $A$1, $A114, E$2)</f>
        <v/>
      </c>
      <c r="F114">
        <f>CONCATENATE($A$2, $A$1, $A114, F$2)</f>
        <v/>
      </c>
      <c r="G114">
        <f>CONCATENATE($A$2, $A$1, $A114, G$2)</f>
        <v/>
      </c>
      <c r="H114">
        <f>CONCATENATE($A$2, $A$1, $A114, H$2)</f>
        <v/>
      </c>
      <c r="I114">
        <f>CONCATENATE($A$2, $A$1, $A114, I$2)</f>
        <v/>
      </c>
      <c r="J114">
        <f>CONCATENATE($A$2, $A$1, $A114, J$2)</f>
        <v/>
      </c>
      <c r="K114">
        <f>CurrAttrValue(D114, 0)</f>
        <v/>
      </c>
      <c r="L114">
        <f>CurrAttrValue(E114, 0)</f>
        <v/>
      </c>
      <c r="M114">
        <f>CurrAttrValue(H114, 0)</f>
        <v/>
      </c>
      <c r="N114">
        <f>CurrAttrValue(I114, 0)</f>
        <v/>
      </c>
      <c r="O114">
        <f>CurrAttrValue(J114, 0)</f>
        <v/>
      </c>
      <c r="P114" s="5">
        <f>"84"</f>
        <v/>
      </c>
      <c r="Q114" s="6">
        <f>"АОбс. Аварийно-низкое давление топливного газа перед СК0  "</f>
        <v/>
      </c>
      <c r="R114" s="7">
        <f>IF(N114, S114, "")</f>
        <v/>
      </c>
      <c r="S114" s="7">
        <f>CurrAttrValue(C114, 0)</f>
        <v/>
      </c>
      <c r="T114" s="5">
        <f>IF(K114=-200, "д.вх.", K114)</f>
        <v/>
      </c>
      <c r="U114" s="5">
        <f>IF(L114=-200, "д.вх.", IF(N114, O114, L114))</f>
        <v/>
      </c>
      <c r="V114" s="5">
        <f>CurrAttrValue(G114, 0)</f>
        <v/>
      </c>
      <c r="W114" s="5">
        <f>IF(M114, "Блокирована", IF(N114, "Проверено", "-"))</f>
        <v/>
      </c>
    </row>
    <row r="115" ht="20" customHeight="1">
      <c r="A115">
        <f>"System.PZ.A084"</f>
        <v/>
      </c>
      <c r="B115">
        <f>CONCATENATE($A$2, $A$1, $A115, B$2)</f>
        <v/>
      </c>
      <c r="C115">
        <f>CONCATENATE($A$2, $A$1, $A115, C$2)</f>
        <v/>
      </c>
      <c r="D115">
        <f>CONCATENATE($A$2, $A$1, $A115, D$2)</f>
        <v/>
      </c>
      <c r="E115">
        <f>CONCATENATE($A$2, $A$1, $A115, E$2)</f>
        <v/>
      </c>
      <c r="F115">
        <f>CONCATENATE($A$2, $A$1, $A115, F$2)</f>
        <v/>
      </c>
      <c r="G115">
        <f>CONCATENATE($A$2, $A$1, $A115, G$2)</f>
        <v/>
      </c>
      <c r="H115">
        <f>CONCATENATE($A$2, $A$1, $A115, H$2)</f>
        <v/>
      </c>
      <c r="I115">
        <f>CONCATENATE($A$2, $A$1, $A115, I$2)</f>
        <v/>
      </c>
      <c r="J115">
        <f>CONCATENATE($A$2, $A$1, $A115, J$2)</f>
        <v/>
      </c>
      <c r="K115">
        <f>CurrAttrValue(D115, 0)</f>
        <v/>
      </c>
      <c r="L115">
        <f>CurrAttrValue(E115, 0)</f>
        <v/>
      </c>
      <c r="M115">
        <f>CurrAttrValue(H115, 0)</f>
        <v/>
      </c>
      <c r="N115">
        <f>CurrAttrValue(I115, 0)</f>
        <v/>
      </c>
      <c r="O115">
        <f>CurrAttrValue(J115, 0)</f>
        <v/>
      </c>
      <c r="P115" s="5">
        <f>"85"</f>
        <v/>
      </c>
      <c r="Q115" s="6">
        <f>"ВОбс. Низкое давление топливного газа перед СК0  "</f>
        <v/>
      </c>
      <c r="R115" s="7">
        <f>IF(N115, S115, "")</f>
        <v/>
      </c>
      <c r="S115" s="7">
        <f>CurrAttrValue(C115, 0)</f>
        <v/>
      </c>
      <c r="T115" s="5">
        <f>IF(K115=-200, "д.вх.", K115)</f>
        <v/>
      </c>
      <c r="U115" s="5">
        <f>IF(L115=-200, "д.вх.", IF(N115, O115, L115))</f>
        <v/>
      </c>
      <c r="V115" s="5">
        <f>CurrAttrValue(G115, 0)</f>
        <v/>
      </c>
      <c r="W115" s="5">
        <f>IF(M115, "Блокирована", IF(N115, "Проверено", "-"))</f>
        <v/>
      </c>
    </row>
    <row r="116" ht="20" customHeight="1">
      <c r="A116">
        <f>"System.PZ.A085"</f>
        <v/>
      </c>
      <c r="B116">
        <f>CONCATENATE($A$2, $A$1, $A116, B$2)</f>
        <v/>
      </c>
      <c r="C116">
        <f>CONCATENATE($A$2, $A$1, $A116, C$2)</f>
        <v/>
      </c>
      <c r="D116">
        <f>CONCATENATE($A$2, $A$1, $A116, D$2)</f>
        <v/>
      </c>
      <c r="E116">
        <f>CONCATENATE($A$2, $A$1, $A116, E$2)</f>
        <v/>
      </c>
      <c r="F116">
        <f>CONCATENATE($A$2, $A$1, $A116, F$2)</f>
        <v/>
      </c>
      <c r="G116">
        <f>CONCATENATE($A$2, $A$1, $A116, G$2)</f>
        <v/>
      </c>
      <c r="H116">
        <f>CONCATENATE($A$2, $A$1, $A116, H$2)</f>
        <v/>
      </c>
      <c r="I116">
        <f>CONCATENATE($A$2, $A$1, $A116, I$2)</f>
        <v/>
      </c>
      <c r="J116">
        <f>CONCATENATE($A$2, $A$1, $A116, J$2)</f>
        <v/>
      </c>
      <c r="K116">
        <f>CurrAttrValue(D116, 0)</f>
        <v/>
      </c>
      <c r="L116">
        <f>CurrAttrValue(E116, 0)</f>
        <v/>
      </c>
      <c r="M116">
        <f>CurrAttrValue(H116, 0)</f>
        <v/>
      </c>
      <c r="N116">
        <f>CurrAttrValue(I116, 0)</f>
        <v/>
      </c>
      <c r="O116">
        <f>CurrAttrValue(J116, 0)</f>
        <v/>
      </c>
      <c r="P116" s="5">
        <f>"86"</f>
        <v/>
      </c>
      <c r="Q116" s="6">
        <f>"ВОбс. Высокое давление топливного газа перед СК0  "</f>
        <v/>
      </c>
      <c r="R116" s="7">
        <f>IF(N116, S116, "")</f>
        <v/>
      </c>
      <c r="S116" s="7">
        <f>CurrAttrValue(C116, 0)</f>
        <v/>
      </c>
      <c r="T116" s="5">
        <f>IF(K116=-200, "д.вх.", K116)</f>
        <v/>
      </c>
      <c r="U116" s="5">
        <f>IF(L116=-200, "д.вх.", IF(N116, O116, L116))</f>
        <v/>
      </c>
      <c r="V116" s="5">
        <f>CurrAttrValue(G116, 0)</f>
        <v/>
      </c>
      <c r="W116" s="5">
        <f>IF(M116, "Блокирована", IF(N116, "Проверено", "-"))</f>
        <v/>
      </c>
    </row>
    <row r="117" ht="20" customHeight="1">
      <c r="A117">
        <f>"System.PZ.A086"</f>
        <v/>
      </c>
      <c r="B117">
        <f>CONCATENATE($A$2, $A$1, $A117, B$2)</f>
        <v/>
      </c>
      <c r="C117">
        <f>CONCATENATE($A$2, $A$1, $A117, C$2)</f>
        <v/>
      </c>
      <c r="D117">
        <f>CONCATENATE($A$2, $A$1, $A117, D$2)</f>
        <v/>
      </c>
      <c r="E117">
        <f>CONCATENATE($A$2, $A$1, $A117, E$2)</f>
        <v/>
      </c>
      <c r="F117">
        <f>CONCATENATE($A$2, $A$1, $A117, F$2)</f>
        <v/>
      </c>
      <c r="G117">
        <f>CONCATENATE($A$2, $A$1, $A117, G$2)</f>
        <v/>
      </c>
      <c r="H117">
        <f>CONCATENATE($A$2, $A$1, $A117, H$2)</f>
        <v/>
      </c>
      <c r="I117">
        <f>CONCATENATE($A$2, $A$1, $A117, I$2)</f>
        <v/>
      </c>
      <c r="J117">
        <f>CONCATENATE($A$2, $A$1, $A117, J$2)</f>
        <v/>
      </c>
      <c r="K117">
        <f>CurrAttrValue(D117, 0)</f>
        <v/>
      </c>
      <c r="L117">
        <f>CurrAttrValue(E117, 0)</f>
        <v/>
      </c>
      <c r="M117">
        <f>CurrAttrValue(H117, 0)</f>
        <v/>
      </c>
      <c r="N117">
        <f>CurrAttrValue(I117, 0)</f>
        <v/>
      </c>
      <c r="O117">
        <f>CurrAttrValue(J117, 0)</f>
        <v/>
      </c>
      <c r="P117" s="5">
        <f>"87"</f>
        <v/>
      </c>
      <c r="Q117" s="6">
        <f>"АОбс. Аварийно-высокое давление топливного газа перед СК0  "</f>
        <v/>
      </c>
      <c r="R117" s="7">
        <f>IF(N117, S117, "")</f>
        <v/>
      </c>
      <c r="S117" s="7">
        <f>CurrAttrValue(C117, 0)</f>
        <v/>
      </c>
      <c r="T117" s="5">
        <f>IF(K117=-200, "д.вх.", K117)</f>
        <v/>
      </c>
      <c r="U117" s="5">
        <f>IF(L117=-200, "д.вх.", IF(N117, O117, L117))</f>
        <v/>
      </c>
      <c r="V117" s="5">
        <f>CurrAttrValue(G117, 0)</f>
        <v/>
      </c>
      <c r="W117" s="5">
        <f>IF(M117, "Блокирована", IF(N117, "Проверено", "-"))</f>
        <v/>
      </c>
    </row>
    <row r="118" ht="20" customHeight="1">
      <c r="A118">
        <f>"System.PZ.A087"</f>
        <v/>
      </c>
      <c r="B118">
        <f>CONCATENATE($A$2, $A$1, $A118, B$2)</f>
        <v/>
      </c>
      <c r="C118">
        <f>CONCATENATE($A$2, $A$1, $A118, C$2)</f>
        <v/>
      </c>
      <c r="D118">
        <f>CONCATENATE($A$2, $A$1, $A118, D$2)</f>
        <v/>
      </c>
      <c r="E118">
        <f>CONCATENATE($A$2, $A$1, $A118, E$2)</f>
        <v/>
      </c>
      <c r="F118">
        <f>CONCATENATE($A$2, $A$1, $A118, F$2)</f>
        <v/>
      </c>
      <c r="G118">
        <f>CONCATENATE($A$2, $A$1, $A118, G$2)</f>
        <v/>
      </c>
      <c r="H118">
        <f>CONCATENATE($A$2, $A$1, $A118, H$2)</f>
        <v/>
      </c>
      <c r="I118">
        <f>CONCATENATE($A$2, $A$1, $A118, I$2)</f>
        <v/>
      </c>
      <c r="J118">
        <f>CONCATENATE($A$2, $A$1, $A118, J$2)</f>
        <v/>
      </c>
      <c r="K118">
        <f>CurrAttrValue(D118, 0)</f>
        <v/>
      </c>
      <c r="L118">
        <f>CurrAttrValue(E118, 0)</f>
        <v/>
      </c>
      <c r="M118">
        <f>CurrAttrValue(H118, 0)</f>
        <v/>
      </c>
      <c r="N118">
        <f>CurrAttrValue(I118, 0)</f>
        <v/>
      </c>
      <c r="O118">
        <f>CurrAttrValue(J118, 0)</f>
        <v/>
      </c>
      <c r="P118" s="5">
        <f>"88"</f>
        <v/>
      </c>
      <c r="Q118" s="6">
        <f>"АОбс. Одновременный отказ каналов измерения и РТГВХ и РТГПД  "</f>
        <v/>
      </c>
      <c r="R118" s="7">
        <f>IF(N118, S118, "")</f>
        <v/>
      </c>
      <c r="S118" s="7">
        <f>CurrAttrValue(C118, 0)</f>
        <v/>
      </c>
      <c r="T118" s="5">
        <f>IF(K118=-200, "д.вх.", K118)</f>
        <v/>
      </c>
      <c r="U118" s="5">
        <f>IF(L118=-200, "д.вх.", IF(N118, O118, L118))</f>
        <v/>
      </c>
      <c r="V118" s="5">
        <f>CurrAttrValue(G118, 0)</f>
        <v/>
      </c>
      <c r="W118" s="5">
        <f>IF(M118, "Блокирована", IF(N118, "Проверено", "-"))</f>
        <v/>
      </c>
    </row>
    <row r="119" ht="20" customHeight="1">
      <c r="A119">
        <f>"System.PZ.A088"</f>
        <v/>
      </c>
      <c r="B119">
        <f>CONCATENATE($A$2, $A$1, $A119, B$2)</f>
        <v/>
      </c>
      <c r="C119">
        <f>CONCATENATE($A$2, $A$1, $A119, C$2)</f>
        <v/>
      </c>
      <c r="D119">
        <f>CONCATENATE($A$2, $A$1, $A119, D$2)</f>
        <v/>
      </c>
      <c r="E119">
        <f>CONCATENATE($A$2, $A$1, $A119, E$2)</f>
        <v/>
      </c>
      <c r="F119">
        <f>CONCATENATE($A$2, $A$1, $A119, F$2)</f>
        <v/>
      </c>
      <c r="G119">
        <f>CONCATENATE($A$2, $A$1, $A119, G$2)</f>
        <v/>
      </c>
      <c r="H119">
        <f>CONCATENATE($A$2, $A$1, $A119, H$2)</f>
        <v/>
      </c>
      <c r="I119">
        <f>CONCATENATE($A$2, $A$1, $A119, I$2)</f>
        <v/>
      </c>
      <c r="J119">
        <f>CONCATENATE($A$2, $A$1, $A119, J$2)</f>
        <v/>
      </c>
      <c r="K119">
        <f>CurrAttrValue(D119, 0)</f>
        <v/>
      </c>
      <c r="L119">
        <f>CurrAttrValue(E119, 0)</f>
        <v/>
      </c>
      <c r="M119">
        <f>CurrAttrValue(H119, 0)</f>
        <v/>
      </c>
      <c r="N119">
        <f>CurrAttrValue(I119, 0)</f>
        <v/>
      </c>
      <c r="O119">
        <f>CurrAttrValue(J119, 0)</f>
        <v/>
      </c>
      <c r="P119" s="5">
        <f>"89"</f>
        <v/>
      </c>
      <c r="Q119" s="6">
        <f>"АОбс. Нет давления масла на входе в двигатель  "</f>
        <v/>
      </c>
      <c r="R119" s="7">
        <f>IF(N119, S119, "")</f>
        <v/>
      </c>
      <c r="S119" s="7">
        <f>CurrAttrValue(C119, 0)</f>
        <v/>
      </c>
      <c r="T119" s="5">
        <f>IF(K119=-200, "д.вх.", K119)</f>
        <v/>
      </c>
      <c r="U119" s="5">
        <f>IF(L119=-200, "д.вх.", IF(N119, O119, L119))</f>
        <v/>
      </c>
      <c r="V119" s="5">
        <f>CurrAttrValue(G119, 0)</f>
        <v/>
      </c>
      <c r="W119" s="5">
        <f>IF(M119, "Блокирована", IF(N119, "Проверено", "-"))</f>
        <v/>
      </c>
    </row>
    <row r="120" ht="20" customHeight="1">
      <c r="A120">
        <f>"System.PZ.A089"</f>
        <v/>
      </c>
      <c r="B120">
        <f>CONCATENATE($A$2, $A$1, $A120, B$2)</f>
        <v/>
      </c>
      <c r="C120">
        <f>CONCATENATE($A$2, $A$1, $A120, C$2)</f>
        <v/>
      </c>
      <c r="D120">
        <f>CONCATENATE($A$2, $A$1, $A120, D$2)</f>
        <v/>
      </c>
      <c r="E120">
        <f>CONCATENATE($A$2, $A$1, $A120, E$2)</f>
        <v/>
      </c>
      <c r="F120">
        <f>CONCATENATE($A$2, $A$1, $A120, F$2)</f>
        <v/>
      </c>
      <c r="G120">
        <f>CONCATENATE($A$2, $A$1, $A120, G$2)</f>
        <v/>
      </c>
      <c r="H120">
        <f>CONCATENATE($A$2, $A$1, $A120, H$2)</f>
        <v/>
      </c>
      <c r="I120">
        <f>CONCATENATE($A$2, $A$1, $A120, I$2)</f>
        <v/>
      </c>
      <c r="J120">
        <f>CONCATENATE($A$2, $A$1, $A120, J$2)</f>
        <v/>
      </c>
      <c r="K120">
        <f>CurrAttrValue(D120, 0)</f>
        <v/>
      </c>
      <c r="L120">
        <f>CurrAttrValue(E120, 0)</f>
        <v/>
      </c>
      <c r="M120">
        <f>CurrAttrValue(H120, 0)</f>
        <v/>
      </c>
      <c r="N120">
        <f>CurrAttrValue(I120, 0)</f>
        <v/>
      </c>
      <c r="O120">
        <f>CurrAttrValue(J120, 0)</f>
        <v/>
      </c>
      <c r="P120" s="5">
        <f>"90"</f>
        <v/>
      </c>
      <c r="Q120" s="6">
        <f>"ВОбс. Низкое давление масла на входе в двигатель  "</f>
        <v/>
      </c>
      <c r="R120" s="7">
        <f>IF(N120, S120, "")</f>
        <v/>
      </c>
      <c r="S120" s="7">
        <f>CurrAttrValue(C120, 0)</f>
        <v/>
      </c>
      <c r="T120" s="5">
        <f>IF(K120=-200, "д.вх.", K120)</f>
        <v/>
      </c>
      <c r="U120" s="5">
        <f>IF(L120=-200, "д.вх.", IF(N120, O120, L120))</f>
        <v/>
      </c>
      <c r="V120" s="5">
        <f>CurrAttrValue(G120, 0)</f>
        <v/>
      </c>
      <c r="W120" s="5">
        <f>IF(M120, "Блокирована", IF(N120, "Проверено", "-"))</f>
        <v/>
      </c>
    </row>
    <row r="121" ht="20" customHeight="1">
      <c r="A121">
        <f>"System.PZ.A090"</f>
        <v/>
      </c>
      <c r="B121">
        <f>CONCATENATE($A$2, $A$1, $A121, B$2)</f>
        <v/>
      </c>
      <c r="C121">
        <f>CONCATENATE($A$2, $A$1, $A121, C$2)</f>
        <v/>
      </c>
      <c r="D121">
        <f>CONCATENATE($A$2, $A$1, $A121, D$2)</f>
        <v/>
      </c>
      <c r="E121">
        <f>CONCATENATE($A$2, $A$1, $A121, E$2)</f>
        <v/>
      </c>
      <c r="F121">
        <f>CONCATENATE($A$2, $A$1, $A121, F$2)</f>
        <v/>
      </c>
      <c r="G121">
        <f>CONCATENATE($A$2, $A$1, $A121, G$2)</f>
        <v/>
      </c>
      <c r="H121">
        <f>CONCATENATE($A$2, $A$1, $A121, H$2)</f>
        <v/>
      </c>
      <c r="I121">
        <f>CONCATENATE($A$2, $A$1, $A121, I$2)</f>
        <v/>
      </c>
      <c r="J121">
        <f>CONCATENATE($A$2, $A$1, $A121, J$2)</f>
        <v/>
      </c>
      <c r="K121">
        <f>CurrAttrValue(D121, 0)</f>
        <v/>
      </c>
      <c r="L121">
        <f>CurrAttrValue(E121, 0)</f>
        <v/>
      </c>
      <c r="M121">
        <f>CurrAttrValue(H121, 0)</f>
        <v/>
      </c>
      <c r="N121">
        <f>CurrAttrValue(I121, 0)</f>
        <v/>
      </c>
      <c r="O121">
        <f>CurrAttrValue(J121, 0)</f>
        <v/>
      </c>
      <c r="P121" s="5">
        <f>"91"</f>
        <v/>
      </c>
      <c r="Q121" s="6">
        <f>"АОбс. Аварийно-низкое давление масла на входе в двигатель  "</f>
        <v/>
      </c>
      <c r="R121" s="7">
        <f>IF(N121, S121, "")</f>
        <v/>
      </c>
      <c r="S121" s="7">
        <f>CurrAttrValue(C121, 0)</f>
        <v/>
      </c>
      <c r="T121" s="5">
        <f>IF(K121=-200, "д.вх.", K121)</f>
        <v/>
      </c>
      <c r="U121" s="5">
        <f>IF(L121=-200, "д.вх.", IF(N121, O121, L121))</f>
        <v/>
      </c>
      <c r="V121" s="5">
        <f>CurrAttrValue(G121, 0)</f>
        <v/>
      </c>
      <c r="W121" s="5">
        <f>IF(M121, "Блокирована", IF(N121, "Проверено", "-"))</f>
        <v/>
      </c>
    </row>
    <row r="122" ht="20" customHeight="1">
      <c r="A122">
        <f>"System.PZ.A091"</f>
        <v/>
      </c>
      <c r="B122">
        <f>CONCATENATE($A$2, $A$1, $A122, B$2)</f>
        <v/>
      </c>
      <c r="C122">
        <f>CONCATENATE($A$2, $A$1, $A122, C$2)</f>
        <v/>
      </c>
      <c r="D122">
        <f>CONCATENATE($A$2, $A$1, $A122, D$2)</f>
        <v/>
      </c>
      <c r="E122">
        <f>CONCATENATE($A$2, $A$1, $A122, E$2)</f>
        <v/>
      </c>
      <c r="F122">
        <f>CONCATENATE($A$2, $A$1, $A122, F$2)</f>
        <v/>
      </c>
      <c r="G122">
        <f>CONCATENATE($A$2, $A$1, $A122, G$2)</f>
        <v/>
      </c>
      <c r="H122">
        <f>CONCATENATE($A$2, $A$1, $A122, H$2)</f>
        <v/>
      </c>
      <c r="I122">
        <f>CONCATENATE($A$2, $A$1, $A122, I$2)</f>
        <v/>
      </c>
      <c r="J122">
        <f>CONCATENATE($A$2, $A$1, $A122, J$2)</f>
        <v/>
      </c>
      <c r="K122">
        <f>CurrAttrValue(D122, 0)</f>
        <v/>
      </c>
      <c r="L122">
        <f>CurrAttrValue(E122, 0)</f>
        <v/>
      </c>
      <c r="M122">
        <f>CurrAttrValue(H122, 0)</f>
        <v/>
      </c>
      <c r="N122">
        <f>CurrAttrValue(I122, 0)</f>
        <v/>
      </c>
      <c r="O122">
        <f>CurrAttrValue(J122, 0)</f>
        <v/>
      </c>
      <c r="P122" s="5">
        <f>"92"</f>
        <v/>
      </c>
      <c r="Q122" s="6">
        <f>"АОбс. Отказ канала измерения Рм на входе в двигатель на запуске  "</f>
        <v/>
      </c>
      <c r="R122" s="7">
        <f>IF(N122, S122, "")</f>
        <v/>
      </c>
      <c r="S122" s="7">
        <f>CurrAttrValue(C122, 0)</f>
        <v/>
      </c>
      <c r="T122" s="5">
        <f>IF(K122=-200, "д.вх.", K122)</f>
        <v/>
      </c>
      <c r="U122" s="5">
        <f>IF(L122=-200, "д.вх.", IF(N122, O122, L122))</f>
        <v/>
      </c>
      <c r="V122" s="5">
        <f>CurrAttrValue(G122, 0)</f>
        <v/>
      </c>
      <c r="W122" s="5">
        <f>IF(M122, "Блокирована", IF(N122, "Проверено", "-"))</f>
        <v/>
      </c>
    </row>
    <row r="123" ht="20" customHeight="1">
      <c r="A123">
        <f>"System.PZ.A092"</f>
        <v/>
      </c>
      <c r="B123">
        <f>CONCATENATE($A$2, $A$1, $A123, B$2)</f>
        <v/>
      </c>
      <c r="C123">
        <f>CONCATENATE($A$2, $A$1, $A123, C$2)</f>
        <v/>
      </c>
      <c r="D123">
        <f>CONCATENATE($A$2, $A$1, $A123, D$2)</f>
        <v/>
      </c>
      <c r="E123">
        <f>CONCATENATE($A$2, $A$1, $A123, E$2)</f>
        <v/>
      </c>
      <c r="F123">
        <f>CONCATENATE($A$2, $A$1, $A123, F$2)</f>
        <v/>
      </c>
      <c r="G123">
        <f>CONCATENATE($A$2, $A$1, $A123, G$2)</f>
        <v/>
      </c>
      <c r="H123">
        <f>CONCATENATE($A$2, $A$1, $A123, H$2)</f>
        <v/>
      </c>
      <c r="I123">
        <f>CONCATENATE($A$2, $A$1, $A123, I$2)</f>
        <v/>
      </c>
      <c r="J123">
        <f>CONCATENATE($A$2, $A$1, $A123, J$2)</f>
        <v/>
      </c>
      <c r="K123">
        <f>CurrAttrValue(D123, 0)</f>
        <v/>
      </c>
      <c r="L123">
        <f>CurrAttrValue(E123, 0)</f>
        <v/>
      </c>
      <c r="M123">
        <f>CurrAttrValue(H123, 0)</f>
        <v/>
      </c>
      <c r="N123">
        <f>CurrAttrValue(I123, 0)</f>
        <v/>
      </c>
      <c r="O123">
        <f>CurrAttrValue(J123, 0)</f>
        <v/>
      </c>
      <c r="P123" s="5">
        <f>"93"</f>
        <v/>
      </c>
      <c r="Q123" s="6">
        <f>"ВОбс. Отказ канала измерения Рм на входе в двигатель  "</f>
        <v/>
      </c>
      <c r="R123" s="7">
        <f>IF(N123, S123, "")</f>
        <v/>
      </c>
      <c r="S123" s="7">
        <f>CurrAttrValue(C123, 0)</f>
        <v/>
      </c>
      <c r="T123" s="5">
        <f>IF(K123=-200, "д.вх.", K123)</f>
        <v/>
      </c>
      <c r="U123" s="5">
        <f>IF(L123=-200, "д.вх.", IF(N123, O123, L123))</f>
        <v/>
      </c>
      <c r="V123" s="5">
        <f>CurrAttrValue(G123, 0)</f>
        <v/>
      </c>
      <c r="W123" s="5">
        <f>IF(M123, "Блокирована", IF(N123, "Проверено", "-"))</f>
        <v/>
      </c>
    </row>
    <row r="124" ht="20" customHeight="1">
      <c r="A124">
        <f>"System.PZ.A093"</f>
        <v/>
      </c>
      <c r="B124">
        <f>CONCATENATE($A$2, $A$1, $A124, B$2)</f>
        <v/>
      </c>
      <c r="C124">
        <f>CONCATENATE($A$2, $A$1, $A124, C$2)</f>
        <v/>
      </c>
      <c r="D124">
        <f>CONCATENATE($A$2, $A$1, $A124, D$2)</f>
        <v/>
      </c>
      <c r="E124">
        <f>CONCATENATE($A$2, $A$1, $A124, E$2)</f>
        <v/>
      </c>
      <c r="F124">
        <f>CONCATENATE($A$2, $A$1, $A124, F$2)</f>
        <v/>
      </c>
      <c r="G124">
        <f>CONCATENATE($A$2, $A$1, $A124, G$2)</f>
        <v/>
      </c>
      <c r="H124">
        <f>CONCATENATE($A$2, $A$1, $A124, H$2)</f>
        <v/>
      </c>
      <c r="I124">
        <f>CONCATENATE($A$2, $A$1, $A124, I$2)</f>
        <v/>
      </c>
      <c r="J124">
        <f>CONCATENATE($A$2, $A$1, $A124, J$2)</f>
        <v/>
      </c>
      <c r="K124">
        <f>CurrAttrValue(D124, 0)</f>
        <v/>
      </c>
      <c r="L124">
        <f>CurrAttrValue(E124, 0)</f>
        <v/>
      </c>
      <c r="M124">
        <f>CurrAttrValue(H124, 0)</f>
        <v/>
      </c>
      <c r="N124">
        <f>CurrAttrValue(I124, 0)</f>
        <v/>
      </c>
      <c r="O124">
        <f>CurrAttrValue(J124, 0)</f>
        <v/>
      </c>
      <c r="P124" s="5">
        <f>"94"</f>
        <v/>
      </c>
      <c r="Q124" s="6">
        <f>"ВОбс. Высокое давление суфлирования  "</f>
        <v/>
      </c>
      <c r="R124" s="7">
        <f>IF(N124, S124, "")</f>
        <v/>
      </c>
      <c r="S124" s="7">
        <f>CurrAttrValue(C124, 0)</f>
        <v/>
      </c>
      <c r="T124" s="5">
        <f>IF(K124=-200, "д.вх.", K124)</f>
        <v/>
      </c>
      <c r="U124" s="5">
        <f>IF(L124=-200, "д.вх.", IF(N124, O124, L124))</f>
        <v/>
      </c>
      <c r="V124" s="5">
        <f>CurrAttrValue(G124, 0)</f>
        <v/>
      </c>
      <c r="W124" s="5">
        <f>IF(M124, "Блокирована", IF(N124, "Проверено", "-"))</f>
        <v/>
      </c>
    </row>
    <row r="125" ht="20" customHeight="1">
      <c r="A125">
        <f>"System.PZ.A094"</f>
        <v/>
      </c>
      <c r="B125">
        <f>CONCATENATE($A$2, $A$1, $A125, B$2)</f>
        <v/>
      </c>
      <c r="C125">
        <f>CONCATENATE($A$2, $A$1, $A125, C$2)</f>
        <v/>
      </c>
      <c r="D125">
        <f>CONCATENATE($A$2, $A$1, $A125, D$2)</f>
        <v/>
      </c>
      <c r="E125">
        <f>CONCATENATE($A$2, $A$1, $A125, E$2)</f>
        <v/>
      </c>
      <c r="F125">
        <f>CONCATENATE($A$2, $A$1, $A125, F$2)</f>
        <v/>
      </c>
      <c r="G125">
        <f>CONCATENATE($A$2, $A$1, $A125, G$2)</f>
        <v/>
      </c>
      <c r="H125">
        <f>CONCATENATE($A$2, $A$1, $A125, H$2)</f>
        <v/>
      </c>
      <c r="I125">
        <f>CONCATENATE($A$2, $A$1, $A125, I$2)</f>
        <v/>
      </c>
      <c r="J125">
        <f>CONCATENATE($A$2, $A$1, $A125, J$2)</f>
        <v/>
      </c>
      <c r="K125">
        <f>CurrAttrValue(D125, 0)</f>
        <v/>
      </c>
      <c r="L125">
        <f>CurrAttrValue(E125, 0)</f>
        <v/>
      </c>
      <c r="M125">
        <f>CurrAttrValue(H125, 0)</f>
        <v/>
      </c>
      <c r="N125">
        <f>CurrAttrValue(I125, 0)</f>
        <v/>
      </c>
      <c r="O125">
        <f>CurrAttrValue(J125, 0)</f>
        <v/>
      </c>
      <c r="P125" s="5">
        <f>"95"</f>
        <v/>
      </c>
      <c r="Q125" s="6">
        <f>"АОбс. Отказ канала вибрации двигателя в зоне ПП  "</f>
        <v/>
      </c>
      <c r="R125" s="7">
        <f>IF(N125, S125, "")</f>
        <v/>
      </c>
      <c r="S125" s="7">
        <f>CurrAttrValue(C125, 0)</f>
        <v/>
      </c>
      <c r="T125" s="5">
        <f>IF(K125=-200, "д.вх.", K125)</f>
        <v/>
      </c>
      <c r="U125" s="5">
        <f>IF(L125=-200, "д.вх.", IF(N125, O125, L125))</f>
        <v/>
      </c>
      <c r="V125" s="5">
        <f>CurrAttrValue(G125, 0)</f>
        <v/>
      </c>
      <c r="W125" s="5">
        <f>IF(M125, "Блокирована", IF(N125, "Проверено", "-"))</f>
        <v/>
      </c>
    </row>
    <row r="126" ht="20" customHeight="1">
      <c r="A126">
        <f>"System.PZ.A095"</f>
        <v/>
      </c>
      <c r="B126">
        <f>CONCATENATE($A$2, $A$1, $A126, B$2)</f>
        <v/>
      </c>
      <c r="C126">
        <f>CONCATENATE($A$2, $A$1, $A126, C$2)</f>
        <v/>
      </c>
      <c r="D126">
        <f>CONCATENATE($A$2, $A$1, $A126, D$2)</f>
        <v/>
      </c>
      <c r="E126">
        <f>CONCATENATE($A$2, $A$1, $A126, E$2)</f>
        <v/>
      </c>
      <c r="F126">
        <f>CONCATENATE($A$2, $A$1, $A126, F$2)</f>
        <v/>
      </c>
      <c r="G126">
        <f>CONCATENATE($A$2, $A$1, $A126, G$2)</f>
        <v/>
      </c>
      <c r="H126">
        <f>CONCATENATE($A$2, $A$1, $A126, H$2)</f>
        <v/>
      </c>
      <c r="I126">
        <f>CONCATENATE($A$2, $A$1, $A126, I$2)</f>
        <v/>
      </c>
      <c r="J126">
        <f>CONCATENATE($A$2, $A$1, $A126, J$2)</f>
        <v/>
      </c>
      <c r="K126">
        <f>CurrAttrValue(D126, 0)</f>
        <v/>
      </c>
      <c r="L126">
        <f>CurrAttrValue(E126, 0)</f>
        <v/>
      </c>
      <c r="M126">
        <f>CurrAttrValue(H126, 0)</f>
        <v/>
      </c>
      <c r="N126">
        <f>CurrAttrValue(I126, 0)</f>
        <v/>
      </c>
      <c r="O126">
        <f>CurrAttrValue(J126, 0)</f>
        <v/>
      </c>
      <c r="P126" s="5">
        <f>"96"</f>
        <v/>
      </c>
      <c r="Q126" s="6">
        <f>"ВОбс. Опасная вибрация двигателя в зоне ПП  "</f>
        <v/>
      </c>
      <c r="R126" s="7">
        <f>IF(N126, S126, "")</f>
        <v/>
      </c>
      <c r="S126" s="7">
        <f>CurrAttrValue(C126, 0)</f>
        <v/>
      </c>
      <c r="T126" s="5">
        <f>IF(K126=-200, "д.вх.", K126)</f>
        <v/>
      </c>
      <c r="U126" s="5">
        <f>IF(L126=-200, "д.вх.", IF(N126, O126, L126))</f>
        <v/>
      </c>
      <c r="V126" s="5">
        <f>CurrAttrValue(G126, 0)</f>
        <v/>
      </c>
      <c r="W126" s="5">
        <f>IF(M126, "Блокирована", IF(N126, "Проверено", "-"))</f>
        <v/>
      </c>
    </row>
    <row r="127" ht="20" customHeight="1">
      <c r="A127">
        <f>"System.PZ.A096"</f>
        <v/>
      </c>
      <c r="B127">
        <f>CONCATENATE($A$2, $A$1, $A127, B$2)</f>
        <v/>
      </c>
      <c r="C127">
        <f>CONCATENATE($A$2, $A$1, $A127, C$2)</f>
        <v/>
      </c>
      <c r="D127">
        <f>CONCATENATE($A$2, $A$1, $A127, D$2)</f>
        <v/>
      </c>
      <c r="E127">
        <f>CONCATENATE($A$2, $A$1, $A127, E$2)</f>
        <v/>
      </c>
      <c r="F127">
        <f>CONCATENATE($A$2, $A$1, $A127, F$2)</f>
        <v/>
      </c>
      <c r="G127">
        <f>CONCATENATE($A$2, $A$1, $A127, G$2)</f>
        <v/>
      </c>
      <c r="H127">
        <f>CONCATENATE($A$2, $A$1, $A127, H$2)</f>
        <v/>
      </c>
      <c r="I127">
        <f>CONCATENATE($A$2, $A$1, $A127, I$2)</f>
        <v/>
      </c>
      <c r="J127">
        <f>CONCATENATE($A$2, $A$1, $A127, J$2)</f>
        <v/>
      </c>
      <c r="K127">
        <f>CurrAttrValue(D127, 0)</f>
        <v/>
      </c>
      <c r="L127">
        <f>CurrAttrValue(E127, 0)</f>
        <v/>
      </c>
      <c r="M127">
        <f>CurrAttrValue(H127, 0)</f>
        <v/>
      </c>
      <c r="N127">
        <f>CurrAttrValue(I127, 0)</f>
        <v/>
      </c>
      <c r="O127">
        <f>CurrAttrValue(J127, 0)</f>
        <v/>
      </c>
      <c r="P127" s="5">
        <f>"97"</f>
        <v/>
      </c>
      <c r="Q127" s="6">
        <f>"АОбс. Высокий рост вибрации ПП  "</f>
        <v/>
      </c>
      <c r="R127" s="7">
        <f>IF(N127, S127, "")</f>
        <v/>
      </c>
      <c r="S127" s="7">
        <f>CurrAttrValue(C127, 0)</f>
        <v/>
      </c>
      <c r="T127" s="5">
        <f>IF(K127=-200, "д.вх.", K127)</f>
        <v/>
      </c>
      <c r="U127" s="5">
        <f>IF(L127=-200, "д.вх.", IF(N127, O127, L127))</f>
        <v/>
      </c>
      <c r="V127" s="5">
        <f>CurrAttrValue(G127, 0)</f>
        <v/>
      </c>
      <c r="W127" s="5">
        <f>IF(M127, "Блокирована", IF(N127, "Проверено", "-"))</f>
        <v/>
      </c>
    </row>
    <row r="128" ht="20" customHeight="1">
      <c r="A128">
        <f>"System.PZ.A097"</f>
        <v/>
      </c>
      <c r="B128">
        <f>CONCATENATE($A$2, $A$1, $A128, B$2)</f>
        <v/>
      </c>
      <c r="C128">
        <f>CONCATENATE($A$2, $A$1, $A128, C$2)</f>
        <v/>
      </c>
      <c r="D128">
        <f>CONCATENATE($A$2, $A$1, $A128, D$2)</f>
        <v/>
      </c>
      <c r="E128">
        <f>CONCATENATE($A$2, $A$1, $A128, E$2)</f>
        <v/>
      </c>
      <c r="F128">
        <f>CONCATENATE($A$2, $A$1, $A128, F$2)</f>
        <v/>
      </c>
      <c r="G128">
        <f>CONCATENATE($A$2, $A$1, $A128, G$2)</f>
        <v/>
      </c>
      <c r="H128">
        <f>CONCATENATE($A$2, $A$1, $A128, H$2)</f>
        <v/>
      </c>
      <c r="I128">
        <f>CONCATENATE($A$2, $A$1, $A128, I$2)</f>
        <v/>
      </c>
      <c r="J128">
        <f>CONCATENATE($A$2, $A$1, $A128, J$2)</f>
        <v/>
      </c>
      <c r="K128">
        <f>CurrAttrValue(D128, 0)</f>
        <v/>
      </c>
      <c r="L128">
        <f>CurrAttrValue(E128, 0)</f>
        <v/>
      </c>
      <c r="M128">
        <f>CurrAttrValue(H128, 0)</f>
        <v/>
      </c>
      <c r="N128">
        <f>CurrAttrValue(I128, 0)</f>
        <v/>
      </c>
      <c r="O128">
        <f>CurrAttrValue(J128, 0)</f>
        <v/>
      </c>
      <c r="P128" s="5">
        <f>"98"</f>
        <v/>
      </c>
      <c r="Q128" s="6">
        <f>"АОбс. Отказ канала вибрации двигателя в зоне ЗП  "</f>
        <v/>
      </c>
      <c r="R128" s="7">
        <f>IF(N128, S128, "")</f>
        <v/>
      </c>
      <c r="S128" s="7">
        <f>CurrAttrValue(C128, 0)</f>
        <v/>
      </c>
      <c r="T128" s="5">
        <f>IF(K128=-200, "д.вх.", K128)</f>
        <v/>
      </c>
      <c r="U128" s="5">
        <f>IF(L128=-200, "д.вх.", IF(N128, O128, L128))</f>
        <v/>
      </c>
      <c r="V128" s="5">
        <f>CurrAttrValue(G128, 0)</f>
        <v/>
      </c>
      <c r="W128" s="5">
        <f>IF(M128, "Блокирована", IF(N128, "Проверено", "-"))</f>
        <v/>
      </c>
    </row>
    <row r="129" ht="20" customHeight="1">
      <c r="A129">
        <f>"System.PZ.A098"</f>
        <v/>
      </c>
      <c r="B129">
        <f>CONCATENATE($A$2, $A$1, $A129, B$2)</f>
        <v/>
      </c>
      <c r="C129">
        <f>CONCATENATE($A$2, $A$1, $A129, C$2)</f>
        <v/>
      </c>
      <c r="D129">
        <f>CONCATENATE($A$2, $A$1, $A129, D$2)</f>
        <v/>
      </c>
      <c r="E129">
        <f>CONCATENATE($A$2, $A$1, $A129, E$2)</f>
        <v/>
      </c>
      <c r="F129">
        <f>CONCATENATE($A$2, $A$1, $A129, F$2)</f>
        <v/>
      </c>
      <c r="G129">
        <f>CONCATENATE($A$2, $A$1, $A129, G$2)</f>
        <v/>
      </c>
      <c r="H129">
        <f>CONCATENATE($A$2, $A$1, $A129, H$2)</f>
        <v/>
      </c>
      <c r="I129">
        <f>CONCATENATE($A$2, $A$1, $A129, I$2)</f>
        <v/>
      </c>
      <c r="J129">
        <f>CONCATENATE($A$2, $A$1, $A129, J$2)</f>
        <v/>
      </c>
      <c r="K129">
        <f>CurrAttrValue(D129, 0)</f>
        <v/>
      </c>
      <c r="L129">
        <f>CurrAttrValue(E129, 0)</f>
        <v/>
      </c>
      <c r="M129">
        <f>CurrAttrValue(H129, 0)</f>
        <v/>
      </c>
      <c r="N129">
        <f>CurrAttrValue(I129, 0)</f>
        <v/>
      </c>
      <c r="O129">
        <f>CurrAttrValue(J129, 0)</f>
        <v/>
      </c>
      <c r="P129" s="5">
        <f>"99"</f>
        <v/>
      </c>
      <c r="Q129" s="6">
        <f>"ВОбс. Опасная вибрация двигателя в зоне ЗП  "</f>
        <v/>
      </c>
      <c r="R129" s="7">
        <f>IF(N129, S129, "")</f>
        <v/>
      </c>
      <c r="S129" s="7">
        <f>CurrAttrValue(C129, 0)</f>
        <v/>
      </c>
      <c r="T129" s="5">
        <f>IF(K129=-200, "д.вх.", K129)</f>
        <v/>
      </c>
      <c r="U129" s="5">
        <f>IF(L129=-200, "д.вх.", IF(N129, O129, L129))</f>
        <v/>
      </c>
      <c r="V129" s="5">
        <f>CurrAttrValue(G129, 0)</f>
        <v/>
      </c>
      <c r="W129" s="5">
        <f>IF(M129, "Блокирована", IF(N129, "Проверено", "-"))</f>
        <v/>
      </c>
    </row>
    <row r="130" ht="20" customHeight="1">
      <c r="A130">
        <f>"System.PZ.A099"</f>
        <v/>
      </c>
      <c r="B130">
        <f>CONCATENATE($A$2, $A$1, $A130, B$2)</f>
        <v/>
      </c>
      <c r="C130">
        <f>CONCATENATE($A$2, $A$1, $A130, C$2)</f>
        <v/>
      </c>
      <c r="D130">
        <f>CONCATENATE($A$2, $A$1, $A130, D$2)</f>
        <v/>
      </c>
      <c r="E130">
        <f>CONCATENATE($A$2, $A$1, $A130, E$2)</f>
        <v/>
      </c>
      <c r="F130">
        <f>CONCATENATE($A$2, $A$1, $A130, F$2)</f>
        <v/>
      </c>
      <c r="G130">
        <f>CONCATENATE($A$2, $A$1, $A130, G$2)</f>
        <v/>
      </c>
      <c r="H130">
        <f>CONCATENATE($A$2, $A$1, $A130, H$2)</f>
        <v/>
      </c>
      <c r="I130">
        <f>CONCATENATE($A$2, $A$1, $A130, I$2)</f>
        <v/>
      </c>
      <c r="J130">
        <f>CONCATENATE($A$2, $A$1, $A130, J$2)</f>
        <v/>
      </c>
      <c r="K130">
        <f>CurrAttrValue(D130, 0)</f>
        <v/>
      </c>
      <c r="L130">
        <f>CurrAttrValue(E130, 0)</f>
        <v/>
      </c>
      <c r="M130">
        <f>CurrAttrValue(H130, 0)</f>
        <v/>
      </c>
      <c r="N130">
        <f>CurrAttrValue(I130, 0)</f>
        <v/>
      </c>
      <c r="O130">
        <f>CurrAttrValue(J130, 0)</f>
        <v/>
      </c>
      <c r="P130" s="5">
        <f>"100"</f>
        <v/>
      </c>
      <c r="Q130" s="6">
        <f>"АОбс. Высокий рост вибрации ЗП  "</f>
        <v/>
      </c>
      <c r="R130" s="7">
        <f>IF(N130, S130, "")</f>
        <v/>
      </c>
      <c r="S130" s="7">
        <f>CurrAttrValue(C130, 0)</f>
        <v/>
      </c>
      <c r="T130" s="5">
        <f>IF(K130=-200, "д.вх.", K130)</f>
        <v/>
      </c>
      <c r="U130" s="5">
        <f>IF(L130=-200, "д.вх.", IF(N130, O130, L130))</f>
        <v/>
      </c>
      <c r="V130" s="5">
        <f>CurrAttrValue(G130, 0)</f>
        <v/>
      </c>
      <c r="W130" s="5">
        <f>IF(M130, "Блокирована", IF(N130, "Проверено", "-"))</f>
        <v/>
      </c>
    </row>
    <row r="131" ht="20" customHeight="1">
      <c r="A131">
        <f>"System.PZ.A100"</f>
        <v/>
      </c>
      <c r="B131">
        <f>CONCATENATE($A$2, $A$1, $A131, B$2)</f>
        <v/>
      </c>
      <c r="C131">
        <f>CONCATENATE($A$2, $A$1, $A131, C$2)</f>
        <v/>
      </c>
      <c r="D131">
        <f>CONCATENATE($A$2, $A$1, $A131, D$2)</f>
        <v/>
      </c>
      <c r="E131">
        <f>CONCATENATE($A$2, $A$1, $A131, E$2)</f>
        <v/>
      </c>
      <c r="F131">
        <f>CONCATENATE($A$2, $A$1, $A131, F$2)</f>
        <v/>
      </c>
      <c r="G131">
        <f>CONCATENATE($A$2, $A$1, $A131, G$2)</f>
        <v/>
      </c>
      <c r="H131">
        <f>CONCATENATE($A$2, $A$1, $A131, H$2)</f>
        <v/>
      </c>
      <c r="I131">
        <f>CONCATENATE($A$2, $A$1, $A131, I$2)</f>
        <v/>
      </c>
      <c r="J131">
        <f>CONCATENATE($A$2, $A$1, $A131, J$2)</f>
        <v/>
      </c>
      <c r="K131">
        <f>CurrAttrValue(D131, 0)</f>
        <v/>
      </c>
      <c r="L131">
        <f>CurrAttrValue(E131, 0)</f>
        <v/>
      </c>
      <c r="M131">
        <f>CurrAttrValue(H131, 0)</f>
        <v/>
      </c>
      <c r="N131">
        <f>CurrAttrValue(I131, 0)</f>
        <v/>
      </c>
      <c r="O131">
        <f>CurrAttrValue(J131, 0)</f>
        <v/>
      </c>
      <c r="P131" s="5">
        <f>"101"</f>
        <v/>
      </c>
      <c r="Q131" s="6">
        <f>"ВОбс. Опасная осевая сила ротора СТ  "</f>
        <v/>
      </c>
      <c r="R131" s="7">
        <f>IF(N131, S131, "")</f>
        <v/>
      </c>
      <c r="S131" s="7">
        <f>CurrAttrValue(C131, 0)</f>
        <v/>
      </c>
      <c r="T131" s="5">
        <f>IF(K131=-200, "д.вх.", K131)</f>
        <v/>
      </c>
      <c r="U131" s="5">
        <f>IF(L131=-200, "д.вх.", IF(N131, O131, L131))</f>
        <v/>
      </c>
      <c r="V131" s="5">
        <f>CurrAttrValue(G131, 0)</f>
        <v/>
      </c>
      <c r="W131" s="5">
        <f>IF(M131, "Блокирована", IF(N131, "Проверено", "-"))</f>
        <v/>
      </c>
    </row>
    <row r="132" ht="20" customHeight="1">
      <c r="A132">
        <f>"System.PZ.A101"</f>
        <v/>
      </c>
      <c r="B132">
        <f>CONCATENATE($A$2, $A$1, $A132, B$2)</f>
        <v/>
      </c>
      <c r="C132">
        <f>CONCATENATE($A$2, $A$1, $A132, C$2)</f>
        <v/>
      </c>
      <c r="D132">
        <f>CONCATENATE($A$2, $A$1, $A132, D$2)</f>
        <v/>
      </c>
      <c r="E132">
        <f>CONCATENATE($A$2, $A$1, $A132, E$2)</f>
        <v/>
      </c>
      <c r="F132">
        <f>CONCATENATE($A$2, $A$1, $A132, F$2)</f>
        <v/>
      </c>
      <c r="G132">
        <f>CONCATENATE($A$2, $A$1, $A132, G$2)</f>
        <v/>
      </c>
      <c r="H132">
        <f>CONCATENATE($A$2, $A$1, $A132, H$2)</f>
        <v/>
      </c>
      <c r="I132">
        <f>CONCATENATE($A$2, $A$1, $A132, I$2)</f>
        <v/>
      </c>
      <c r="J132">
        <f>CONCATENATE($A$2, $A$1, $A132, J$2)</f>
        <v/>
      </c>
      <c r="K132">
        <f>CurrAttrValue(D132, 0)</f>
        <v/>
      </c>
      <c r="L132">
        <f>CurrAttrValue(E132, 0)</f>
        <v/>
      </c>
      <c r="M132">
        <f>CurrAttrValue(H132, 0)</f>
        <v/>
      </c>
      <c r="N132">
        <f>CurrAttrValue(I132, 0)</f>
        <v/>
      </c>
      <c r="O132">
        <f>CurrAttrValue(J132, 0)</f>
        <v/>
      </c>
      <c r="P132" s="5">
        <f>"102"</f>
        <v/>
      </c>
      <c r="Q132" s="6">
        <f>"АОбс. Отказ элек. части канала управления ЗПВ1 на запуске и режиме  "</f>
        <v/>
      </c>
      <c r="R132" s="7">
        <f>IF(N132, S132, "")</f>
        <v/>
      </c>
      <c r="S132" s="7">
        <f>CurrAttrValue(C132, 0)</f>
        <v/>
      </c>
      <c r="T132" s="5">
        <f>IF(K132=-200, "д.вх.", K132)</f>
        <v/>
      </c>
      <c r="U132" s="5">
        <f>IF(L132=-200, "д.вх.", IF(N132, O132, L132))</f>
        <v/>
      </c>
      <c r="V132" s="5">
        <f>CurrAttrValue(G132, 0)</f>
        <v/>
      </c>
      <c r="W132" s="5">
        <f>IF(M132, "Блокирована", IF(N132, "Проверено", "-"))</f>
        <v/>
      </c>
    </row>
    <row r="133" ht="20" customHeight="1">
      <c r="A133">
        <f>"System.PZ.A102"</f>
        <v/>
      </c>
      <c r="B133">
        <f>CONCATENATE($A$2, $A$1, $A133, B$2)</f>
        <v/>
      </c>
      <c r="C133">
        <f>CONCATENATE($A$2, $A$1, $A133, C$2)</f>
        <v/>
      </c>
      <c r="D133">
        <f>CONCATENATE($A$2, $A$1, $A133, D$2)</f>
        <v/>
      </c>
      <c r="E133">
        <f>CONCATENATE($A$2, $A$1, $A133, E$2)</f>
        <v/>
      </c>
      <c r="F133">
        <f>CONCATENATE($A$2, $A$1, $A133, F$2)</f>
        <v/>
      </c>
      <c r="G133">
        <f>CONCATENATE($A$2, $A$1, $A133, G$2)</f>
        <v/>
      </c>
      <c r="H133">
        <f>CONCATENATE($A$2, $A$1, $A133, H$2)</f>
        <v/>
      </c>
      <c r="I133">
        <f>CONCATENATE($A$2, $A$1, $A133, I$2)</f>
        <v/>
      </c>
      <c r="J133">
        <f>CONCATENATE($A$2, $A$1, $A133, J$2)</f>
        <v/>
      </c>
      <c r="K133">
        <f>CurrAttrValue(D133, 0)</f>
        <v/>
      </c>
      <c r="L133">
        <f>CurrAttrValue(E133, 0)</f>
        <v/>
      </c>
      <c r="M133">
        <f>CurrAttrValue(H133, 0)</f>
        <v/>
      </c>
      <c r="N133">
        <f>CurrAttrValue(I133, 0)</f>
        <v/>
      </c>
      <c r="O133">
        <f>CurrAttrValue(J133, 0)</f>
        <v/>
      </c>
      <c r="P133" s="5">
        <f>"103"</f>
        <v/>
      </c>
      <c r="Q133" s="6">
        <f>"АОбс. Отказ элек. части канала управления ЗПВ2 на запуске и режиме  "</f>
        <v/>
      </c>
      <c r="R133" s="7">
        <f>IF(N133, S133, "")</f>
        <v/>
      </c>
      <c r="S133" s="7">
        <f>CurrAttrValue(C133, 0)</f>
        <v/>
      </c>
      <c r="T133" s="5">
        <f>IF(K133=-200, "д.вх.", K133)</f>
        <v/>
      </c>
      <c r="U133" s="5">
        <f>IF(L133=-200, "д.вх.", IF(N133, O133, L133))</f>
        <v/>
      </c>
      <c r="V133" s="5">
        <f>CurrAttrValue(G133, 0)</f>
        <v/>
      </c>
      <c r="W133" s="5">
        <f>IF(M133, "Блокирована", IF(N133, "Проверено", "-"))</f>
        <v/>
      </c>
    </row>
    <row r="134" ht="20" customHeight="1">
      <c r="A134">
        <f>"System.PZ.A103"</f>
        <v/>
      </c>
      <c r="B134">
        <f>CONCATENATE($A$2, $A$1, $A134, B$2)</f>
        <v/>
      </c>
      <c r="C134">
        <f>CONCATENATE($A$2, $A$1, $A134, C$2)</f>
        <v/>
      </c>
      <c r="D134">
        <f>CONCATENATE($A$2, $A$1, $A134, D$2)</f>
        <v/>
      </c>
      <c r="E134">
        <f>CONCATENATE($A$2, $A$1, $A134, E$2)</f>
        <v/>
      </c>
      <c r="F134">
        <f>CONCATENATE($A$2, $A$1, $A134, F$2)</f>
        <v/>
      </c>
      <c r="G134">
        <f>CONCATENATE($A$2, $A$1, $A134, G$2)</f>
        <v/>
      </c>
      <c r="H134">
        <f>CONCATENATE($A$2, $A$1, $A134, H$2)</f>
        <v/>
      </c>
      <c r="I134">
        <f>CONCATENATE($A$2, $A$1, $A134, I$2)</f>
        <v/>
      </c>
      <c r="J134">
        <f>CONCATENATE($A$2, $A$1, $A134, J$2)</f>
        <v/>
      </c>
      <c r="K134">
        <f>CurrAttrValue(D134, 0)</f>
        <v/>
      </c>
      <c r="L134">
        <f>CurrAttrValue(E134, 0)</f>
        <v/>
      </c>
      <c r="M134">
        <f>CurrAttrValue(H134, 0)</f>
        <v/>
      </c>
      <c r="N134">
        <f>CurrAttrValue(I134, 0)</f>
        <v/>
      </c>
      <c r="O134">
        <f>CurrAttrValue(J134, 0)</f>
        <v/>
      </c>
      <c r="P134" s="5">
        <f>"104"</f>
        <v/>
      </c>
      <c r="Q134" s="6">
        <f>"АОбс. Неисправность ВНА (ВНА_зад - ВНА) &gt; 20 °  "</f>
        <v/>
      </c>
      <c r="R134" s="7">
        <f>IF(N134, S134, "")</f>
        <v/>
      </c>
      <c r="S134" s="7">
        <f>CurrAttrValue(C134, 0)</f>
        <v/>
      </c>
      <c r="T134" s="5">
        <f>IF(K134=-200, "д.вх.", K134)</f>
        <v/>
      </c>
      <c r="U134" s="5">
        <f>IF(L134=-200, "д.вх.", IF(N134, O134, L134))</f>
        <v/>
      </c>
      <c r="V134" s="5">
        <f>CurrAttrValue(G134, 0)</f>
        <v/>
      </c>
      <c r="W134" s="5">
        <f>IF(M134, "Блокирована", IF(N134, "Проверено", "-"))</f>
        <v/>
      </c>
    </row>
    <row r="137" ht="35" customHeight="1">
      <c r="Q137" s="8">
        <f>"должность"</f>
        <v/>
      </c>
      <c r="R137" s="9" t="n"/>
      <c r="S137" s="8">
        <f>"ФИО"</f>
        <v/>
      </c>
      <c r="T137" s="9" t="n"/>
      <c r="U137" s="8">
        <f>"подпись"</f>
        <v/>
      </c>
    </row>
    <row r="138" ht="35" customHeight="1">
      <c r="Q138" s="8">
        <f>"должность"</f>
        <v/>
      </c>
      <c r="R138" s="9" t="n"/>
      <c r="S138" s="8">
        <f>"ФИО"</f>
        <v/>
      </c>
      <c r="T138" s="9" t="n"/>
      <c r="U138" s="8">
        <f>"подпись"</f>
        <v/>
      </c>
    </row>
    <row r="139" ht="35" customHeight="1">
      <c r="Q139" s="8">
        <f>"должность"</f>
        <v/>
      </c>
      <c r="R139" s="9" t="n"/>
      <c r="S139" s="8">
        <f>"ФИО"</f>
        <v/>
      </c>
      <c r="T139" s="9" t="n"/>
      <c r="U139" s="8">
        <f>"подпись"</f>
        <v/>
      </c>
    </row>
    <row r="141" ht="25" customHeight="1">
      <c r="Q141" s="1">
        <f>"Протокол проверки защит ГПА3 на "</f>
        <v/>
      </c>
      <c r="R141" s="2">
        <f>R1</f>
        <v/>
      </c>
      <c r="S141" s="3">
        <f>S1</f>
        <v/>
      </c>
    </row>
    <row r="143" ht="20" customHeight="1">
      <c r="P143" s="4">
        <f>"№"</f>
        <v/>
      </c>
      <c r="Q143" s="4">
        <f>"Наименование защиты  "</f>
        <v/>
      </c>
      <c r="R143" s="4">
        <f>"Таймер"</f>
        <v/>
      </c>
      <c r="S143" s="4">
        <f>"Задержка"</f>
        <v/>
      </c>
      <c r="T143" s="4">
        <f>"Уставка"</f>
        <v/>
      </c>
      <c r="U143" s="4">
        <f>"Значение"</f>
        <v/>
      </c>
      <c r="V143" s="4">
        <f>"Eд.изм"</f>
        <v/>
      </c>
      <c r="W143" s="4">
        <f>"Отметка о проверке"</f>
        <v/>
      </c>
    </row>
    <row r="144" ht="20" customHeight="1">
      <c r="A144">
        <f>"System.PZ.A104"</f>
        <v/>
      </c>
      <c r="B144">
        <f>CONCATENATE($A$2, $A$1, $A144, B$2)</f>
        <v/>
      </c>
      <c r="C144">
        <f>CONCATENATE($A$2, $A$1, $A144, C$2)</f>
        <v/>
      </c>
      <c r="D144">
        <f>CONCATENATE($A$2, $A$1, $A144, D$2)</f>
        <v/>
      </c>
      <c r="E144">
        <f>CONCATENATE($A$2, $A$1, $A144, E$2)</f>
        <v/>
      </c>
      <c r="F144">
        <f>CONCATENATE($A$2, $A$1, $A144, F$2)</f>
        <v/>
      </c>
      <c r="G144">
        <f>CONCATENATE($A$2, $A$1, $A144, G$2)</f>
        <v/>
      </c>
      <c r="H144">
        <f>CONCATENATE($A$2, $A$1, $A144, H$2)</f>
        <v/>
      </c>
      <c r="I144">
        <f>CONCATENATE($A$2, $A$1, $A144, I$2)</f>
        <v/>
      </c>
      <c r="J144">
        <f>CONCATENATE($A$2, $A$1, $A144, J$2)</f>
        <v/>
      </c>
      <c r="K144">
        <f>CurrAttrValue(D144, 0)</f>
        <v/>
      </c>
      <c r="L144">
        <f>CurrAttrValue(E144, 0)</f>
        <v/>
      </c>
      <c r="M144">
        <f>CurrAttrValue(H144, 0)</f>
        <v/>
      </c>
      <c r="N144">
        <f>CurrAttrValue(I144, 0)</f>
        <v/>
      </c>
      <c r="O144">
        <f>CurrAttrValue(J144, 0)</f>
        <v/>
      </c>
      <c r="P144" s="5">
        <f>"105"</f>
        <v/>
      </c>
      <c r="Q144" s="6">
        <f>"АОбс. Неисправность ВНА (ВНА_зад - ВНА) &lt; -7 °  "</f>
        <v/>
      </c>
      <c r="R144" s="7">
        <f>IF(N144, S144, "")</f>
        <v/>
      </c>
      <c r="S144" s="7">
        <f>CurrAttrValue(C144, 0)</f>
        <v/>
      </c>
      <c r="T144" s="5">
        <f>IF(K144=-200, "д.вх.", K144)</f>
        <v/>
      </c>
      <c r="U144" s="5">
        <f>IF(L144=-200, "д.вх.", IF(N144, O144, L144))</f>
        <v/>
      </c>
      <c r="V144" s="5">
        <f>CurrAttrValue(G144, 0)</f>
        <v/>
      </c>
      <c r="W144" s="5">
        <f>IF(M144, "Блокирована", IF(N144, "Проверено", "-"))</f>
        <v/>
      </c>
    </row>
    <row r="145" ht="20" customHeight="1">
      <c r="A145">
        <f>"System.PZ.A105"</f>
        <v/>
      </c>
      <c r="B145">
        <f>CONCATENATE($A$2, $A$1, $A145, B$2)</f>
        <v/>
      </c>
      <c r="C145">
        <f>CONCATENATE($A$2, $A$1, $A145, C$2)</f>
        <v/>
      </c>
      <c r="D145">
        <f>CONCATENATE($A$2, $A$1, $A145, D$2)</f>
        <v/>
      </c>
      <c r="E145">
        <f>CONCATENATE($A$2, $A$1, $A145, E$2)</f>
        <v/>
      </c>
      <c r="F145">
        <f>CONCATENATE($A$2, $A$1, $A145, F$2)</f>
        <v/>
      </c>
      <c r="G145">
        <f>CONCATENATE($A$2, $A$1, $A145, G$2)</f>
        <v/>
      </c>
      <c r="H145">
        <f>CONCATENATE($A$2, $A$1, $A145, H$2)</f>
        <v/>
      </c>
      <c r="I145">
        <f>CONCATENATE($A$2, $A$1, $A145, I$2)</f>
        <v/>
      </c>
      <c r="J145">
        <f>CONCATENATE($A$2, $A$1, $A145, J$2)</f>
        <v/>
      </c>
      <c r="K145">
        <f>CurrAttrValue(D145, 0)</f>
        <v/>
      </c>
      <c r="L145">
        <f>CurrAttrValue(E145, 0)</f>
        <v/>
      </c>
      <c r="M145">
        <f>CurrAttrValue(H145, 0)</f>
        <v/>
      </c>
      <c r="N145">
        <f>CurrAttrValue(I145, 0)</f>
        <v/>
      </c>
      <c r="O145">
        <f>CurrAttrValue(J145, 0)</f>
        <v/>
      </c>
      <c r="P145" s="5">
        <f>"106"</f>
        <v/>
      </c>
      <c r="Q145" s="6">
        <f>"АОбс. Цепь управления ВНА неисправна  "</f>
        <v/>
      </c>
      <c r="R145" s="7">
        <f>IF(N145, S145, "")</f>
        <v/>
      </c>
      <c r="S145" s="7">
        <f>CurrAttrValue(C145, 0)</f>
        <v/>
      </c>
      <c r="T145" s="5">
        <f>IF(K145=-200, "д.вх.", K145)</f>
        <v/>
      </c>
      <c r="U145" s="5">
        <f>IF(L145=-200, "д.вх.", IF(N145, O145, L145))</f>
        <v/>
      </c>
      <c r="V145" s="5">
        <f>CurrAttrValue(G145, 0)</f>
        <v/>
      </c>
      <c r="W145" s="5">
        <f>IF(M145, "Блокирована", IF(N145, "Проверено", "-"))</f>
        <v/>
      </c>
    </row>
    <row r="146" ht="20" customHeight="1">
      <c r="A146">
        <f>"System.PZ.A106"</f>
        <v/>
      </c>
      <c r="B146">
        <f>CONCATENATE($A$2, $A$1, $A146, B$2)</f>
        <v/>
      </c>
      <c r="C146">
        <f>CONCATENATE($A$2, $A$1, $A146, C$2)</f>
        <v/>
      </c>
      <c r="D146">
        <f>CONCATENATE($A$2, $A$1, $A146, D$2)</f>
        <v/>
      </c>
      <c r="E146">
        <f>CONCATENATE($A$2, $A$1, $A146, E$2)</f>
        <v/>
      </c>
      <c r="F146">
        <f>CONCATENATE($A$2, $A$1, $A146, F$2)</f>
        <v/>
      </c>
      <c r="G146">
        <f>CONCATENATE($A$2, $A$1, $A146, G$2)</f>
        <v/>
      </c>
      <c r="H146">
        <f>CONCATENATE($A$2, $A$1, $A146, H$2)</f>
        <v/>
      </c>
      <c r="I146">
        <f>CONCATENATE($A$2, $A$1, $A146, I$2)</f>
        <v/>
      </c>
      <c r="J146">
        <f>CONCATENATE($A$2, $A$1, $A146, J$2)</f>
        <v/>
      </c>
      <c r="K146">
        <f>CurrAttrValue(D146, 0)</f>
        <v/>
      </c>
      <c r="L146">
        <f>CurrAttrValue(E146, 0)</f>
        <v/>
      </c>
      <c r="M146">
        <f>CurrAttrValue(H146, 0)</f>
        <v/>
      </c>
      <c r="N146">
        <f>CurrAttrValue(I146, 0)</f>
        <v/>
      </c>
      <c r="O146">
        <f>CurrAttrValue(J146, 0)</f>
        <v/>
      </c>
      <c r="P146" s="5">
        <f>"107"</f>
        <v/>
      </c>
      <c r="Q146" s="6">
        <f>"АОбс. Отказ КИ положения ВНА обнаруженный допусковым контролем  "</f>
        <v/>
      </c>
      <c r="R146" s="7">
        <f>IF(N146, S146, "")</f>
        <v/>
      </c>
      <c r="S146" s="7">
        <f>CurrAttrValue(C146, 0)</f>
        <v/>
      </c>
      <c r="T146" s="5">
        <f>IF(K146=-200, "д.вх.", K146)</f>
        <v/>
      </c>
      <c r="U146" s="5">
        <f>IF(L146=-200, "д.вх.", IF(N146, O146, L146))</f>
        <v/>
      </c>
      <c r="V146" s="5">
        <f>CurrAttrValue(G146, 0)</f>
        <v/>
      </c>
      <c r="W146" s="5">
        <f>IF(M146, "Блокирована", IF(N146, "Проверено", "-"))</f>
        <v/>
      </c>
    </row>
    <row r="147" ht="20" customHeight="1">
      <c r="A147">
        <f>"System.PZ.A107"</f>
        <v/>
      </c>
      <c r="B147">
        <f>CONCATENATE($A$2, $A$1, $A147, B$2)</f>
        <v/>
      </c>
      <c r="C147">
        <f>CONCATENATE($A$2, $A$1, $A147, C$2)</f>
        <v/>
      </c>
      <c r="D147">
        <f>CONCATENATE($A$2, $A$1, $A147, D$2)</f>
        <v/>
      </c>
      <c r="E147">
        <f>CONCATENATE($A$2, $A$1, $A147, E$2)</f>
        <v/>
      </c>
      <c r="F147">
        <f>CONCATENATE($A$2, $A$1, $A147, F$2)</f>
        <v/>
      </c>
      <c r="G147">
        <f>CONCATENATE($A$2, $A$1, $A147, G$2)</f>
        <v/>
      </c>
      <c r="H147">
        <f>CONCATENATE($A$2, $A$1, $A147, H$2)</f>
        <v/>
      </c>
      <c r="I147">
        <f>CONCATENATE($A$2, $A$1, $A147, I$2)</f>
        <v/>
      </c>
      <c r="J147">
        <f>CONCATENATE($A$2, $A$1, $A147, J$2)</f>
        <v/>
      </c>
      <c r="K147">
        <f>CurrAttrValue(D147, 0)</f>
        <v/>
      </c>
      <c r="L147">
        <f>CurrAttrValue(E147, 0)</f>
        <v/>
      </c>
      <c r="M147">
        <f>CurrAttrValue(H147, 0)</f>
        <v/>
      </c>
      <c r="N147">
        <f>CurrAttrValue(I147, 0)</f>
        <v/>
      </c>
      <c r="O147">
        <f>CurrAttrValue(J147, 0)</f>
        <v/>
      </c>
      <c r="P147" s="5">
        <f>"108"</f>
        <v/>
      </c>
      <c r="Q147" s="6">
        <f>"АОбс. Высокие обороты стартёра  "</f>
        <v/>
      </c>
      <c r="R147" s="7">
        <f>IF(N147, S147, "")</f>
        <v/>
      </c>
      <c r="S147" s="7">
        <f>CurrAttrValue(C147, 0)</f>
        <v/>
      </c>
      <c r="T147" s="5">
        <f>IF(K147=-200, "д.вх.", K147)</f>
        <v/>
      </c>
      <c r="U147" s="5">
        <f>IF(L147=-200, "д.вх.", IF(N147, O147, L147))</f>
        <v/>
      </c>
      <c r="V147" s="5">
        <f>CurrAttrValue(G147, 0)</f>
        <v/>
      </c>
      <c r="W147" s="5">
        <f>IF(M147, "Блокирована", IF(N147, "Проверено", "-"))</f>
        <v/>
      </c>
    </row>
    <row r="148" ht="20" customHeight="1">
      <c r="A148">
        <f>"System.PZ.A108"</f>
        <v/>
      </c>
      <c r="B148">
        <f>CONCATENATE($A$2, $A$1, $A148, B$2)</f>
        <v/>
      </c>
      <c r="C148">
        <f>CONCATENATE($A$2, $A$1, $A148, C$2)</f>
        <v/>
      </c>
      <c r="D148">
        <f>CONCATENATE($A$2, $A$1, $A148, D$2)</f>
        <v/>
      </c>
      <c r="E148">
        <f>CONCATENATE($A$2, $A$1, $A148, E$2)</f>
        <v/>
      </c>
      <c r="F148">
        <f>CONCATENATE($A$2, $A$1, $A148, F$2)</f>
        <v/>
      </c>
      <c r="G148">
        <f>CONCATENATE($A$2, $A$1, $A148, G$2)</f>
        <v/>
      </c>
      <c r="H148">
        <f>CONCATENATE($A$2, $A$1, $A148, H$2)</f>
        <v/>
      </c>
      <c r="I148">
        <f>CONCATENATE($A$2, $A$1, $A148, I$2)</f>
        <v/>
      </c>
      <c r="J148">
        <f>CONCATENATE($A$2, $A$1, $A148, J$2)</f>
        <v/>
      </c>
      <c r="K148">
        <f>CurrAttrValue(D148, 0)</f>
        <v/>
      </c>
      <c r="L148">
        <f>CurrAttrValue(E148, 0)</f>
        <v/>
      </c>
      <c r="M148">
        <f>CurrAttrValue(H148, 0)</f>
        <v/>
      </c>
      <c r="N148">
        <f>CurrAttrValue(I148, 0)</f>
        <v/>
      </c>
      <c r="O148">
        <f>CurrAttrValue(J148, 0)</f>
        <v/>
      </c>
      <c r="P148" s="5">
        <f>"109"</f>
        <v/>
      </c>
      <c r="Q148" s="6">
        <f>"АОбс. Стружка в масле СтВ  "</f>
        <v/>
      </c>
      <c r="R148" s="7">
        <f>IF(N148, S148, "")</f>
        <v/>
      </c>
      <c r="S148" s="7">
        <f>CurrAttrValue(C148, 0)</f>
        <v/>
      </c>
      <c r="T148" s="5">
        <f>IF(K148=-200, "д.вх.", K148)</f>
        <v/>
      </c>
      <c r="U148" s="5">
        <f>IF(L148=-200, "д.вх.", IF(N148, O148, L148))</f>
        <v/>
      </c>
      <c r="V148" s="5">
        <f>CurrAttrValue(G148, 0)</f>
        <v/>
      </c>
      <c r="W148" s="5">
        <f>IF(M148, "Блокирована", IF(N148, "Проверено", "-"))</f>
        <v/>
      </c>
    </row>
    <row r="149" ht="20" customHeight="1">
      <c r="A149">
        <f>"System.PZ.A109"</f>
        <v/>
      </c>
      <c r="B149">
        <f>CONCATENATE($A$2, $A$1, $A149, B$2)</f>
        <v/>
      </c>
      <c r="C149">
        <f>CONCATENATE($A$2, $A$1, $A149, C$2)</f>
        <v/>
      </c>
      <c r="D149">
        <f>CONCATENATE($A$2, $A$1, $A149, D$2)</f>
        <v/>
      </c>
      <c r="E149">
        <f>CONCATENATE($A$2, $A$1, $A149, E$2)</f>
        <v/>
      </c>
      <c r="F149">
        <f>CONCATENATE($A$2, $A$1, $A149, F$2)</f>
        <v/>
      </c>
      <c r="G149">
        <f>CONCATENATE($A$2, $A$1, $A149, G$2)</f>
        <v/>
      </c>
      <c r="H149">
        <f>CONCATENATE($A$2, $A$1, $A149, H$2)</f>
        <v/>
      </c>
      <c r="I149">
        <f>CONCATENATE($A$2, $A$1, $A149, I$2)</f>
        <v/>
      </c>
      <c r="J149">
        <f>CONCATENATE($A$2, $A$1, $A149, J$2)</f>
        <v/>
      </c>
      <c r="K149">
        <f>CurrAttrValue(D149, 0)</f>
        <v/>
      </c>
      <c r="L149">
        <f>CurrAttrValue(E149, 0)</f>
        <v/>
      </c>
      <c r="M149">
        <f>CurrAttrValue(H149, 0)</f>
        <v/>
      </c>
      <c r="N149">
        <f>CurrAttrValue(I149, 0)</f>
        <v/>
      </c>
      <c r="O149">
        <f>CurrAttrValue(J149, 0)</f>
        <v/>
      </c>
      <c r="P149" s="5">
        <f>"110"</f>
        <v/>
      </c>
      <c r="Q149" s="6">
        <f>"АОбс. Отказ электрической части канала управления СК0  "</f>
        <v/>
      </c>
      <c r="R149" s="7">
        <f>IF(N149, S149, "")</f>
        <v/>
      </c>
      <c r="S149" s="7">
        <f>CurrAttrValue(C149, 0)</f>
        <v/>
      </c>
      <c r="T149" s="5">
        <f>IF(K149=-200, "д.вх.", K149)</f>
        <v/>
      </c>
      <c r="U149" s="5">
        <f>IF(L149=-200, "д.вх.", IF(N149, O149, L149))</f>
        <v/>
      </c>
      <c r="V149" s="5">
        <f>CurrAttrValue(G149, 0)</f>
        <v/>
      </c>
      <c r="W149" s="5">
        <f>IF(M149, "Блокирована", IF(N149, "Проверено", "-"))</f>
        <v/>
      </c>
    </row>
    <row r="150" ht="20" customHeight="1">
      <c r="A150">
        <f>"System.PZ.A110"</f>
        <v/>
      </c>
      <c r="B150">
        <f>CONCATENATE($A$2, $A$1, $A150, B$2)</f>
        <v/>
      </c>
      <c r="C150">
        <f>CONCATENATE($A$2, $A$1, $A150, C$2)</f>
        <v/>
      </c>
      <c r="D150">
        <f>CONCATENATE($A$2, $A$1, $A150, D$2)</f>
        <v/>
      </c>
      <c r="E150">
        <f>CONCATENATE($A$2, $A$1, $A150, E$2)</f>
        <v/>
      </c>
      <c r="F150">
        <f>CONCATENATE($A$2, $A$1, $A150, F$2)</f>
        <v/>
      </c>
      <c r="G150">
        <f>CONCATENATE($A$2, $A$1, $A150, G$2)</f>
        <v/>
      </c>
      <c r="H150">
        <f>CONCATENATE($A$2, $A$1, $A150, H$2)</f>
        <v/>
      </c>
      <c r="I150">
        <f>CONCATENATE($A$2, $A$1, $A150, I$2)</f>
        <v/>
      </c>
      <c r="J150">
        <f>CONCATENATE($A$2, $A$1, $A150, J$2)</f>
        <v/>
      </c>
      <c r="K150">
        <f>CurrAttrValue(D150, 0)</f>
        <v/>
      </c>
      <c r="L150">
        <f>CurrAttrValue(E150, 0)</f>
        <v/>
      </c>
      <c r="M150">
        <f>CurrAttrValue(H150, 0)</f>
        <v/>
      </c>
      <c r="N150">
        <f>CurrAttrValue(I150, 0)</f>
        <v/>
      </c>
      <c r="O150">
        <f>CurrAttrValue(J150, 0)</f>
        <v/>
      </c>
      <c r="P150" s="5">
        <f>"111"</f>
        <v/>
      </c>
      <c r="Q150" s="6">
        <f>"АОбс. Отказ электрической части канала управления СК ГК  "</f>
        <v/>
      </c>
      <c r="R150" s="7">
        <f>IF(N150, S150, "")</f>
        <v/>
      </c>
      <c r="S150" s="7">
        <f>CurrAttrValue(C150, 0)</f>
        <v/>
      </c>
      <c r="T150" s="5">
        <f>IF(K150=-200, "д.вх.", K150)</f>
        <v/>
      </c>
      <c r="U150" s="5">
        <f>IF(L150=-200, "д.вх.", IF(N150, O150, L150))</f>
        <v/>
      </c>
      <c r="V150" s="5">
        <f>CurrAttrValue(G150, 0)</f>
        <v/>
      </c>
      <c r="W150" s="5">
        <f>IF(M150, "Блокирована", IF(N150, "Проверено", "-"))</f>
        <v/>
      </c>
    </row>
    <row r="151" ht="20" customHeight="1">
      <c r="A151">
        <f>"System.PZ.A111"</f>
        <v/>
      </c>
      <c r="B151">
        <f>CONCATENATE($A$2, $A$1, $A151, B$2)</f>
        <v/>
      </c>
      <c r="C151">
        <f>CONCATENATE($A$2, $A$1, $A151, C$2)</f>
        <v/>
      </c>
      <c r="D151">
        <f>CONCATENATE($A$2, $A$1, $A151, D$2)</f>
        <v/>
      </c>
      <c r="E151">
        <f>CONCATENATE($A$2, $A$1, $A151, E$2)</f>
        <v/>
      </c>
      <c r="F151">
        <f>CONCATENATE($A$2, $A$1, $A151, F$2)</f>
        <v/>
      </c>
      <c r="G151">
        <f>CONCATENATE($A$2, $A$1, $A151, G$2)</f>
        <v/>
      </c>
      <c r="H151">
        <f>CONCATENATE($A$2, $A$1, $A151, H$2)</f>
        <v/>
      </c>
      <c r="I151">
        <f>CONCATENATE($A$2, $A$1, $A151, I$2)</f>
        <v/>
      </c>
      <c r="J151">
        <f>CONCATENATE($A$2, $A$1, $A151, J$2)</f>
        <v/>
      </c>
      <c r="K151">
        <f>CurrAttrValue(D151, 0)</f>
        <v/>
      </c>
      <c r="L151">
        <f>CurrAttrValue(E151, 0)</f>
        <v/>
      </c>
      <c r="M151">
        <f>CurrAttrValue(H151, 0)</f>
        <v/>
      </c>
      <c r="N151">
        <f>CurrAttrValue(I151, 0)</f>
        <v/>
      </c>
      <c r="O151">
        <f>CurrAttrValue(J151, 0)</f>
        <v/>
      </c>
      <c r="P151" s="5">
        <f>"112"</f>
        <v/>
      </c>
      <c r="Q151" s="6">
        <f>"АОбс. Отказ электрической части канала управления СК ДК1  "</f>
        <v/>
      </c>
      <c r="R151" s="7">
        <f>IF(N151, S151, "")</f>
        <v/>
      </c>
      <c r="S151" s="7">
        <f>CurrAttrValue(C151, 0)</f>
        <v/>
      </c>
      <c r="T151" s="5">
        <f>IF(K151=-200, "д.вх.", K151)</f>
        <v/>
      </c>
      <c r="U151" s="5">
        <f>IF(L151=-200, "д.вх.", IF(N151, O151, L151))</f>
        <v/>
      </c>
      <c r="V151" s="5">
        <f>CurrAttrValue(G151, 0)</f>
        <v/>
      </c>
      <c r="W151" s="5">
        <f>IF(M151, "Блокирована", IF(N151, "Проверено", "-"))</f>
        <v/>
      </c>
    </row>
    <row r="152" ht="20" customHeight="1">
      <c r="A152">
        <f>"System.PZ.A112"</f>
        <v/>
      </c>
      <c r="B152">
        <f>CONCATENATE($A$2, $A$1, $A152, B$2)</f>
        <v/>
      </c>
      <c r="C152">
        <f>CONCATENATE($A$2, $A$1, $A152, C$2)</f>
        <v/>
      </c>
      <c r="D152">
        <f>CONCATENATE($A$2, $A$1, $A152, D$2)</f>
        <v/>
      </c>
      <c r="E152">
        <f>CONCATENATE($A$2, $A$1, $A152, E$2)</f>
        <v/>
      </c>
      <c r="F152">
        <f>CONCATENATE($A$2, $A$1, $A152, F$2)</f>
        <v/>
      </c>
      <c r="G152">
        <f>CONCATENATE($A$2, $A$1, $A152, G$2)</f>
        <v/>
      </c>
      <c r="H152">
        <f>CONCATENATE($A$2, $A$1, $A152, H$2)</f>
        <v/>
      </c>
      <c r="I152">
        <f>CONCATENATE($A$2, $A$1, $A152, I$2)</f>
        <v/>
      </c>
      <c r="J152">
        <f>CONCATENATE($A$2, $A$1, $A152, J$2)</f>
        <v/>
      </c>
      <c r="K152">
        <f>CurrAttrValue(D152, 0)</f>
        <v/>
      </c>
      <c r="L152">
        <f>CurrAttrValue(E152, 0)</f>
        <v/>
      </c>
      <c r="M152">
        <f>CurrAttrValue(H152, 0)</f>
        <v/>
      </c>
      <c r="N152">
        <f>CurrAttrValue(I152, 0)</f>
        <v/>
      </c>
      <c r="O152">
        <f>CurrAttrValue(J152, 0)</f>
        <v/>
      </c>
      <c r="P152" s="5">
        <f>"113"</f>
        <v/>
      </c>
      <c r="Q152" s="6">
        <f>"АОбс. Отказ электрической части канала управления СК ДК2  "</f>
        <v/>
      </c>
      <c r="R152" s="7">
        <f>IF(N152, S152, "")</f>
        <v/>
      </c>
      <c r="S152" s="7">
        <f>CurrAttrValue(C152, 0)</f>
        <v/>
      </c>
      <c r="T152" s="5">
        <f>IF(K152=-200, "д.вх.", K152)</f>
        <v/>
      </c>
      <c r="U152" s="5">
        <f>IF(L152=-200, "д.вх.", IF(N152, O152, L152))</f>
        <v/>
      </c>
      <c r="V152" s="5">
        <f>CurrAttrValue(G152, 0)</f>
        <v/>
      </c>
      <c r="W152" s="5">
        <f>IF(M152, "Блокирована", IF(N152, "Проверено", "-"))</f>
        <v/>
      </c>
    </row>
    <row r="153" ht="20" customHeight="1">
      <c r="A153">
        <f>"System.PZ.A113"</f>
        <v/>
      </c>
      <c r="B153">
        <f>CONCATENATE($A$2, $A$1, $A153, B$2)</f>
        <v/>
      </c>
      <c r="C153">
        <f>CONCATENATE($A$2, $A$1, $A153, C$2)</f>
        <v/>
      </c>
      <c r="D153">
        <f>CONCATENATE($A$2, $A$1, $A153, D$2)</f>
        <v/>
      </c>
      <c r="E153">
        <f>CONCATENATE($A$2, $A$1, $A153, E$2)</f>
        <v/>
      </c>
      <c r="F153">
        <f>CONCATENATE($A$2, $A$1, $A153, F$2)</f>
        <v/>
      </c>
      <c r="G153">
        <f>CONCATENATE($A$2, $A$1, $A153, G$2)</f>
        <v/>
      </c>
      <c r="H153">
        <f>CONCATENATE($A$2, $A$1, $A153, H$2)</f>
        <v/>
      </c>
      <c r="I153">
        <f>CONCATENATE($A$2, $A$1, $A153, I$2)</f>
        <v/>
      </c>
      <c r="J153">
        <f>CONCATENATE($A$2, $A$1, $A153, J$2)</f>
        <v/>
      </c>
      <c r="K153">
        <f>CurrAttrValue(D153, 0)</f>
        <v/>
      </c>
      <c r="L153">
        <f>CurrAttrValue(E153, 0)</f>
        <v/>
      </c>
      <c r="M153">
        <f>CurrAttrValue(H153, 0)</f>
        <v/>
      </c>
      <c r="N153">
        <f>CurrAttrValue(I153, 0)</f>
        <v/>
      </c>
      <c r="O153">
        <f>CurrAttrValue(J153, 0)</f>
        <v/>
      </c>
      <c r="P153" s="5">
        <f>"114"</f>
        <v/>
      </c>
      <c r="Q153" s="6">
        <f>"АОбс. Отказ электрической части канала управления СК ЦК  "</f>
        <v/>
      </c>
      <c r="R153" s="7">
        <f>IF(N153, S153, "")</f>
        <v/>
      </c>
      <c r="S153" s="7">
        <f>CurrAttrValue(C153, 0)</f>
        <v/>
      </c>
      <c r="T153" s="5">
        <f>IF(K153=-200, "д.вх.", K153)</f>
        <v/>
      </c>
      <c r="U153" s="5">
        <f>IF(L153=-200, "д.вх.", IF(N153, O153, L153))</f>
        <v/>
      </c>
      <c r="V153" s="5">
        <f>CurrAttrValue(G153, 0)</f>
        <v/>
      </c>
      <c r="W153" s="5">
        <f>IF(M153, "Блокирована", IF(N153, "Проверено", "-"))</f>
        <v/>
      </c>
    </row>
    <row r="154" ht="20" customHeight="1">
      <c r="A154">
        <f>"System.PZ.A114"</f>
        <v/>
      </c>
      <c r="B154">
        <f>CONCATENATE($A$2, $A$1, $A154, B$2)</f>
        <v/>
      </c>
      <c r="C154">
        <f>CONCATENATE($A$2, $A$1, $A154, C$2)</f>
        <v/>
      </c>
      <c r="D154">
        <f>CONCATENATE($A$2, $A$1, $A154, D$2)</f>
        <v/>
      </c>
      <c r="E154">
        <f>CONCATENATE($A$2, $A$1, $A154, E$2)</f>
        <v/>
      </c>
      <c r="F154">
        <f>CONCATENATE($A$2, $A$1, $A154, F$2)</f>
        <v/>
      </c>
      <c r="G154">
        <f>CONCATENATE($A$2, $A$1, $A154, G$2)</f>
        <v/>
      </c>
      <c r="H154">
        <f>CONCATENATE($A$2, $A$1, $A154, H$2)</f>
        <v/>
      </c>
      <c r="I154">
        <f>CONCATENATE($A$2, $A$1, $A154, I$2)</f>
        <v/>
      </c>
      <c r="J154">
        <f>CONCATENATE($A$2, $A$1, $A154, J$2)</f>
        <v/>
      </c>
      <c r="K154">
        <f>CurrAttrValue(D154, 0)</f>
        <v/>
      </c>
      <c r="L154">
        <f>CurrAttrValue(E154, 0)</f>
        <v/>
      </c>
      <c r="M154">
        <f>CurrAttrValue(H154, 0)</f>
        <v/>
      </c>
      <c r="N154">
        <f>CurrAttrValue(I154, 0)</f>
        <v/>
      </c>
      <c r="O154">
        <f>CurrAttrValue(J154, 0)</f>
        <v/>
      </c>
      <c r="P154" s="5">
        <f>"115"</f>
        <v/>
      </c>
      <c r="Q154" s="6">
        <f>"АОбс. Отказ пневмомеханической части канала управления СК0  "</f>
        <v/>
      </c>
      <c r="R154" s="7">
        <f>IF(N154, S154, "")</f>
        <v/>
      </c>
      <c r="S154" s="7">
        <f>CurrAttrValue(C154, 0)</f>
        <v/>
      </c>
      <c r="T154" s="5">
        <f>IF(K154=-200, "д.вх.", K154)</f>
        <v/>
      </c>
      <c r="U154" s="5">
        <f>IF(L154=-200, "д.вх.", IF(N154, O154, L154))</f>
        <v/>
      </c>
      <c r="V154" s="5">
        <f>CurrAttrValue(G154, 0)</f>
        <v/>
      </c>
      <c r="W154" s="5">
        <f>IF(M154, "Блокирована", IF(N154, "Проверено", "-"))</f>
        <v/>
      </c>
    </row>
    <row r="155" ht="20" customHeight="1">
      <c r="A155">
        <f>"System.PZ.A115"</f>
        <v/>
      </c>
      <c r="B155">
        <f>CONCATENATE($A$2, $A$1, $A155, B$2)</f>
        <v/>
      </c>
      <c r="C155">
        <f>CONCATENATE($A$2, $A$1, $A155, C$2)</f>
        <v/>
      </c>
      <c r="D155">
        <f>CONCATENATE($A$2, $A$1, $A155, D$2)</f>
        <v/>
      </c>
      <c r="E155">
        <f>CONCATENATE($A$2, $A$1, $A155, E$2)</f>
        <v/>
      </c>
      <c r="F155">
        <f>CONCATENATE($A$2, $A$1, $A155, F$2)</f>
        <v/>
      </c>
      <c r="G155">
        <f>CONCATENATE($A$2, $A$1, $A155, G$2)</f>
        <v/>
      </c>
      <c r="H155">
        <f>CONCATENATE($A$2, $A$1, $A155, H$2)</f>
        <v/>
      </c>
      <c r="I155">
        <f>CONCATENATE($A$2, $A$1, $A155, I$2)</f>
        <v/>
      </c>
      <c r="J155">
        <f>CONCATENATE($A$2, $A$1, $A155, J$2)</f>
        <v/>
      </c>
      <c r="K155">
        <f>CurrAttrValue(D155, 0)</f>
        <v/>
      </c>
      <c r="L155">
        <f>CurrAttrValue(E155, 0)</f>
        <v/>
      </c>
      <c r="M155">
        <f>CurrAttrValue(H155, 0)</f>
        <v/>
      </c>
      <c r="N155">
        <f>CurrAttrValue(I155, 0)</f>
        <v/>
      </c>
      <c r="O155">
        <f>CurrAttrValue(J155, 0)</f>
        <v/>
      </c>
      <c r="P155" s="5">
        <f>"116"</f>
        <v/>
      </c>
      <c r="Q155" s="6">
        <f>"АОбс. Отказ пневмомеханической части канала управления СК ГК  "</f>
        <v/>
      </c>
      <c r="R155" s="7">
        <f>IF(N155, S155, "")</f>
        <v/>
      </c>
      <c r="S155" s="7">
        <f>CurrAttrValue(C155, 0)</f>
        <v/>
      </c>
      <c r="T155" s="5">
        <f>IF(K155=-200, "д.вх.", K155)</f>
        <v/>
      </c>
      <c r="U155" s="5">
        <f>IF(L155=-200, "д.вх.", IF(N155, O155, L155))</f>
        <v/>
      </c>
      <c r="V155" s="5">
        <f>CurrAttrValue(G155, 0)</f>
        <v/>
      </c>
      <c r="W155" s="5">
        <f>IF(M155, "Блокирована", IF(N155, "Проверено", "-"))</f>
        <v/>
      </c>
    </row>
    <row r="156" ht="20" customHeight="1">
      <c r="A156">
        <f>"System.PZ.A116"</f>
        <v/>
      </c>
      <c r="B156">
        <f>CONCATENATE($A$2, $A$1, $A156, B$2)</f>
        <v/>
      </c>
      <c r="C156">
        <f>CONCATENATE($A$2, $A$1, $A156, C$2)</f>
        <v/>
      </c>
      <c r="D156">
        <f>CONCATENATE($A$2, $A$1, $A156, D$2)</f>
        <v/>
      </c>
      <c r="E156">
        <f>CONCATENATE($A$2, $A$1, $A156, E$2)</f>
        <v/>
      </c>
      <c r="F156">
        <f>CONCATENATE($A$2, $A$1, $A156, F$2)</f>
        <v/>
      </c>
      <c r="G156">
        <f>CONCATENATE($A$2, $A$1, $A156, G$2)</f>
        <v/>
      </c>
      <c r="H156">
        <f>CONCATENATE($A$2, $A$1, $A156, H$2)</f>
        <v/>
      </c>
      <c r="I156">
        <f>CONCATENATE($A$2, $A$1, $A156, I$2)</f>
        <v/>
      </c>
      <c r="J156">
        <f>CONCATENATE($A$2, $A$1, $A156, J$2)</f>
        <v/>
      </c>
      <c r="K156">
        <f>CurrAttrValue(D156, 0)</f>
        <v/>
      </c>
      <c r="L156">
        <f>CurrAttrValue(E156, 0)</f>
        <v/>
      </c>
      <c r="M156">
        <f>CurrAttrValue(H156, 0)</f>
        <v/>
      </c>
      <c r="N156">
        <f>CurrAttrValue(I156, 0)</f>
        <v/>
      </c>
      <c r="O156">
        <f>CurrAttrValue(J156, 0)</f>
        <v/>
      </c>
      <c r="P156" s="5">
        <f>"117"</f>
        <v/>
      </c>
      <c r="Q156" s="6">
        <f>"АОбс. Отказ пневмомеханической части канала управления СК ДК1  "</f>
        <v/>
      </c>
      <c r="R156" s="7">
        <f>IF(N156, S156, "")</f>
        <v/>
      </c>
      <c r="S156" s="7">
        <f>CurrAttrValue(C156, 0)</f>
        <v/>
      </c>
      <c r="T156" s="5">
        <f>IF(K156=-200, "д.вх.", K156)</f>
        <v/>
      </c>
      <c r="U156" s="5">
        <f>IF(L156=-200, "д.вх.", IF(N156, O156, L156))</f>
        <v/>
      </c>
      <c r="V156" s="5">
        <f>CurrAttrValue(G156, 0)</f>
        <v/>
      </c>
      <c r="W156" s="5">
        <f>IF(M156, "Блокирована", IF(N156, "Проверено", "-"))</f>
        <v/>
      </c>
    </row>
    <row r="157" ht="20" customHeight="1">
      <c r="A157">
        <f>"System.PZ.A117"</f>
        <v/>
      </c>
      <c r="B157">
        <f>CONCATENATE($A$2, $A$1, $A157, B$2)</f>
        <v/>
      </c>
      <c r="C157">
        <f>CONCATENATE($A$2, $A$1, $A157, C$2)</f>
        <v/>
      </c>
      <c r="D157">
        <f>CONCATENATE($A$2, $A$1, $A157, D$2)</f>
        <v/>
      </c>
      <c r="E157">
        <f>CONCATENATE($A$2, $A$1, $A157, E$2)</f>
        <v/>
      </c>
      <c r="F157">
        <f>CONCATENATE($A$2, $A$1, $A157, F$2)</f>
        <v/>
      </c>
      <c r="G157">
        <f>CONCATENATE($A$2, $A$1, $A157, G$2)</f>
        <v/>
      </c>
      <c r="H157">
        <f>CONCATENATE($A$2, $A$1, $A157, H$2)</f>
        <v/>
      </c>
      <c r="I157">
        <f>CONCATENATE($A$2, $A$1, $A157, I$2)</f>
        <v/>
      </c>
      <c r="J157">
        <f>CONCATENATE($A$2, $A$1, $A157, J$2)</f>
        <v/>
      </c>
      <c r="K157">
        <f>CurrAttrValue(D157, 0)</f>
        <v/>
      </c>
      <c r="L157">
        <f>CurrAttrValue(E157, 0)</f>
        <v/>
      </c>
      <c r="M157">
        <f>CurrAttrValue(H157, 0)</f>
        <v/>
      </c>
      <c r="N157">
        <f>CurrAttrValue(I157, 0)</f>
        <v/>
      </c>
      <c r="O157">
        <f>CurrAttrValue(J157, 0)</f>
        <v/>
      </c>
      <c r="P157" s="5">
        <f>"118"</f>
        <v/>
      </c>
      <c r="Q157" s="6">
        <f>"АОбс. Отказ пневмомеханической части канала управления СК ДК2  "</f>
        <v/>
      </c>
      <c r="R157" s="7">
        <f>IF(N157, S157, "")</f>
        <v/>
      </c>
      <c r="S157" s="7">
        <f>CurrAttrValue(C157, 0)</f>
        <v/>
      </c>
      <c r="T157" s="5">
        <f>IF(K157=-200, "д.вх.", K157)</f>
        <v/>
      </c>
      <c r="U157" s="5">
        <f>IF(L157=-200, "д.вх.", IF(N157, O157, L157))</f>
        <v/>
      </c>
      <c r="V157" s="5">
        <f>CurrAttrValue(G157, 0)</f>
        <v/>
      </c>
      <c r="W157" s="5">
        <f>IF(M157, "Блокирована", IF(N157, "Проверено", "-"))</f>
        <v/>
      </c>
    </row>
    <row r="158" ht="20" customHeight="1">
      <c r="A158">
        <f>"System.PZ.A118"</f>
        <v/>
      </c>
      <c r="B158">
        <f>CONCATENATE($A$2, $A$1, $A158, B$2)</f>
        <v/>
      </c>
      <c r="C158">
        <f>CONCATENATE($A$2, $A$1, $A158, C$2)</f>
        <v/>
      </c>
      <c r="D158">
        <f>CONCATENATE($A$2, $A$1, $A158, D$2)</f>
        <v/>
      </c>
      <c r="E158">
        <f>CONCATENATE($A$2, $A$1, $A158, E$2)</f>
        <v/>
      </c>
      <c r="F158">
        <f>CONCATENATE($A$2, $A$1, $A158, F$2)</f>
        <v/>
      </c>
      <c r="G158">
        <f>CONCATENATE($A$2, $A$1, $A158, G$2)</f>
        <v/>
      </c>
      <c r="H158">
        <f>CONCATENATE($A$2, $A$1, $A158, H$2)</f>
        <v/>
      </c>
      <c r="I158">
        <f>CONCATENATE($A$2, $A$1, $A158, I$2)</f>
        <v/>
      </c>
      <c r="J158">
        <f>CONCATENATE($A$2, $A$1, $A158, J$2)</f>
        <v/>
      </c>
      <c r="K158">
        <f>CurrAttrValue(D158, 0)</f>
        <v/>
      </c>
      <c r="L158">
        <f>CurrAttrValue(E158, 0)</f>
        <v/>
      </c>
      <c r="M158">
        <f>CurrAttrValue(H158, 0)</f>
        <v/>
      </c>
      <c r="N158">
        <f>CurrAttrValue(I158, 0)</f>
        <v/>
      </c>
      <c r="O158">
        <f>CurrAttrValue(J158, 0)</f>
        <v/>
      </c>
      <c r="P158" s="5">
        <f>"119"</f>
        <v/>
      </c>
      <c r="Q158" s="6">
        <f>"АОбс. Отказ пневмомеханической части канала управления СК ЦК  "</f>
        <v/>
      </c>
      <c r="R158" s="7">
        <f>IF(N158, S158, "")</f>
        <v/>
      </c>
      <c r="S158" s="7">
        <f>CurrAttrValue(C158, 0)</f>
        <v/>
      </c>
      <c r="T158" s="5">
        <f>IF(K158=-200, "д.вх.", K158)</f>
        <v/>
      </c>
      <c r="U158" s="5">
        <f>IF(L158=-200, "д.вх.", IF(N158, O158, L158))</f>
        <v/>
      </c>
      <c r="V158" s="5">
        <f>CurrAttrValue(G158, 0)</f>
        <v/>
      </c>
      <c r="W158" s="5">
        <f>IF(M158, "Блокирована", IF(N158, "Проверено", "-"))</f>
        <v/>
      </c>
    </row>
    <row r="159" ht="20" customHeight="1">
      <c r="A159">
        <f>"System.PZ.A119"</f>
        <v/>
      </c>
      <c r="B159">
        <f>CONCATENATE($A$2, $A$1, $A159, B$2)</f>
        <v/>
      </c>
      <c r="C159">
        <f>CONCATENATE($A$2, $A$1, $A159, C$2)</f>
        <v/>
      </c>
      <c r="D159">
        <f>CONCATENATE($A$2, $A$1, $A159, D$2)</f>
        <v/>
      </c>
      <c r="E159">
        <f>CONCATENATE($A$2, $A$1, $A159, E$2)</f>
        <v/>
      </c>
      <c r="F159">
        <f>CONCATENATE($A$2, $A$1, $A159, F$2)</f>
        <v/>
      </c>
      <c r="G159">
        <f>CONCATENATE($A$2, $A$1, $A159, G$2)</f>
        <v/>
      </c>
      <c r="H159">
        <f>CONCATENATE($A$2, $A$1, $A159, H$2)</f>
        <v/>
      </c>
      <c r="I159">
        <f>CONCATENATE($A$2, $A$1, $A159, I$2)</f>
        <v/>
      </c>
      <c r="J159">
        <f>CONCATENATE($A$2, $A$1, $A159, J$2)</f>
        <v/>
      </c>
      <c r="K159">
        <f>CurrAttrValue(D159, 0)</f>
        <v/>
      </c>
      <c r="L159">
        <f>CurrAttrValue(E159, 0)</f>
        <v/>
      </c>
      <c r="M159">
        <f>CurrAttrValue(H159, 0)</f>
        <v/>
      </c>
      <c r="N159">
        <f>CurrAttrValue(I159, 0)</f>
        <v/>
      </c>
      <c r="O159">
        <f>CurrAttrValue(J159, 0)</f>
        <v/>
      </c>
      <c r="P159" s="5">
        <f>"120"</f>
        <v/>
      </c>
      <c r="Q159" s="6">
        <f>"АОбс. Отказ механической части управления КС2 при задании на открытие  "</f>
        <v/>
      </c>
      <c r="R159" s="7">
        <f>IF(N159, S159, "")</f>
        <v/>
      </c>
      <c r="S159" s="7">
        <f>CurrAttrValue(C159, 0)</f>
        <v/>
      </c>
      <c r="T159" s="5">
        <f>IF(K159=-200, "д.вх.", K159)</f>
        <v/>
      </c>
      <c r="U159" s="5">
        <f>IF(L159=-200, "д.вх.", IF(N159, O159, L159))</f>
        <v/>
      </c>
      <c r="V159" s="5">
        <f>CurrAttrValue(G159, 0)</f>
        <v/>
      </c>
      <c r="W159" s="5">
        <f>IF(M159, "Блокирована", IF(N159, "Проверено", "-"))</f>
        <v/>
      </c>
    </row>
    <row r="160" ht="20" customHeight="1">
      <c r="A160">
        <f>"System.PZ.A120"</f>
        <v/>
      </c>
      <c r="B160">
        <f>CONCATENATE($A$2, $A$1, $A160, B$2)</f>
        <v/>
      </c>
      <c r="C160">
        <f>CONCATENATE($A$2, $A$1, $A160, C$2)</f>
        <v/>
      </c>
      <c r="D160">
        <f>CONCATENATE($A$2, $A$1, $A160, D$2)</f>
        <v/>
      </c>
      <c r="E160">
        <f>CONCATENATE($A$2, $A$1, $A160, E$2)</f>
        <v/>
      </c>
      <c r="F160">
        <f>CONCATENATE($A$2, $A$1, $A160, F$2)</f>
        <v/>
      </c>
      <c r="G160">
        <f>CONCATENATE($A$2, $A$1, $A160, G$2)</f>
        <v/>
      </c>
      <c r="H160">
        <f>CONCATENATE($A$2, $A$1, $A160, H$2)</f>
        <v/>
      </c>
      <c r="I160">
        <f>CONCATENATE($A$2, $A$1, $A160, I$2)</f>
        <v/>
      </c>
      <c r="J160">
        <f>CONCATENATE($A$2, $A$1, $A160, J$2)</f>
        <v/>
      </c>
      <c r="K160">
        <f>CurrAttrValue(D160, 0)</f>
        <v/>
      </c>
      <c r="L160">
        <f>CurrAttrValue(E160, 0)</f>
        <v/>
      </c>
      <c r="M160">
        <f>CurrAttrValue(H160, 0)</f>
        <v/>
      </c>
      <c r="N160">
        <f>CurrAttrValue(I160, 0)</f>
        <v/>
      </c>
      <c r="O160">
        <f>CurrAttrValue(J160, 0)</f>
        <v/>
      </c>
      <c r="P160" s="5">
        <f>"121"</f>
        <v/>
      </c>
      <c r="Q160" s="6">
        <f>"АОбс. Отказ механической части управления КС2 при задании на закрытие  "</f>
        <v/>
      </c>
      <c r="R160" s="7">
        <f>IF(N160, S160, "")</f>
        <v/>
      </c>
      <c r="S160" s="7">
        <f>CurrAttrValue(C160, 0)</f>
        <v/>
      </c>
      <c r="T160" s="5">
        <f>IF(K160=-200, "д.вх.", K160)</f>
        <v/>
      </c>
      <c r="U160" s="5">
        <f>IF(L160=-200, "д.вх.", IF(N160, O160, L160))</f>
        <v/>
      </c>
      <c r="V160" s="5">
        <f>CurrAttrValue(G160, 0)</f>
        <v/>
      </c>
      <c r="W160" s="5">
        <f>IF(M160, "Блокирована", IF(N160, "Проверено", "-"))</f>
        <v/>
      </c>
    </row>
    <row r="161" ht="20" customHeight="1">
      <c r="A161">
        <f>"System.PZ.A121"</f>
        <v/>
      </c>
      <c r="B161">
        <f>CONCATENATE($A$2, $A$1, $A161, B$2)</f>
        <v/>
      </c>
      <c r="C161">
        <f>CONCATENATE($A$2, $A$1, $A161, C$2)</f>
        <v/>
      </c>
      <c r="D161">
        <f>CONCATENATE($A$2, $A$1, $A161, D$2)</f>
        <v/>
      </c>
      <c r="E161">
        <f>CONCATENATE($A$2, $A$1, $A161, E$2)</f>
        <v/>
      </c>
      <c r="F161">
        <f>CONCATENATE($A$2, $A$1, $A161, F$2)</f>
        <v/>
      </c>
      <c r="G161">
        <f>CONCATENATE($A$2, $A$1, $A161, G$2)</f>
        <v/>
      </c>
      <c r="H161">
        <f>CONCATENATE($A$2, $A$1, $A161, H$2)</f>
        <v/>
      </c>
      <c r="I161">
        <f>CONCATENATE($A$2, $A$1, $A161, I$2)</f>
        <v/>
      </c>
      <c r="J161">
        <f>CONCATENATE($A$2, $A$1, $A161, J$2)</f>
        <v/>
      </c>
      <c r="K161">
        <f>CurrAttrValue(D161, 0)</f>
        <v/>
      </c>
      <c r="L161">
        <f>CurrAttrValue(E161, 0)</f>
        <v/>
      </c>
      <c r="M161">
        <f>CurrAttrValue(H161, 0)</f>
        <v/>
      </c>
      <c r="N161">
        <f>CurrAttrValue(I161, 0)</f>
        <v/>
      </c>
      <c r="O161">
        <f>CurrAttrValue(J161, 0)</f>
        <v/>
      </c>
      <c r="P161" s="5">
        <f>"122"</f>
        <v/>
      </c>
      <c r="Q161" s="6">
        <f>"АОбс. Отказ механической части управления КТ0 при задании на открытие  "</f>
        <v/>
      </c>
      <c r="R161" s="7">
        <f>IF(N161, S161, "")</f>
        <v/>
      </c>
      <c r="S161" s="7">
        <f>CurrAttrValue(C161, 0)</f>
        <v/>
      </c>
      <c r="T161" s="5">
        <f>IF(K161=-200, "д.вх.", K161)</f>
        <v/>
      </c>
      <c r="U161" s="5">
        <f>IF(L161=-200, "д.вх.", IF(N161, O161, L161))</f>
        <v/>
      </c>
      <c r="V161" s="5">
        <f>CurrAttrValue(G161, 0)</f>
        <v/>
      </c>
      <c r="W161" s="5">
        <f>IF(M161, "Блокирована", IF(N161, "Проверено", "-"))</f>
        <v/>
      </c>
    </row>
    <row r="162" ht="20" customHeight="1">
      <c r="A162">
        <f>"System.PZ.A122"</f>
        <v/>
      </c>
      <c r="B162">
        <f>CONCATENATE($A$2, $A$1, $A162, B$2)</f>
        <v/>
      </c>
      <c r="C162">
        <f>CONCATENATE($A$2, $A$1, $A162, C$2)</f>
        <v/>
      </c>
      <c r="D162">
        <f>CONCATENATE($A$2, $A$1, $A162, D$2)</f>
        <v/>
      </c>
      <c r="E162">
        <f>CONCATENATE($A$2, $A$1, $A162, E$2)</f>
        <v/>
      </c>
      <c r="F162">
        <f>CONCATENATE($A$2, $A$1, $A162, F$2)</f>
        <v/>
      </c>
      <c r="G162">
        <f>CONCATENATE($A$2, $A$1, $A162, G$2)</f>
        <v/>
      </c>
      <c r="H162">
        <f>CONCATENATE($A$2, $A$1, $A162, H$2)</f>
        <v/>
      </c>
      <c r="I162">
        <f>CONCATENATE($A$2, $A$1, $A162, I$2)</f>
        <v/>
      </c>
      <c r="J162">
        <f>CONCATENATE($A$2, $A$1, $A162, J$2)</f>
        <v/>
      </c>
      <c r="K162">
        <f>CurrAttrValue(D162, 0)</f>
        <v/>
      </c>
      <c r="L162">
        <f>CurrAttrValue(E162, 0)</f>
        <v/>
      </c>
      <c r="M162">
        <f>CurrAttrValue(H162, 0)</f>
        <v/>
      </c>
      <c r="N162">
        <f>CurrAttrValue(I162, 0)</f>
        <v/>
      </c>
      <c r="O162">
        <f>CurrAttrValue(J162, 0)</f>
        <v/>
      </c>
      <c r="P162" s="5">
        <f>"123"</f>
        <v/>
      </c>
      <c r="Q162" s="6">
        <f>"АОбс. Отказ механической части управления КТ0 при задании на закрытие  "</f>
        <v/>
      </c>
      <c r="R162" s="7">
        <f>IF(N162, S162, "")</f>
        <v/>
      </c>
      <c r="S162" s="7">
        <f>CurrAttrValue(C162, 0)</f>
        <v/>
      </c>
      <c r="T162" s="5">
        <f>IF(K162=-200, "д.вх.", K162)</f>
        <v/>
      </c>
      <c r="U162" s="5">
        <f>IF(L162=-200, "д.вх.", IF(N162, O162, L162))</f>
        <v/>
      </c>
      <c r="V162" s="5">
        <f>CurrAttrValue(G162, 0)</f>
        <v/>
      </c>
      <c r="W162" s="5">
        <f>IF(M162, "Блокирована", IF(N162, "Проверено", "-"))</f>
        <v/>
      </c>
    </row>
    <row r="163" ht="20" customHeight="1">
      <c r="A163">
        <f>"System.PZ.A123"</f>
        <v/>
      </c>
      <c r="B163">
        <f>CONCATENATE($A$2, $A$1, $A163, B$2)</f>
        <v/>
      </c>
      <c r="C163">
        <f>CONCATENATE($A$2, $A$1, $A163, C$2)</f>
        <v/>
      </c>
      <c r="D163">
        <f>CONCATENATE($A$2, $A$1, $A163, D$2)</f>
        <v/>
      </c>
      <c r="E163">
        <f>CONCATENATE($A$2, $A$1, $A163, E$2)</f>
        <v/>
      </c>
      <c r="F163">
        <f>CONCATENATE($A$2, $A$1, $A163, F$2)</f>
        <v/>
      </c>
      <c r="G163">
        <f>CONCATENATE($A$2, $A$1, $A163, G$2)</f>
        <v/>
      </c>
      <c r="H163">
        <f>CONCATENATE($A$2, $A$1, $A163, H$2)</f>
        <v/>
      </c>
      <c r="I163">
        <f>CONCATENATE($A$2, $A$1, $A163, I$2)</f>
        <v/>
      </c>
      <c r="J163">
        <f>CONCATENATE($A$2, $A$1, $A163, J$2)</f>
        <v/>
      </c>
      <c r="K163">
        <f>CurrAttrValue(D163, 0)</f>
        <v/>
      </c>
      <c r="L163">
        <f>CurrAttrValue(E163, 0)</f>
        <v/>
      </c>
      <c r="M163">
        <f>CurrAttrValue(H163, 0)</f>
        <v/>
      </c>
      <c r="N163">
        <f>CurrAttrValue(I163, 0)</f>
        <v/>
      </c>
      <c r="O163">
        <f>CurrAttrValue(J163, 0)</f>
        <v/>
      </c>
      <c r="P163" s="5">
        <f>"124"</f>
        <v/>
      </c>
      <c r="Q163" s="6">
        <f>"АОбс. Неисправность канала управления положением КПВ КВД  "</f>
        <v/>
      </c>
      <c r="R163" s="7">
        <f>IF(N163, S163, "")</f>
        <v/>
      </c>
      <c r="S163" s="7">
        <f>CurrAttrValue(C163, 0)</f>
        <v/>
      </c>
      <c r="T163" s="5">
        <f>IF(K163=-200, "д.вх.", K163)</f>
        <v/>
      </c>
      <c r="U163" s="5">
        <f>IF(L163=-200, "д.вх.", IF(N163, O163, L163))</f>
        <v/>
      </c>
      <c r="V163" s="5">
        <f>CurrAttrValue(G163, 0)</f>
        <v/>
      </c>
      <c r="W163" s="5">
        <f>IF(M163, "Блокирована", IF(N163, "Проверено", "-"))</f>
        <v/>
      </c>
    </row>
    <row r="164" ht="20" customHeight="1">
      <c r="A164">
        <f>"System.PZ.A124"</f>
        <v/>
      </c>
      <c r="B164">
        <f>CONCATENATE($A$2, $A$1, $A164, B$2)</f>
        <v/>
      </c>
      <c r="C164">
        <f>CONCATENATE($A$2, $A$1, $A164, C$2)</f>
        <v/>
      </c>
      <c r="D164">
        <f>CONCATENATE($A$2, $A$1, $A164, D$2)</f>
        <v/>
      </c>
      <c r="E164">
        <f>CONCATENATE($A$2, $A$1, $A164, E$2)</f>
        <v/>
      </c>
      <c r="F164">
        <f>CONCATENATE($A$2, $A$1, $A164, F$2)</f>
        <v/>
      </c>
      <c r="G164">
        <f>CONCATENATE($A$2, $A$1, $A164, G$2)</f>
        <v/>
      </c>
      <c r="H164">
        <f>CONCATENATE($A$2, $A$1, $A164, H$2)</f>
        <v/>
      </c>
      <c r="I164">
        <f>CONCATENATE($A$2, $A$1, $A164, I$2)</f>
        <v/>
      </c>
      <c r="J164">
        <f>CONCATENATE($A$2, $A$1, $A164, J$2)</f>
        <v/>
      </c>
      <c r="K164">
        <f>CurrAttrValue(D164, 0)</f>
        <v/>
      </c>
      <c r="L164">
        <f>CurrAttrValue(E164, 0)</f>
        <v/>
      </c>
      <c r="M164">
        <f>CurrAttrValue(H164, 0)</f>
        <v/>
      </c>
      <c r="N164">
        <f>CurrAttrValue(I164, 0)</f>
        <v/>
      </c>
      <c r="O164">
        <f>CurrAttrValue(J164, 0)</f>
        <v/>
      </c>
      <c r="P164" s="5">
        <f>"125"</f>
        <v/>
      </c>
      <c r="Q164" s="6">
        <f>"АОбс. Неисправность канала управления положением КПВЗ и КПГ ТВД  "</f>
        <v/>
      </c>
      <c r="R164" s="7">
        <f>IF(N164, S164, "")</f>
        <v/>
      </c>
      <c r="S164" s="7">
        <f>CurrAttrValue(C164, 0)</f>
        <v/>
      </c>
      <c r="T164" s="5">
        <f>IF(K164=-200, "д.вх.", K164)</f>
        <v/>
      </c>
      <c r="U164" s="5">
        <f>IF(L164=-200, "д.вх.", IF(N164, O164, L164))</f>
        <v/>
      </c>
      <c r="V164" s="5">
        <f>CurrAttrValue(G164, 0)</f>
        <v/>
      </c>
      <c r="W164" s="5">
        <f>IF(M164, "Блокирована", IF(N164, "Проверено", "-"))</f>
        <v/>
      </c>
    </row>
    <row r="165" ht="20" customHeight="1">
      <c r="A165">
        <f>"System.PZ.A125"</f>
        <v/>
      </c>
      <c r="B165">
        <f>CONCATENATE($A$2, $A$1, $A165, B$2)</f>
        <v/>
      </c>
      <c r="C165">
        <f>CONCATENATE($A$2, $A$1, $A165, C$2)</f>
        <v/>
      </c>
      <c r="D165">
        <f>CONCATENATE($A$2, $A$1, $A165, D$2)</f>
        <v/>
      </c>
      <c r="E165">
        <f>CONCATENATE($A$2, $A$1, $A165, E$2)</f>
        <v/>
      </c>
      <c r="F165">
        <f>CONCATENATE($A$2, $A$1, $A165, F$2)</f>
        <v/>
      </c>
      <c r="G165">
        <f>CONCATENATE($A$2, $A$1, $A165, G$2)</f>
        <v/>
      </c>
      <c r="H165">
        <f>CONCATENATE($A$2, $A$1, $A165, H$2)</f>
        <v/>
      </c>
      <c r="I165">
        <f>CONCATENATE($A$2, $A$1, $A165, I$2)</f>
        <v/>
      </c>
      <c r="J165">
        <f>CONCATENATE($A$2, $A$1, $A165, J$2)</f>
        <v/>
      </c>
      <c r="K165">
        <f>CurrAttrValue(D165, 0)</f>
        <v/>
      </c>
      <c r="L165">
        <f>CurrAttrValue(E165, 0)</f>
        <v/>
      </c>
      <c r="M165">
        <f>CurrAttrValue(H165, 0)</f>
        <v/>
      </c>
      <c r="N165">
        <f>CurrAttrValue(I165, 0)</f>
        <v/>
      </c>
      <c r="O165">
        <f>CurrAttrValue(J165, 0)</f>
        <v/>
      </c>
      <c r="P165" s="5">
        <f>"126"</f>
        <v/>
      </c>
      <c r="Q165" s="6">
        <f>"АОбс. Неисправность канала управления ДГ ДК по функц-му контролю  "</f>
        <v/>
      </c>
      <c r="R165" s="7">
        <f>IF(N165, S165, "")</f>
        <v/>
      </c>
      <c r="S165" s="7">
        <f>CurrAttrValue(C165, 0)</f>
        <v/>
      </c>
      <c r="T165" s="5">
        <f>IF(K165=-200, "д.вх.", K165)</f>
        <v/>
      </c>
      <c r="U165" s="5">
        <f>IF(L165=-200, "д.вх.", IF(N165, O165, L165))</f>
        <v/>
      </c>
      <c r="V165" s="5">
        <f>CurrAttrValue(G165, 0)</f>
        <v/>
      </c>
      <c r="W165" s="5">
        <f>IF(M165, "Блокирована", IF(N165, "Проверено", "-"))</f>
        <v/>
      </c>
    </row>
    <row r="166" ht="20" customHeight="1">
      <c r="A166">
        <f>"System.PZ.A126"</f>
        <v/>
      </c>
      <c r="B166">
        <f>CONCATENATE($A$2, $A$1, $A166, B$2)</f>
        <v/>
      </c>
      <c r="C166">
        <f>CONCATENATE($A$2, $A$1, $A166, C$2)</f>
        <v/>
      </c>
      <c r="D166">
        <f>CONCATENATE($A$2, $A$1, $A166, D$2)</f>
        <v/>
      </c>
      <c r="E166">
        <f>CONCATENATE($A$2, $A$1, $A166, E$2)</f>
        <v/>
      </c>
      <c r="F166">
        <f>CONCATENATE($A$2, $A$1, $A166, F$2)</f>
        <v/>
      </c>
      <c r="G166">
        <f>CONCATENATE($A$2, $A$1, $A166, G$2)</f>
        <v/>
      </c>
      <c r="H166">
        <f>CONCATENATE($A$2, $A$1, $A166, H$2)</f>
        <v/>
      </c>
      <c r="I166">
        <f>CONCATENATE($A$2, $A$1, $A166, I$2)</f>
        <v/>
      </c>
      <c r="J166">
        <f>CONCATENATE($A$2, $A$1, $A166, J$2)</f>
        <v/>
      </c>
      <c r="K166">
        <f>CurrAttrValue(D166, 0)</f>
        <v/>
      </c>
      <c r="L166">
        <f>CurrAttrValue(E166, 0)</f>
        <v/>
      </c>
      <c r="M166">
        <f>CurrAttrValue(H166, 0)</f>
        <v/>
      </c>
      <c r="N166">
        <f>CurrAttrValue(I166, 0)</f>
        <v/>
      </c>
      <c r="O166">
        <f>CurrAttrValue(J166, 0)</f>
        <v/>
      </c>
      <c r="P166" s="5">
        <f>"127"</f>
        <v/>
      </c>
      <c r="Q166" s="6">
        <f>"АОбс. Неисправность канала управления ДГ ДК по аппаратному контролю  "</f>
        <v/>
      </c>
      <c r="R166" s="7">
        <f>IF(N166, S166, "")</f>
        <v/>
      </c>
      <c r="S166" s="7">
        <f>CurrAttrValue(C166, 0)</f>
        <v/>
      </c>
      <c r="T166" s="5">
        <f>IF(K166=-200, "д.вх.", K166)</f>
        <v/>
      </c>
      <c r="U166" s="5">
        <f>IF(L166=-200, "д.вх.", IF(N166, O166, L166))</f>
        <v/>
      </c>
      <c r="V166" s="5">
        <f>CurrAttrValue(G166, 0)</f>
        <v/>
      </c>
      <c r="W166" s="5">
        <f>IF(M166, "Блокирована", IF(N166, "Проверено", "-"))</f>
        <v/>
      </c>
    </row>
    <row r="167" ht="20" customHeight="1">
      <c r="A167">
        <f>"System.PZ.A127"</f>
        <v/>
      </c>
      <c r="B167">
        <f>CONCATENATE($A$2, $A$1, $A167, B$2)</f>
        <v/>
      </c>
      <c r="C167">
        <f>CONCATENATE($A$2, $A$1, $A167, C$2)</f>
        <v/>
      </c>
      <c r="D167">
        <f>CONCATENATE($A$2, $A$1, $A167, D$2)</f>
        <v/>
      </c>
      <c r="E167">
        <f>CONCATENATE($A$2, $A$1, $A167, E$2)</f>
        <v/>
      </c>
      <c r="F167">
        <f>CONCATENATE($A$2, $A$1, $A167, F$2)</f>
        <v/>
      </c>
      <c r="G167">
        <f>CONCATENATE($A$2, $A$1, $A167, G$2)</f>
        <v/>
      </c>
      <c r="H167">
        <f>CONCATENATE($A$2, $A$1, $A167, H$2)</f>
        <v/>
      </c>
      <c r="I167">
        <f>CONCATENATE($A$2, $A$1, $A167, I$2)</f>
        <v/>
      </c>
      <c r="J167">
        <f>CONCATENATE($A$2, $A$1, $A167, J$2)</f>
        <v/>
      </c>
      <c r="K167">
        <f>CurrAttrValue(D167, 0)</f>
        <v/>
      </c>
      <c r="L167">
        <f>CurrAttrValue(E167, 0)</f>
        <v/>
      </c>
      <c r="M167">
        <f>CurrAttrValue(H167, 0)</f>
        <v/>
      </c>
      <c r="N167">
        <f>CurrAttrValue(I167, 0)</f>
        <v/>
      </c>
      <c r="O167">
        <f>CurrAttrValue(J167, 0)</f>
        <v/>
      </c>
      <c r="P167" s="5">
        <f>"128"</f>
        <v/>
      </c>
      <c r="Q167" s="6">
        <f>"АОбс. Отказ канала положения ДГ ДК по допусковому контролю  "</f>
        <v/>
      </c>
      <c r="R167" s="7">
        <f>IF(N167, S167, "")</f>
        <v/>
      </c>
      <c r="S167" s="7">
        <f>CurrAttrValue(C167, 0)</f>
        <v/>
      </c>
      <c r="T167" s="5">
        <f>IF(K167=-200, "д.вх.", K167)</f>
        <v/>
      </c>
      <c r="U167" s="5">
        <f>IF(L167=-200, "д.вх.", IF(N167, O167, L167))</f>
        <v/>
      </c>
      <c r="V167" s="5">
        <f>CurrAttrValue(G167, 0)</f>
        <v/>
      </c>
      <c r="W167" s="5">
        <f>IF(M167, "Блокирована", IF(N167, "Проверено", "-"))</f>
        <v/>
      </c>
    </row>
    <row r="168" ht="20" customHeight="1">
      <c r="A168">
        <f>"System.PZ.A128"</f>
        <v/>
      </c>
      <c r="B168">
        <f>CONCATENATE($A$2, $A$1, $A168, B$2)</f>
        <v/>
      </c>
      <c r="C168">
        <f>CONCATENATE($A$2, $A$1, $A168, C$2)</f>
        <v/>
      </c>
      <c r="D168">
        <f>CONCATENATE($A$2, $A$1, $A168, D$2)</f>
        <v/>
      </c>
      <c r="E168">
        <f>CONCATENATE($A$2, $A$1, $A168, E$2)</f>
        <v/>
      </c>
      <c r="F168">
        <f>CONCATENATE($A$2, $A$1, $A168, F$2)</f>
        <v/>
      </c>
      <c r="G168">
        <f>CONCATENATE($A$2, $A$1, $A168, G$2)</f>
        <v/>
      </c>
      <c r="H168">
        <f>CONCATENATE($A$2, $A$1, $A168, H$2)</f>
        <v/>
      </c>
      <c r="I168">
        <f>CONCATENATE($A$2, $A$1, $A168, I$2)</f>
        <v/>
      </c>
      <c r="J168">
        <f>CONCATENATE($A$2, $A$1, $A168, J$2)</f>
        <v/>
      </c>
      <c r="K168">
        <f>CurrAttrValue(D168, 0)</f>
        <v/>
      </c>
      <c r="L168">
        <f>CurrAttrValue(E168, 0)</f>
        <v/>
      </c>
      <c r="M168">
        <f>CurrAttrValue(H168, 0)</f>
        <v/>
      </c>
      <c r="N168">
        <f>CurrAttrValue(I168, 0)</f>
        <v/>
      </c>
      <c r="O168">
        <f>CurrAttrValue(J168, 0)</f>
        <v/>
      </c>
      <c r="P168" s="5">
        <f>"129"</f>
        <v/>
      </c>
      <c r="Q168" s="6">
        <f>"АОбс. Отказ канала положения ДГ ДК по аппаратному контролю  "</f>
        <v/>
      </c>
      <c r="R168" s="7">
        <f>IF(N168, S168, "")</f>
        <v/>
      </c>
      <c r="S168" s="7">
        <f>CurrAttrValue(C168, 0)</f>
        <v/>
      </c>
      <c r="T168" s="5">
        <f>IF(K168=-200, "д.вх.", K168)</f>
        <v/>
      </c>
      <c r="U168" s="5">
        <f>IF(L168=-200, "д.вх.", IF(N168, O168, L168))</f>
        <v/>
      </c>
      <c r="V168" s="5">
        <f>CurrAttrValue(G168, 0)</f>
        <v/>
      </c>
      <c r="W168" s="5">
        <f>IF(M168, "Блокирована", IF(N168, "Проверено", "-"))</f>
        <v/>
      </c>
    </row>
    <row r="169" ht="20" customHeight="1">
      <c r="A169">
        <f>"System.PZ.A129"</f>
        <v/>
      </c>
      <c r="B169">
        <f>CONCATENATE($A$2, $A$1, $A169, B$2)</f>
        <v/>
      </c>
      <c r="C169">
        <f>CONCATENATE($A$2, $A$1, $A169, C$2)</f>
        <v/>
      </c>
      <c r="D169">
        <f>CONCATENATE($A$2, $A$1, $A169, D$2)</f>
        <v/>
      </c>
      <c r="E169">
        <f>CONCATENATE($A$2, $A$1, $A169, E$2)</f>
        <v/>
      </c>
      <c r="F169">
        <f>CONCATENATE($A$2, $A$1, $A169, F$2)</f>
        <v/>
      </c>
      <c r="G169">
        <f>CONCATENATE($A$2, $A$1, $A169, G$2)</f>
        <v/>
      </c>
      <c r="H169">
        <f>CONCATENATE($A$2, $A$1, $A169, H$2)</f>
        <v/>
      </c>
      <c r="I169">
        <f>CONCATENATE($A$2, $A$1, $A169, I$2)</f>
        <v/>
      </c>
      <c r="J169">
        <f>CONCATENATE($A$2, $A$1, $A169, J$2)</f>
        <v/>
      </c>
      <c r="K169">
        <f>CurrAttrValue(D169, 0)</f>
        <v/>
      </c>
      <c r="L169">
        <f>CurrAttrValue(E169, 0)</f>
        <v/>
      </c>
      <c r="M169">
        <f>CurrAttrValue(H169, 0)</f>
        <v/>
      </c>
      <c r="N169">
        <f>CurrAttrValue(I169, 0)</f>
        <v/>
      </c>
      <c r="O169">
        <f>CurrAttrValue(J169, 0)</f>
        <v/>
      </c>
      <c r="P169" s="5">
        <f>"130"</f>
        <v/>
      </c>
      <c r="Q169" s="6">
        <f>"АОбс. Неисправность канала управления ДГ ГК по функц-му контролю  "</f>
        <v/>
      </c>
      <c r="R169" s="7">
        <f>IF(N169, S169, "")</f>
        <v/>
      </c>
      <c r="S169" s="7">
        <f>CurrAttrValue(C169, 0)</f>
        <v/>
      </c>
      <c r="T169" s="5">
        <f>IF(K169=-200, "д.вх.", K169)</f>
        <v/>
      </c>
      <c r="U169" s="5">
        <f>IF(L169=-200, "д.вх.", IF(N169, O169, L169))</f>
        <v/>
      </c>
      <c r="V169" s="5">
        <f>CurrAttrValue(G169, 0)</f>
        <v/>
      </c>
      <c r="W169" s="5">
        <f>IF(M169, "Блокирована", IF(N169, "Проверено", "-"))</f>
        <v/>
      </c>
    </row>
    <row r="172" ht="35" customHeight="1">
      <c r="Q172" s="8">
        <f>"должность"</f>
        <v/>
      </c>
      <c r="R172" s="9" t="n"/>
      <c r="S172" s="8">
        <f>"ФИО"</f>
        <v/>
      </c>
      <c r="T172" s="9" t="n"/>
      <c r="U172" s="8">
        <f>"подпись"</f>
        <v/>
      </c>
    </row>
    <row r="173" ht="35" customHeight="1">
      <c r="Q173" s="8">
        <f>"должность"</f>
        <v/>
      </c>
      <c r="R173" s="9" t="n"/>
      <c r="S173" s="8">
        <f>"ФИО"</f>
        <v/>
      </c>
      <c r="T173" s="9" t="n"/>
      <c r="U173" s="8">
        <f>"подпись"</f>
        <v/>
      </c>
    </row>
    <row r="174" ht="35" customHeight="1">
      <c r="Q174" s="8">
        <f>"должность"</f>
        <v/>
      </c>
      <c r="R174" s="9" t="n"/>
      <c r="S174" s="8">
        <f>"ФИО"</f>
        <v/>
      </c>
      <c r="T174" s="9" t="n"/>
      <c r="U174" s="8">
        <f>"подпись"</f>
        <v/>
      </c>
    </row>
    <row r="176" ht="25" customHeight="1">
      <c r="Q176" s="1">
        <f>"Протокол проверки защит ГПА3 на "</f>
        <v/>
      </c>
      <c r="R176" s="2">
        <f>R1</f>
        <v/>
      </c>
      <c r="S176" s="3">
        <f>S1</f>
        <v/>
      </c>
    </row>
    <row r="178" ht="20" customHeight="1">
      <c r="P178" s="4">
        <f>"№"</f>
        <v/>
      </c>
      <c r="Q178" s="4">
        <f>"Наименование защиты  "</f>
        <v/>
      </c>
      <c r="R178" s="4">
        <f>"Таймер"</f>
        <v/>
      </c>
      <c r="S178" s="4">
        <f>"Задержка"</f>
        <v/>
      </c>
      <c r="T178" s="4">
        <f>"Уставка"</f>
        <v/>
      </c>
      <c r="U178" s="4">
        <f>"Значение"</f>
        <v/>
      </c>
      <c r="V178" s="4">
        <f>"Eд.изм"</f>
        <v/>
      </c>
      <c r="W178" s="4">
        <f>"Отметка о проверке"</f>
        <v/>
      </c>
    </row>
    <row r="179" ht="20" customHeight="1">
      <c r="A179">
        <f>"System.PZ.A130"</f>
        <v/>
      </c>
      <c r="B179">
        <f>CONCATENATE($A$2, $A$1, $A179, B$2)</f>
        <v/>
      </c>
      <c r="C179">
        <f>CONCATENATE($A$2, $A$1, $A179, C$2)</f>
        <v/>
      </c>
      <c r="D179">
        <f>CONCATENATE($A$2, $A$1, $A179, D$2)</f>
        <v/>
      </c>
      <c r="E179">
        <f>CONCATENATE($A$2, $A$1, $A179, E$2)</f>
        <v/>
      </c>
      <c r="F179">
        <f>CONCATENATE($A$2, $A$1, $A179, F$2)</f>
        <v/>
      </c>
      <c r="G179">
        <f>CONCATENATE($A$2, $A$1, $A179, G$2)</f>
        <v/>
      </c>
      <c r="H179">
        <f>CONCATENATE($A$2, $A$1, $A179, H$2)</f>
        <v/>
      </c>
      <c r="I179">
        <f>CONCATENATE($A$2, $A$1, $A179, I$2)</f>
        <v/>
      </c>
      <c r="J179">
        <f>CONCATENATE($A$2, $A$1, $A179, J$2)</f>
        <v/>
      </c>
      <c r="K179">
        <f>CurrAttrValue(D179, 0)</f>
        <v/>
      </c>
      <c r="L179">
        <f>CurrAttrValue(E179, 0)</f>
        <v/>
      </c>
      <c r="M179">
        <f>CurrAttrValue(H179, 0)</f>
        <v/>
      </c>
      <c r="N179">
        <f>CurrAttrValue(I179, 0)</f>
        <v/>
      </c>
      <c r="O179">
        <f>CurrAttrValue(J179, 0)</f>
        <v/>
      </c>
      <c r="P179" s="5">
        <f>"131"</f>
        <v/>
      </c>
      <c r="Q179" s="6">
        <f>"АОбс. Неисправность канала управления ДГ ГК по аппаратному контролю  "</f>
        <v/>
      </c>
      <c r="R179" s="7">
        <f>IF(N179, S179, "")</f>
        <v/>
      </c>
      <c r="S179" s="7">
        <f>CurrAttrValue(C179, 0)</f>
        <v/>
      </c>
      <c r="T179" s="5">
        <f>IF(K179=-200, "д.вх.", K179)</f>
        <v/>
      </c>
      <c r="U179" s="5">
        <f>IF(L179=-200, "д.вх.", IF(N179, O179, L179))</f>
        <v/>
      </c>
      <c r="V179" s="5">
        <f>CurrAttrValue(G179, 0)</f>
        <v/>
      </c>
      <c r="W179" s="5">
        <f>IF(M179, "Блокирована", IF(N179, "Проверено", "-"))</f>
        <v/>
      </c>
    </row>
    <row r="180" ht="20" customHeight="1">
      <c r="A180">
        <f>"System.PZ.A131"</f>
        <v/>
      </c>
      <c r="B180">
        <f>CONCATENATE($A$2, $A$1, $A180, B$2)</f>
        <v/>
      </c>
      <c r="C180">
        <f>CONCATENATE($A$2, $A$1, $A180, C$2)</f>
        <v/>
      </c>
      <c r="D180">
        <f>CONCATENATE($A$2, $A$1, $A180, D$2)</f>
        <v/>
      </c>
      <c r="E180">
        <f>CONCATENATE($A$2, $A$1, $A180, E$2)</f>
        <v/>
      </c>
      <c r="F180">
        <f>CONCATENATE($A$2, $A$1, $A180, F$2)</f>
        <v/>
      </c>
      <c r="G180">
        <f>CONCATENATE($A$2, $A$1, $A180, G$2)</f>
        <v/>
      </c>
      <c r="H180">
        <f>CONCATENATE($A$2, $A$1, $A180, H$2)</f>
        <v/>
      </c>
      <c r="I180">
        <f>CONCATENATE($A$2, $A$1, $A180, I$2)</f>
        <v/>
      </c>
      <c r="J180">
        <f>CONCATENATE($A$2, $A$1, $A180, J$2)</f>
        <v/>
      </c>
      <c r="K180">
        <f>CurrAttrValue(D180, 0)</f>
        <v/>
      </c>
      <c r="L180">
        <f>CurrAttrValue(E180, 0)</f>
        <v/>
      </c>
      <c r="M180">
        <f>CurrAttrValue(H180, 0)</f>
        <v/>
      </c>
      <c r="N180">
        <f>CurrAttrValue(I180, 0)</f>
        <v/>
      </c>
      <c r="O180">
        <f>CurrAttrValue(J180, 0)</f>
        <v/>
      </c>
      <c r="P180" s="5">
        <f>"132"</f>
        <v/>
      </c>
      <c r="Q180" s="6">
        <f>"АОбс. Отказ канала положения ДГ ГК по допусковому контролю  "</f>
        <v/>
      </c>
      <c r="R180" s="7">
        <f>IF(N180, S180, "")</f>
        <v/>
      </c>
      <c r="S180" s="7">
        <f>CurrAttrValue(C180, 0)</f>
        <v/>
      </c>
      <c r="T180" s="5">
        <f>IF(K180=-200, "д.вх.", K180)</f>
        <v/>
      </c>
      <c r="U180" s="5">
        <f>IF(L180=-200, "д.вх.", IF(N180, O180, L180))</f>
        <v/>
      </c>
      <c r="V180" s="5">
        <f>CurrAttrValue(G180, 0)</f>
        <v/>
      </c>
      <c r="W180" s="5">
        <f>IF(M180, "Блокирована", IF(N180, "Проверено", "-"))</f>
        <v/>
      </c>
    </row>
    <row r="181" ht="20" customHeight="1">
      <c r="A181">
        <f>"System.PZ.A132"</f>
        <v/>
      </c>
      <c r="B181">
        <f>CONCATENATE($A$2, $A$1, $A181, B$2)</f>
        <v/>
      </c>
      <c r="C181">
        <f>CONCATENATE($A$2, $A$1, $A181, C$2)</f>
        <v/>
      </c>
      <c r="D181">
        <f>CONCATENATE($A$2, $A$1, $A181, D$2)</f>
        <v/>
      </c>
      <c r="E181">
        <f>CONCATENATE($A$2, $A$1, $A181, E$2)</f>
        <v/>
      </c>
      <c r="F181">
        <f>CONCATENATE($A$2, $A$1, $A181, F$2)</f>
        <v/>
      </c>
      <c r="G181">
        <f>CONCATENATE($A$2, $A$1, $A181, G$2)</f>
        <v/>
      </c>
      <c r="H181">
        <f>CONCATENATE($A$2, $A$1, $A181, H$2)</f>
        <v/>
      </c>
      <c r="I181">
        <f>CONCATENATE($A$2, $A$1, $A181, I$2)</f>
        <v/>
      </c>
      <c r="J181">
        <f>CONCATENATE($A$2, $A$1, $A181, J$2)</f>
        <v/>
      </c>
      <c r="K181">
        <f>CurrAttrValue(D181, 0)</f>
        <v/>
      </c>
      <c r="L181">
        <f>CurrAttrValue(E181, 0)</f>
        <v/>
      </c>
      <c r="M181">
        <f>CurrAttrValue(H181, 0)</f>
        <v/>
      </c>
      <c r="N181">
        <f>CurrAttrValue(I181, 0)</f>
        <v/>
      </c>
      <c r="O181">
        <f>CurrAttrValue(J181, 0)</f>
        <v/>
      </c>
      <c r="P181" s="5">
        <f>"133"</f>
        <v/>
      </c>
      <c r="Q181" s="6">
        <f>"АОбс. Отказ канала положения ДГ ГК по аппаратному контролю  "</f>
        <v/>
      </c>
      <c r="R181" s="7">
        <f>IF(N181, S181, "")</f>
        <v/>
      </c>
      <c r="S181" s="7">
        <f>CurrAttrValue(C181, 0)</f>
        <v/>
      </c>
      <c r="T181" s="5">
        <f>IF(K181=-200, "д.вх.", K181)</f>
        <v/>
      </c>
      <c r="U181" s="5">
        <f>IF(L181=-200, "д.вх.", IF(N181, O181, L181))</f>
        <v/>
      </c>
      <c r="V181" s="5">
        <f>CurrAttrValue(G181, 0)</f>
        <v/>
      </c>
      <c r="W181" s="5">
        <f>IF(M181, "Блокирована", IF(N181, "Проверено", "-"))</f>
        <v/>
      </c>
    </row>
    <row r="182" ht="20" customHeight="1">
      <c r="A182">
        <f>"System.PZ.A133"</f>
        <v/>
      </c>
      <c r="B182">
        <f>CONCATENATE($A$2, $A$1, $A182, B$2)</f>
        <v/>
      </c>
      <c r="C182">
        <f>CONCATENATE($A$2, $A$1, $A182, C$2)</f>
        <v/>
      </c>
      <c r="D182">
        <f>CONCATENATE($A$2, $A$1, $A182, D$2)</f>
        <v/>
      </c>
      <c r="E182">
        <f>CONCATENATE($A$2, $A$1, $A182, E$2)</f>
        <v/>
      </c>
      <c r="F182">
        <f>CONCATENATE($A$2, $A$1, $A182, F$2)</f>
        <v/>
      </c>
      <c r="G182">
        <f>CONCATENATE($A$2, $A$1, $A182, G$2)</f>
        <v/>
      </c>
      <c r="H182">
        <f>CONCATENATE($A$2, $A$1, $A182, H$2)</f>
        <v/>
      </c>
      <c r="I182">
        <f>CONCATENATE($A$2, $A$1, $A182, I$2)</f>
        <v/>
      </c>
      <c r="J182">
        <f>CONCATENATE($A$2, $A$1, $A182, J$2)</f>
        <v/>
      </c>
      <c r="K182">
        <f>CurrAttrValue(D182, 0)</f>
        <v/>
      </c>
      <c r="L182">
        <f>CurrAttrValue(E182, 0)</f>
        <v/>
      </c>
      <c r="M182">
        <f>CurrAttrValue(H182, 0)</f>
        <v/>
      </c>
      <c r="N182">
        <f>CurrAttrValue(I182, 0)</f>
        <v/>
      </c>
      <c r="O182">
        <f>CurrAttrValue(J182, 0)</f>
        <v/>
      </c>
      <c r="P182" s="5">
        <f>"134"</f>
        <v/>
      </c>
      <c r="Q182" s="6">
        <f>"АОбс. Неисправность канала управления ДГ ЦМ по функц-му контролю  "</f>
        <v/>
      </c>
      <c r="R182" s="7">
        <f>IF(N182, S182, "")</f>
        <v/>
      </c>
      <c r="S182" s="7">
        <f>CurrAttrValue(C182, 0)</f>
        <v/>
      </c>
      <c r="T182" s="5">
        <f>IF(K182=-200, "д.вх.", K182)</f>
        <v/>
      </c>
      <c r="U182" s="5">
        <f>IF(L182=-200, "д.вх.", IF(N182, O182, L182))</f>
        <v/>
      </c>
      <c r="V182" s="5">
        <f>CurrAttrValue(G182, 0)</f>
        <v/>
      </c>
      <c r="W182" s="5">
        <f>IF(M182, "Блокирована", IF(N182, "Проверено", "-"))</f>
        <v/>
      </c>
    </row>
    <row r="183" ht="20" customHeight="1">
      <c r="A183">
        <f>"System.PZ.A134"</f>
        <v/>
      </c>
      <c r="B183">
        <f>CONCATENATE($A$2, $A$1, $A183, B$2)</f>
        <v/>
      </c>
      <c r="C183">
        <f>CONCATENATE($A$2, $A$1, $A183, C$2)</f>
        <v/>
      </c>
      <c r="D183">
        <f>CONCATENATE($A$2, $A$1, $A183, D$2)</f>
        <v/>
      </c>
      <c r="E183">
        <f>CONCATENATE($A$2, $A$1, $A183, E$2)</f>
        <v/>
      </c>
      <c r="F183">
        <f>CONCATENATE($A$2, $A$1, $A183, F$2)</f>
        <v/>
      </c>
      <c r="G183">
        <f>CONCATENATE($A$2, $A$1, $A183, G$2)</f>
        <v/>
      </c>
      <c r="H183">
        <f>CONCATENATE($A$2, $A$1, $A183, H$2)</f>
        <v/>
      </c>
      <c r="I183">
        <f>CONCATENATE($A$2, $A$1, $A183, I$2)</f>
        <v/>
      </c>
      <c r="J183">
        <f>CONCATENATE($A$2, $A$1, $A183, J$2)</f>
        <v/>
      </c>
      <c r="K183">
        <f>CurrAttrValue(D183, 0)</f>
        <v/>
      </c>
      <c r="L183">
        <f>CurrAttrValue(E183, 0)</f>
        <v/>
      </c>
      <c r="M183">
        <f>CurrAttrValue(H183, 0)</f>
        <v/>
      </c>
      <c r="N183">
        <f>CurrAttrValue(I183, 0)</f>
        <v/>
      </c>
      <c r="O183">
        <f>CurrAttrValue(J183, 0)</f>
        <v/>
      </c>
      <c r="P183" s="5">
        <f>"135"</f>
        <v/>
      </c>
      <c r="Q183" s="6">
        <f>"АОбс. Неисправность канала управления ДГ ЦМ по аппаратному контролю  "</f>
        <v/>
      </c>
      <c r="R183" s="7">
        <f>IF(N183, S183, "")</f>
        <v/>
      </c>
      <c r="S183" s="7">
        <f>CurrAttrValue(C183, 0)</f>
        <v/>
      </c>
      <c r="T183" s="5">
        <f>IF(K183=-200, "д.вх.", K183)</f>
        <v/>
      </c>
      <c r="U183" s="5">
        <f>IF(L183=-200, "д.вх.", IF(N183, O183, L183))</f>
        <v/>
      </c>
      <c r="V183" s="5">
        <f>CurrAttrValue(G183, 0)</f>
        <v/>
      </c>
      <c r="W183" s="5">
        <f>IF(M183, "Блокирована", IF(N183, "Проверено", "-"))</f>
        <v/>
      </c>
    </row>
    <row r="184" ht="20" customHeight="1">
      <c r="A184">
        <f>"System.PZ.A135"</f>
        <v/>
      </c>
      <c r="B184">
        <f>CONCATENATE($A$2, $A$1, $A184, B$2)</f>
        <v/>
      </c>
      <c r="C184">
        <f>CONCATENATE($A$2, $A$1, $A184, C$2)</f>
        <v/>
      </c>
      <c r="D184">
        <f>CONCATENATE($A$2, $A$1, $A184, D$2)</f>
        <v/>
      </c>
      <c r="E184">
        <f>CONCATENATE($A$2, $A$1, $A184, E$2)</f>
        <v/>
      </c>
      <c r="F184">
        <f>CONCATENATE($A$2, $A$1, $A184, F$2)</f>
        <v/>
      </c>
      <c r="G184">
        <f>CONCATENATE($A$2, $A$1, $A184, G$2)</f>
        <v/>
      </c>
      <c r="H184">
        <f>CONCATENATE($A$2, $A$1, $A184, H$2)</f>
        <v/>
      </c>
      <c r="I184">
        <f>CONCATENATE($A$2, $A$1, $A184, I$2)</f>
        <v/>
      </c>
      <c r="J184">
        <f>CONCATENATE($A$2, $A$1, $A184, J$2)</f>
        <v/>
      </c>
      <c r="K184">
        <f>CurrAttrValue(D184, 0)</f>
        <v/>
      </c>
      <c r="L184">
        <f>CurrAttrValue(E184, 0)</f>
        <v/>
      </c>
      <c r="M184">
        <f>CurrAttrValue(H184, 0)</f>
        <v/>
      </c>
      <c r="N184">
        <f>CurrAttrValue(I184, 0)</f>
        <v/>
      </c>
      <c r="O184">
        <f>CurrAttrValue(J184, 0)</f>
        <v/>
      </c>
      <c r="P184" s="5">
        <f>"136"</f>
        <v/>
      </c>
      <c r="Q184" s="6">
        <f>"АОбс. Отказ канала положения ДГ ЦМ по допусковому контролю  "</f>
        <v/>
      </c>
      <c r="R184" s="7">
        <f>IF(N184, S184, "")</f>
        <v/>
      </c>
      <c r="S184" s="7">
        <f>CurrAttrValue(C184, 0)</f>
        <v/>
      </c>
      <c r="T184" s="5">
        <f>IF(K184=-200, "д.вх.", K184)</f>
        <v/>
      </c>
      <c r="U184" s="5">
        <f>IF(L184=-200, "д.вх.", IF(N184, O184, L184))</f>
        <v/>
      </c>
      <c r="V184" s="5">
        <f>CurrAttrValue(G184, 0)</f>
        <v/>
      </c>
      <c r="W184" s="5">
        <f>IF(M184, "Блокирована", IF(N184, "Проверено", "-"))</f>
        <v/>
      </c>
    </row>
    <row r="185" ht="20" customHeight="1">
      <c r="A185">
        <f>"System.PZ.A136"</f>
        <v/>
      </c>
      <c r="B185">
        <f>CONCATENATE($A$2, $A$1, $A185, B$2)</f>
        <v/>
      </c>
      <c r="C185">
        <f>CONCATENATE($A$2, $A$1, $A185, C$2)</f>
        <v/>
      </c>
      <c r="D185">
        <f>CONCATENATE($A$2, $A$1, $A185, D$2)</f>
        <v/>
      </c>
      <c r="E185">
        <f>CONCATENATE($A$2, $A$1, $A185, E$2)</f>
        <v/>
      </c>
      <c r="F185">
        <f>CONCATENATE($A$2, $A$1, $A185, F$2)</f>
        <v/>
      </c>
      <c r="G185">
        <f>CONCATENATE($A$2, $A$1, $A185, G$2)</f>
        <v/>
      </c>
      <c r="H185">
        <f>CONCATENATE($A$2, $A$1, $A185, H$2)</f>
        <v/>
      </c>
      <c r="I185">
        <f>CONCATENATE($A$2, $A$1, $A185, I$2)</f>
        <v/>
      </c>
      <c r="J185">
        <f>CONCATENATE($A$2, $A$1, $A185, J$2)</f>
        <v/>
      </c>
      <c r="K185">
        <f>CurrAttrValue(D185, 0)</f>
        <v/>
      </c>
      <c r="L185">
        <f>CurrAttrValue(E185, 0)</f>
        <v/>
      </c>
      <c r="M185">
        <f>CurrAttrValue(H185, 0)</f>
        <v/>
      </c>
      <c r="N185">
        <f>CurrAttrValue(I185, 0)</f>
        <v/>
      </c>
      <c r="O185">
        <f>CurrAttrValue(J185, 0)</f>
        <v/>
      </c>
      <c r="P185" s="5">
        <f>"137"</f>
        <v/>
      </c>
      <c r="Q185" s="6">
        <f>"АОбс. Отказ канала положения ДГ ЦМ по аппаратному контролю  "</f>
        <v/>
      </c>
      <c r="R185" s="7">
        <f>IF(N185, S185, "")</f>
        <v/>
      </c>
      <c r="S185" s="7">
        <f>CurrAttrValue(C185, 0)</f>
        <v/>
      </c>
      <c r="T185" s="5">
        <f>IF(K185=-200, "д.вх.", K185)</f>
        <v/>
      </c>
      <c r="U185" s="5">
        <f>IF(L185=-200, "д.вх.", IF(N185, O185, L185))</f>
        <v/>
      </c>
      <c r="V185" s="5">
        <f>CurrAttrValue(G185, 0)</f>
        <v/>
      </c>
      <c r="W185" s="5">
        <f>IF(M185, "Блокирована", IF(N185, "Проверено", "-"))</f>
        <v/>
      </c>
    </row>
    <row r="186" ht="20" customHeight="1">
      <c r="A186">
        <f>"System.PZ.A137"</f>
        <v/>
      </c>
      <c r="B186">
        <f>CONCATENATE($A$2, $A$1, $A186, B$2)</f>
        <v/>
      </c>
      <c r="C186">
        <f>CONCATENATE($A$2, $A$1, $A186, C$2)</f>
        <v/>
      </c>
      <c r="D186">
        <f>CONCATENATE($A$2, $A$1, $A186, D$2)</f>
        <v/>
      </c>
      <c r="E186">
        <f>CONCATENATE($A$2, $A$1, $A186, E$2)</f>
        <v/>
      </c>
      <c r="F186">
        <f>CONCATENATE($A$2, $A$1, $A186, F$2)</f>
        <v/>
      </c>
      <c r="G186">
        <f>CONCATENATE($A$2, $A$1, $A186, G$2)</f>
        <v/>
      </c>
      <c r="H186">
        <f>CONCATENATE($A$2, $A$1, $A186, H$2)</f>
        <v/>
      </c>
      <c r="I186">
        <f>CONCATENATE($A$2, $A$1, $A186, I$2)</f>
        <v/>
      </c>
      <c r="J186">
        <f>CONCATENATE($A$2, $A$1, $A186, J$2)</f>
        <v/>
      </c>
      <c r="K186">
        <f>CurrAttrValue(D186, 0)</f>
        <v/>
      </c>
      <c r="L186">
        <f>CurrAttrValue(E186, 0)</f>
        <v/>
      </c>
      <c r="M186">
        <f>CurrAttrValue(H186, 0)</f>
        <v/>
      </c>
      <c r="N186">
        <f>CurrAttrValue(I186, 0)</f>
        <v/>
      </c>
      <c r="O186">
        <f>CurrAttrValue(J186, 0)</f>
        <v/>
      </c>
      <c r="P186" s="5">
        <f>"138"</f>
        <v/>
      </c>
      <c r="Q186" s="6">
        <f>"ВОбс. Система продувки диф. коллектора №1 негерметична  "</f>
        <v/>
      </c>
      <c r="R186" s="7">
        <f>IF(N186, S186, "")</f>
        <v/>
      </c>
      <c r="S186" s="7">
        <f>CurrAttrValue(C186, 0)</f>
        <v/>
      </c>
      <c r="T186" s="5">
        <f>IF(K186=-200, "д.вх.", K186)</f>
        <v/>
      </c>
      <c r="U186" s="5">
        <f>IF(L186=-200, "д.вх.", IF(N186, O186, L186))</f>
        <v/>
      </c>
      <c r="V186" s="5">
        <f>CurrAttrValue(G186, 0)</f>
        <v/>
      </c>
      <c r="W186" s="5">
        <f>IF(M186, "Блокирована", IF(N186, "Проверено", "-"))</f>
        <v/>
      </c>
    </row>
    <row r="187" ht="20" customHeight="1">
      <c r="A187">
        <f>"System.PZ.A138"</f>
        <v/>
      </c>
      <c r="B187">
        <f>CONCATENATE($A$2, $A$1, $A187, B$2)</f>
        <v/>
      </c>
      <c r="C187">
        <f>CONCATENATE($A$2, $A$1, $A187, C$2)</f>
        <v/>
      </c>
      <c r="D187">
        <f>CONCATENATE($A$2, $A$1, $A187, D$2)</f>
        <v/>
      </c>
      <c r="E187">
        <f>CONCATENATE($A$2, $A$1, $A187, E$2)</f>
        <v/>
      </c>
      <c r="F187">
        <f>CONCATENATE($A$2, $A$1, $A187, F$2)</f>
        <v/>
      </c>
      <c r="G187">
        <f>CONCATENATE($A$2, $A$1, $A187, G$2)</f>
        <v/>
      </c>
      <c r="H187">
        <f>CONCATENATE($A$2, $A$1, $A187, H$2)</f>
        <v/>
      </c>
      <c r="I187">
        <f>CONCATENATE($A$2, $A$1, $A187, I$2)</f>
        <v/>
      </c>
      <c r="J187">
        <f>CONCATENATE($A$2, $A$1, $A187, J$2)</f>
        <v/>
      </c>
      <c r="K187">
        <f>CurrAttrValue(D187, 0)</f>
        <v/>
      </c>
      <c r="L187">
        <f>CurrAttrValue(E187, 0)</f>
        <v/>
      </c>
      <c r="M187">
        <f>CurrAttrValue(H187, 0)</f>
        <v/>
      </c>
      <c r="N187">
        <f>CurrAttrValue(I187, 0)</f>
        <v/>
      </c>
      <c r="O187">
        <f>CurrAttrValue(J187, 0)</f>
        <v/>
      </c>
      <c r="P187" s="5">
        <f>"139"</f>
        <v/>
      </c>
      <c r="Q187" s="6">
        <f>"АОбс. Система продувки диф. коллектора №1 негерметична  "</f>
        <v/>
      </c>
      <c r="R187" s="7">
        <f>IF(N187, S187, "")</f>
        <v/>
      </c>
      <c r="S187" s="7">
        <f>CurrAttrValue(C187, 0)</f>
        <v/>
      </c>
      <c r="T187" s="5">
        <f>IF(K187=-200, "д.вх.", K187)</f>
        <v/>
      </c>
      <c r="U187" s="5">
        <f>IF(L187=-200, "д.вх.", IF(N187, O187, L187))</f>
        <v/>
      </c>
      <c r="V187" s="5">
        <f>CurrAttrValue(G187, 0)</f>
        <v/>
      </c>
      <c r="W187" s="5">
        <f>IF(M187, "Блокирована", IF(N187, "Проверено", "-"))</f>
        <v/>
      </c>
    </row>
    <row r="188" ht="20" customHeight="1">
      <c r="A188">
        <f>"System.PZ.A139"</f>
        <v/>
      </c>
      <c r="B188">
        <f>CONCATENATE($A$2, $A$1, $A188, B$2)</f>
        <v/>
      </c>
      <c r="C188">
        <f>CONCATENATE($A$2, $A$1, $A188, C$2)</f>
        <v/>
      </c>
      <c r="D188">
        <f>CONCATENATE($A$2, $A$1, $A188, D$2)</f>
        <v/>
      </c>
      <c r="E188">
        <f>CONCATENATE($A$2, $A$1, $A188, E$2)</f>
        <v/>
      </c>
      <c r="F188">
        <f>CONCATENATE($A$2, $A$1, $A188, F$2)</f>
        <v/>
      </c>
      <c r="G188">
        <f>CONCATENATE($A$2, $A$1, $A188, G$2)</f>
        <v/>
      </c>
      <c r="H188">
        <f>CONCATENATE($A$2, $A$1, $A188, H$2)</f>
        <v/>
      </c>
      <c r="I188">
        <f>CONCATENATE($A$2, $A$1, $A188, I$2)</f>
        <v/>
      </c>
      <c r="J188">
        <f>CONCATENATE($A$2, $A$1, $A188, J$2)</f>
        <v/>
      </c>
      <c r="K188">
        <f>CurrAttrValue(D188, 0)</f>
        <v/>
      </c>
      <c r="L188">
        <f>CurrAttrValue(E188, 0)</f>
        <v/>
      </c>
      <c r="M188">
        <f>CurrAttrValue(H188, 0)</f>
        <v/>
      </c>
      <c r="N188">
        <f>CurrAttrValue(I188, 0)</f>
        <v/>
      </c>
      <c r="O188">
        <f>CurrAttrValue(J188, 0)</f>
        <v/>
      </c>
      <c r="P188" s="5">
        <f>"140"</f>
        <v/>
      </c>
      <c r="Q188" s="6">
        <f>"ВОбс. Система продувки диф. коллектора №2 негерметична  "</f>
        <v/>
      </c>
      <c r="R188" s="7">
        <f>IF(N188, S188, "")</f>
        <v/>
      </c>
      <c r="S188" s="7">
        <f>CurrAttrValue(C188, 0)</f>
        <v/>
      </c>
      <c r="T188" s="5">
        <f>IF(K188=-200, "д.вх.", K188)</f>
        <v/>
      </c>
      <c r="U188" s="5">
        <f>IF(L188=-200, "д.вх.", IF(N188, O188, L188))</f>
        <v/>
      </c>
      <c r="V188" s="5">
        <f>CurrAttrValue(G188, 0)</f>
        <v/>
      </c>
      <c r="W188" s="5">
        <f>IF(M188, "Блокирована", IF(N188, "Проверено", "-"))</f>
        <v/>
      </c>
    </row>
    <row r="189" ht="20" customHeight="1">
      <c r="A189">
        <f>"System.PZ.A140"</f>
        <v/>
      </c>
      <c r="B189">
        <f>CONCATENATE($A$2, $A$1, $A189, B$2)</f>
        <v/>
      </c>
      <c r="C189">
        <f>CONCATENATE($A$2, $A$1, $A189, C$2)</f>
        <v/>
      </c>
      <c r="D189">
        <f>CONCATENATE($A$2, $A$1, $A189, D$2)</f>
        <v/>
      </c>
      <c r="E189">
        <f>CONCATENATE($A$2, $A$1, $A189, E$2)</f>
        <v/>
      </c>
      <c r="F189">
        <f>CONCATENATE($A$2, $A$1, $A189, F$2)</f>
        <v/>
      </c>
      <c r="G189">
        <f>CONCATENATE($A$2, $A$1, $A189, G$2)</f>
        <v/>
      </c>
      <c r="H189">
        <f>CONCATENATE($A$2, $A$1, $A189, H$2)</f>
        <v/>
      </c>
      <c r="I189">
        <f>CONCATENATE($A$2, $A$1, $A189, I$2)</f>
        <v/>
      </c>
      <c r="J189">
        <f>CONCATENATE($A$2, $A$1, $A189, J$2)</f>
        <v/>
      </c>
      <c r="K189">
        <f>CurrAttrValue(D189, 0)</f>
        <v/>
      </c>
      <c r="L189">
        <f>CurrAttrValue(E189, 0)</f>
        <v/>
      </c>
      <c r="M189">
        <f>CurrAttrValue(H189, 0)</f>
        <v/>
      </c>
      <c r="N189">
        <f>CurrAttrValue(I189, 0)</f>
        <v/>
      </c>
      <c r="O189">
        <f>CurrAttrValue(J189, 0)</f>
        <v/>
      </c>
      <c r="P189" s="5">
        <f>"141"</f>
        <v/>
      </c>
      <c r="Q189" s="6">
        <f>"АОбс. Система продувки диф. коллектора №2 негерметична  "</f>
        <v/>
      </c>
      <c r="R189" s="7">
        <f>IF(N189, S189, "")</f>
        <v/>
      </c>
      <c r="S189" s="7">
        <f>CurrAttrValue(C189, 0)</f>
        <v/>
      </c>
      <c r="T189" s="5">
        <f>IF(K189=-200, "д.вх.", K189)</f>
        <v/>
      </c>
      <c r="U189" s="5">
        <f>IF(L189=-200, "д.вх.", IF(N189, O189, L189))</f>
        <v/>
      </c>
      <c r="V189" s="5">
        <f>CurrAttrValue(G189, 0)</f>
        <v/>
      </c>
      <c r="W189" s="5">
        <f>IF(M189, "Блокирована", IF(N189, "Проверено", "-"))</f>
        <v/>
      </c>
    </row>
    <row r="190" ht="20" customHeight="1">
      <c r="A190">
        <f>"System.PZ.A141"</f>
        <v/>
      </c>
      <c r="B190">
        <f>CONCATENATE($A$2, $A$1, $A190, B$2)</f>
        <v/>
      </c>
      <c r="C190">
        <f>CONCATENATE($A$2, $A$1, $A190, C$2)</f>
        <v/>
      </c>
      <c r="D190">
        <f>CONCATENATE($A$2, $A$1, $A190, D$2)</f>
        <v/>
      </c>
      <c r="E190">
        <f>CONCATENATE($A$2, $A$1, $A190, E$2)</f>
        <v/>
      </c>
      <c r="F190">
        <f>CONCATENATE($A$2, $A$1, $A190, F$2)</f>
        <v/>
      </c>
      <c r="G190">
        <f>CONCATENATE($A$2, $A$1, $A190, G$2)</f>
        <v/>
      </c>
      <c r="H190">
        <f>CONCATENATE($A$2, $A$1, $A190, H$2)</f>
        <v/>
      </c>
      <c r="I190">
        <f>CONCATENATE($A$2, $A$1, $A190, I$2)</f>
        <v/>
      </c>
      <c r="J190">
        <f>CONCATENATE($A$2, $A$1, $A190, J$2)</f>
        <v/>
      </c>
      <c r="K190">
        <f>CurrAttrValue(D190, 0)</f>
        <v/>
      </c>
      <c r="L190">
        <f>CurrAttrValue(E190, 0)</f>
        <v/>
      </c>
      <c r="M190">
        <f>CurrAttrValue(H190, 0)</f>
        <v/>
      </c>
      <c r="N190">
        <f>CurrAttrValue(I190, 0)</f>
        <v/>
      </c>
      <c r="O190">
        <f>CurrAttrValue(J190, 0)</f>
        <v/>
      </c>
      <c r="P190" s="5">
        <f>"142"</f>
        <v/>
      </c>
      <c r="Q190" s="6">
        <f>"АОбс. Нет продувки диффузионных контуров  "</f>
        <v/>
      </c>
      <c r="R190" s="7">
        <f>IF(N190, S190, "")</f>
        <v/>
      </c>
      <c r="S190" s="7">
        <f>CurrAttrValue(C190, 0)</f>
        <v/>
      </c>
      <c r="T190" s="5">
        <f>IF(K190=-200, "д.вх.", K190)</f>
        <v/>
      </c>
      <c r="U190" s="5">
        <f>IF(L190=-200, "д.вх.", IF(N190, O190, L190))</f>
        <v/>
      </c>
      <c r="V190" s="5">
        <f>CurrAttrValue(G190, 0)</f>
        <v/>
      </c>
      <c r="W190" s="5">
        <f>IF(M190, "Блокирована", IF(N190, "Проверено", "-"))</f>
        <v/>
      </c>
    </row>
    <row r="191" ht="20" customHeight="1">
      <c r="A191">
        <f>"System.PZ.A142"</f>
        <v/>
      </c>
      <c r="B191">
        <f>CONCATENATE($A$2, $A$1, $A191, B$2)</f>
        <v/>
      </c>
      <c r="C191">
        <f>CONCATENATE($A$2, $A$1, $A191, C$2)</f>
        <v/>
      </c>
      <c r="D191">
        <f>CONCATENATE($A$2, $A$1, $A191, D$2)</f>
        <v/>
      </c>
      <c r="E191">
        <f>CONCATENATE($A$2, $A$1, $A191, E$2)</f>
        <v/>
      </c>
      <c r="F191">
        <f>CONCATENATE($A$2, $A$1, $A191, F$2)</f>
        <v/>
      </c>
      <c r="G191">
        <f>CONCATENATE($A$2, $A$1, $A191, G$2)</f>
        <v/>
      </c>
      <c r="H191">
        <f>CONCATENATE($A$2, $A$1, $A191, H$2)</f>
        <v/>
      </c>
      <c r="I191">
        <f>CONCATENATE($A$2, $A$1, $A191, I$2)</f>
        <v/>
      </c>
      <c r="J191">
        <f>CONCATENATE($A$2, $A$1, $A191, J$2)</f>
        <v/>
      </c>
      <c r="K191">
        <f>CurrAttrValue(D191, 0)</f>
        <v/>
      </c>
      <c r="L191">
        <f>CurrAttrValue(E191, 0)</f>
        <v/>
      </c>
      <c r="M191">
        <f>CurrAttrValue(H191, 0)</f>
        <v/>
      </c>
      <c r="N191">
        <f>CurrAttrValue(I191, 0)</f>
        <v/>
      </c>
      <c r="O191">
        <f>CurrAttrValue(J191, 0)</f>
        <v/>
      </c>
      <c r="P191" s="5">
        <f>"143"</f>
        <v/>
      </c>
      <c r="Q191" s="6">
        <f>"АОбс. Нет сигнала ""БУШ гомогенный исправен""  "</f>
        <v/>
      </c>
      <c r="R191" s="7">
        <f>IF(N191, S191, "")</f>
        <v/>
      </c>
      <c r="S191" s="7">
        <f>CurrAttrValue(C191, 0)</f>
        <v/>
      </c>
      <c r="T191" s="5">
        <f>IF(K191=-200, "д.вх.", K191)</f>
        <v/>
      </c>
      <c r="U191" s="5">
        <f>IF(L191=-200, "д.вх.", IF(N191, O191, L191))</f>
        <v/>
      </c>
      <c r="V191" s="5">
        <f>CurrAttrValue(G191, 0)</f>
        <v/>
      </c>
      <c r="W191" s="5">
        <f>IF(M191, "Блокирована", IF(N191, "Проверено", "-"))</f>
        <v/>
      </c>
    </row>
    <row r="192" ht="20" customHeight="1">
      <c r="A192">
        <f>"System.PZ.A143"</f>
        <v/>
      </c>
      <c r="B192">
        <f>CONCATENATE($A$2, $A$1, $A192, B$2)</f>
        <v/>
      </c>
      <c r="C192">
        <f>CONCATENATE($A$2, $A$1, $A192, C$2)</f>
        <v/>
      </c>
      <c r="D192">
        <f>CONCATENATE($A$2, $A$1, $A192, D$2)</f>
        <v/>
      </c>
      <c r="E192">
        <f>CONCATENATE($A$2, $A$1, $A192, E$2)</f>
        <v/>
      </c>
      <c r="F192">
        <f>CONCATENATE($A$2, $A$1, $A192, F$2)</f>
        <v/>
      </c>
      <c r="G192">
        <f>CONCATENATE($A$2, $A$1, $A192, G$2)</f>
        <v/>
      </c>
      <c r="H192">
        <f>CONCATENATE($A$2, $A$1, $A192, H$2)</f>
        <v/>
      </c>
      <c r="I192">
        <f>CONCATENATE($A$2, $A$1, $A192, I$2)</f>
        <v/>
      </c>
      <c r="J192">
        <f>CONCATENATE($A$2, $A$1, $A192, J$2)</f>
        <v/>
      </c>
      <c r="K192">
        <f>CurrAttrValue(D192, 0)</f>
        <v/>
      </c>
      <c r="L192">
        <f>CurrAttrValue(E192, 0)</f>
        <v/>
      </c>
      <c r="M192">
        <f>CurrAttrValue(H192, 0)</f>
        <v/>
      </c>
      <c r="N192">
        <f>CurrAttrValue(I192, 0)</f>
        <v/>
      </c>
      <c r="O192">
        <f>CurrAttrValue(J192, 0)</f>
        <v/>
      </c>
      <c r="P192" s="5">
        <f>"144"</f>
        <v/>
      </c>
      <c r="Q192" s="6">
        <f>"АОбс. Нет сигнала ""БУШ диффузионный исправен""  "</f>
        <v/>
      </c>
      <c r="R192" s="7">
        <f>IF(N192, S192, "")</f>
        <v/>
      </c>
      <c r="S192" s="7">
        <f>CurrAttrValue(C192, 0)</f>
        <v/>
      </c>
      <c r="T192" s="5">
        <f>IF(K192=-200, "д.вх.", K192)</f>
        <v/>
      </c>
      <c r="U192" s="5">
        <f>IF(L192=-200, "д.вх.", IF(N192, O192, L192))</f>
        <v/>
      </c>
      <c r="V192" s="5">
        <f>CurrAttrValue(G192, 0)</f>
        <v/>
      </c>
      <c r="W192" s="5">
        <f>IF(M192, "Блокирована", IF(N192, "Проверено", "-"))</f>
        <v/>
      </c>
    </row>
    <row r="193" ht="20" customHeight="1">
      <c r="A193">
        <f>"System.PZ.A144"</f>
        <v/>
      </c>
      <c r="B193">
        <f>CONCATENATE($A$2, $A$1, $A193, B$2)</f>
        <v/>
      </c>
      <c r="C193">
        <f>CONCATENATE($A$2, $A$1, $A193, C$2)</f>
        <v/>
      </c>
      <c r="D193">
        <f>CONCATENATE($A$2, $A$1, $A193, D$2)</f>
        <v/>
      </c>
      <c r="E193">
        <f>CONCATENATE($A$2, $A$1, $A193, E$2)</f>
        <v/>
      </c>
      <c r="F193">
        <f>CONCATENATE($A$2, $A$1, $A193, F$2)</f>
        <v/>
      </c>
      <c r="G193">
        <f>CONCATENATE($A$2, $A$1, $A193, G$2)</f>
        <v/>
      </c>
      <c r="H193">
        <f>CONCATENATE($A$2, $A$1, $A193, H$2)</f>
        <v/>
      </c>
      <c r="I193">
        <f>CONCATENATE($A$2, $A$1, $A193, I$2)</f>
        <v/>
      </c>
      <c r="J193">
        <f>CONCATENATE($A$2, $A$1, $A193, J$2)</f>
        <v/>
      </c>
      <c r="K193">
        <f>CurrAttrValue(D193, 0)</f>
        <v/>
      </c>
      <c r="L193">
        <f>CurrAttrValue(E193, 0)</f>
        <v/>
      </c>
      <c r="M193">
        <f>CurrAttrValue(H193, 0)</f>
        <v/>
      </c>
      <c r="N193">
        <f>CurrAttrValue(I193, 0)</f>
        <v/>
      </c>
      <c r="O193">
        <f>CurrAttrValue(J193, 0)</f>
        <v/>
      </c>
      <c r="P193" s="5">
        <f>"145"</f>
        <v/>
      </c>
      <c r="Q193" s="6">
        <f>"АОбс. Нет сигнала ""БУШ центральный исправен""  "</f>
        <v/>
      </c>
      <c r="R193" s="7">
        <f>IF(N193, S193, "")</f>
        <v/>
      </c>
      <c r="S193" s="7">
        <f>CurrAttrValue(C193, 0)</f>
        <v/>
      </c>
      <c r="T193" s="5">
        <f>IF(K193=-200, "д.вх.", K193)</f>
        <v/>
      </c>
      <c r="U193" s="5">
        <f>IF(L193=-200, "д.вх.", IF(N193, O193, L193))</f>
        <v/>
      </c>
      <c r="V193" s="5">
        <f>CurrAttrValue(G193, 0)</f>
        <v/>
      </c>
      <c r="W193" s="5">
        <f>IF(M193, "Блокирована", IF(N193, "Проверено", "-"))</f>
        <v/>
      </c>
    </row>
    <row r="194" ht="20" customHeight="1">
      <c r="A194">
        <f>"System.PZ.A145"</f>
        <v/>
      </c>
      <c r="B194">
        <f>CONCATENATE($A$2, $A$1, $A194, B$2)</f>
        <v/>
      </c>
      <c r="C194">
        <f>CONCATENATE($A$2, $A$1, $A194, C$2)</f>
        <v/>
      </c>
      <c r="D194">
        <f>CONCATENATE($A$2, $A$1, $A194, D$2)</f>
        <v/>
      </c>
      <c r="E194">
        <f>CONCATENATE($A$2, $A$1, $A194, E$2)</f>
        <v/>
      </c>
      <c r="F194">
        <f>CONCATENATE($A$2, $A$1, $A194, F$2)</f>
        <v/>
      </c>
      <c r="G194">
        <f>CONCATENATE($A$2, $A$1, $A194, G$2)</f>
        <v/>
      </c>
      <c r="H194">
        <f>CONCATENATE($A$2, $A$1, $A194, H$2)</f>
        <v/>
      </c>
      <c r="I194">
        <f>CONCATENATE($A$2, $A$1, $A194, I$2)</f>
        <v/>
      </c>
      <c r="J194">
        <f>CONCATENATE($A$2, $A$1, $A194, J$2)</f>
        <v/>
      </c>
      <c r="K194">
        <f>CurrAttrValue(D194, 0)</f>
        <v/>
      </c>
      <c r="L194">
        <f>CurrAttrValue(E194, 0)</f>
        <v/>
      </c>
      <c r="M194">
        <f>CurrAttrValue(H194, 0)</f>
        <v/>
      </c>
      <c r="N194">
        <f>CurrAttrValue(I194, 0)</f>
        <v/>
      </c>
      <c r="O194">
        <f>CurrAttrValue(J194, 0)</f>
        <v/>
      </c>
      <c r="P194" s="5">
        <f>"146"</f>
        <v/>
      </c>
      <c r="Q194" s="6">
        <f>"АОбс. Газ в КВД от Диф1  "</f>
        <v/>
      </c>
      <c r="R194" s="7">
        <f>IF(N194, S194, "")</f>
        <v/>
      </c>
      <c r="S194" s="7">
        <f>CurrAttrValue(C194, 0)</f>
        <v/>
      </c>
      <c r="T194" s="5">
        <f>IF(K194=-200, "д.вх.", K194)</f>
        <v/>
      </c>
      <c r="U194" s="5">
        <f>IF(L194=-200, "д.вх.", IF(N194, O194, L194))</f>
        <v/>
      </c>
      <c r="V194" s="5">
        <f>CurrAttrValue(G194, 0)</f>
        <v/>
      </c>
      <c r="W194" s="5">
        <f>IF(M194, "Блокирована", IF(N194, "Проверено", "-"))</f>
        <v/>
      </c>
    </row>
    <row r="195" ht="20" customHeight="1">
      <c r="A195">
        <f>"System.PZ.A146"</f>
        <v/>
      </c>
      <c r="B195">
        <f>CONCATENATE($A$2, $A$1, $A195, B$2)</f>
        <v/>
      </c>
      <c r="C195">
        <f>CONCATENATE($A$2, $A$1, $A195, C$2)</f>
        <v/>
      </c>
      <c r="D195">
        <f>CONCATENATE($A$2, $A$1, $A195, D$2)</f>
        <v/>
      </c>
      <c r="E195">
        <f>CONCATENATE($A$2, $A$1, $A195, E$2)</f>
        <v/>
      </c>
      <c r="F195">
        <f>CONCATENATE($A$2, $A$1, $A195, F$2)</f>
        <v/>
      </c>
      <c r="G195">
        <f>CONCATENATE($A$2, $A$1, $A195, G$2)</f>
        <v/>
      </c>
      <c r="H195">
        <f>CONCATENATE($A$2, $A$1, $A195, H$2)</f>
        <v/>
      </c>
      <c r="I195">
        <f>CONCATENATE($A$2, $A$1, $A195, I$2)</f>
        <v/>
      </c>
      <c r="J195">
        <f>CONCATENATE($A$2, $A$1, $A195, J$2)</f>
        <v/>
      </c>
      <c r="K195">
        <f>CurrAttrValue(D195, 0)</f>
        <v/>
      </c>
      <c r="L195">
        <f>CurrAttrValue(E195, 0)</f>
        <v/>
      </c>
      <c r="M195">
        <f>CurrAttrValue(H195, 0)</f>
        <v/>
      </c>
      <c r="N195">
        <f>CurrAttrValue(I195, 0)</f>
        <v/>
      </c>
      <c r="O195">
        <f>CurrAttrValue(J195, 0)</f>
        <v/>
      </c>
      <c r="P195" s="5">
        <f>"147"</f>
        <v/>
      </c>
      <c r="Q195" s="6">
        <f>"АОбс. Газ в КВД от Диф2  "</f>
        <v/>
      </c>
      <c r="R195" s="7">
        <f>IF(N195, S195, "")</f>
        <v/>
      </c>
      <c r="S195" s="7">
        <f>CurrAttrValue(C195, 0)</f>
        <v/>
      </c>
      <c r="T195" s="5">
        <f>IF(K195=-200, "д.вх.", K195)</f>
        <v/>
      </c>
      <c r="U195" s="5">
        <f>IF(L195=-200, "д.вх.", IF(N195, O195, L195))</f>
        <v/>
      </c>
      <c r="V195" s="5">
        <f>CurrAttrValue(G195, 0)</f>
        <v/>
      </c>
      <c r="W195" s="5">
        <f>IF(M195, "Блокирована", IF(N195, "Проверено", "-"))</f>
        <v/>
      </c>
    </row>
    <row r="196" ht="20" customHeight="1">
      <c r="A196">
        <f>"System.PZ.A147"</f>
        <v/>
      </c>
      <c r="B196">
        <f>CONCATENATE($A$2, $A$1, $A196, B$2)</f>
        <v/>
      </c>
      <c r="C196">
        <f>CONCATENATE($A$2, $A$1, $A196, C$2)</f>
        <v/>
      </c>
      <c r="D196">
        <f>CONCATENATE($A$2, $A$1, $A196, D$2)</f>
        <v/>
      </c>
      <c r="E196">
        <f>CONCATENATE($A$2, $A$1, $A196, E$2)</f>
        <v/>
      </c>
      <c r="F196">
        <f>CONCATENATE($A$2, $A$1, $A196, F$2)</f>
        <v/>
      </c>
      <c r="G196">
        <f>CONCATENATE($A$2, $A$1, $A196, G$2)</f>
        <v/>
      </c>
      <c r="H196">
        <f>CONCATENATE($A$2, $A$1, $A196, H$2)</f>
        <v/>
      </c>
      <c r="I196">
        <f>CONCATENATE($A$2, $A$1, $A196, I$2)</f>
        <v/>
      </c>
      <c r="J196">
        <f>CONCATENATE($A$2, $A$1, $A196, J$2)</f>
        <v/>
      </c>
      <c r="K196">
        <f>CurrAttrValue(D196, 0)</f>
        <v/>
      </c>
      <c r="L196">
        <f>CurrAttrValue(E196, 0)</f>
        <v/>
      </c>
      <c r="M196">
        <f>CurrAttrValue(H196, 0)</f>
        <v/>
      </c>
      <c r="N196">
        <f>CurrAttrValue(I196, 0)</f>
        <v/>
      </c>
      <c r="O196">
        <f>CurrAttrValue(J196, 0)</f>
        <v/>
      </c>
      <c r="P196" s="5">
        <f>"148"</f>
        <v/>
      </c>
      <c r="Q196" s="6">
        <f>"АОбс. Положение кранов диффузионного контура №1 не в норме  "</f>
        <v/>
      </c>
      <c r="R196" s="7">
        <f>IF(N196, S196, "")</f>
        <v/>
      </c>
      <c r="S196" s="7">
        <f>CurrAttrValue(C196, 0)</f>
        <v/>
      </c>
      <c r="T196" s="5">
        <f>IF(K196=-200, "д.вх.", K196)</f>
        <v/>
      </c>
      <c r="U196" s="5">
        <f>IF(L196=-200, "д.вх.", IF(N196, O196, L196))</f>
        <v/>
      </c>
      <c r="V196" s="5">
        <f>CurrAttrValue(G196, 0)</f>
        <v/>
      </c>
      <c r="W196" s="5">
        <f>IF(M196, "Блокирована", IF(N196, "Проверено", "-"))</f>
        <v/>
      </c>
    </row>
    <row r="197" ht="20" customHeight="1">
      <c r="A197">
        <f>"System.PZ.A148"</f>
        <v/>
      </c>
      <c r="B197">
        <f>CONCATENATE($A$2, $A$1, $A197, B$2)</f>
        <v/>
      </c>
      <c r="C197">
        <f>CONCATENATE($A$2, $A$1, $A197, C$2)</f>
        <v/>
      </c>
      <c r="D197">
        <f>CONCATENATE($A$2, $A$1, $A197, D$2)</f>
        <v/>
      </c>
      <c r="E197">
        <f>CONCATENATE($A$2, $A$1, $A197, E$2)</f>
        <v/>
      </c>
      <c r="F197">
        <f>CONCATENATE($A$2, $A$1, $A197, F$2)</f>
        <v/>
      </c>
      <c r="G197">
        <f>CONCATENATE($A$2, $A$1, $A197, G$2)</f>
        <v/>
      </c>
      <c r="H197">
        <f>CONCATENATE($A$2, $A$1, $A197, H$2)</f>
        <v/>
      </c>
      <c r="I197">
        <f>CONCATENATE($A$2, $A$1, $A197, I$2)</f>
        <v/>
      </c>
      <c r="J197">
        <f>CONCATENATE($A$2, $A$1, $A197, J$2)</f>
        <v/>
      </c>
      <c r="K197">
        <f>CurrAttrValue(D197, 0)</f>
        <v/>
      </c>
      <c r="L197">
        <f>CurrAttrValue(E197, 0)</f>
        <v/>
      </c>
      <c r="M197">
        <f>CurrAttrValue(H197, 0)</f>
        <v/>
      </c>
      <c r="N197">
        <f>CurrAttrValue(I197, 0)</f>
        <v/>
      </c>
      <c r="O197">
        <f>CurrAttrValue(J197, 0)</f>
        <v/>
      </c>
      <c r="P197" s="5">
        <f>"149"</f>
        <v/>
      </c>
      <c r="Q197" s="6">
        <f>"АОбс. Положение кранов диффузионного контура №2 не в норме  "</f>
        <v/>
      </c>
      <c r="R197" s="7">
        <f>IF(N197, S197, "")</f>
        <v/>
      </c>
      <c r="S197" s="7">
        <f>CurrAttrValue(C197, 0)</f>
        <v/>
      </c>
      <c r="T197" s="5">
        <f>IF(K197=-200, "д.вх.", K197)</f>
        <v/>
      </c>
      <c r="U197" s="5">
        <f>IF(L197=-200, "д.вх.", IF(N197, O197, L197))</f>
        <v/>
      </c>
      <c r="V197" s="5">
        <f>CurrAttrValue(G197, 0)</f>
        <v/>
      </c>
      <c r="W197" s="5">
        <f>IF(M197, "Блокирована", IF(N197, "Проверено", "-"))</f>
        <v/>
      </c>
    </row>
    <row r="198" ht="20" customHeight="1">
      <c r="A198">
        <f>"System.PZ.A149"</f>
        <v/>
      </c>
      <c r="B198">
        <f>CONCATENATE($A$2, $A$1, $A198, B$2)</f>
        <v/>
      </c>
      <c r="C198">
        <f>CONCATENATE($A$2, $A$1, $A198, C$2)</f>
        <v/>
      </c>
      <c r="D198">
        <f>CONCATENATE($A$2, $A$1, $A198, D$2)</f>
        <v/>
      </c>
      <c r="E198">
        <f>CONCATENATE($A$2, $A$1, $A198, E$2)</f>
        <v/>
      </c>
      <c r="F198">
        <f>CONCATENATE($A$2, $A$1, $A198, F$2)</f>
        <v/>
      </c>
      <c r="G198">
        <f>CONCATENATE($A$2, $A$1, $A198, G$2)</f>
        <v/>
      </c>
      <c r="H198">
        <f>CONCATENATE($A$2, $A$1, $A198, H$2)</f>
        <v/>
      </c>
      <c r="I198">
        <f>CONCATENATE($A$2, $A$1, $A198, I$2)</f>
        <v/>
      </c>
      <c r="J198">
        <f>CONCATENATE($A$2, $A$1, $A198, J$2)</f>
        <v/>
      </c>
      <c r="K198">
        <f>CurrAttrValue(D198, 0)</f>
        <v/>
      </c>
      <c r="L198">
        <f>CurrAttrValue(E198, 0)</f>
        <v/>
      </c>
      <c r="M198">
        <f>CurrAttrValue(H198, 0)</f>
        <v/>
      </c>
      <c r="N198">
        <f>CurrAttrValue(I198, 0)</f>
        <v/>
      </c>
      <c r="O198">
        <f>CurrAttrValue(J198, 0)</f>
        <v/>
      </c>
      <c r="P198" s="5">
        <f>"150"</f>
        <v/>
      </c>
      <c r="Q198" s="6">
        <f>"АОбс. Утечка продувки  "</f>
        <v/>
      </c>
      <c r="R198" s="7">
        <f>IF(N198, S198, "")</f>
        <v/>
      </c>
      <c r="S198" s="7">
        <f>CurrAttrValue(C198, 0)</f>
        <v/>
      </c>
      <c r="T198" s="5">
        <f>IF(K198=-200, "д.вх.", K198)</f>
        <v/>
      </c>
      <c r="U198" s="5">
        <f>IF(L198=-200, "д.вх.", IF(N198, O198, L198))</f>
        <v/>
      </c>
      <c r="V198" s="5">
        <f>CurrAttrValue(G198, 0)</f>
        <v/>
      </c>
      <c r="W198" s="5">
        <f>IF(M198, "Блокирована", IF(N198, "Проверено", "-"))</f>
        <v/>
      </c>
    </row>
    <row r="199" ht="20" customHeight="1">
      <c r="A199">
        <f>"System.PZ.A150"</f>
        <v/>
      </c>
      <c r="B199">
        <f>CONCATENATE($A$2, $A$1, $A199, B$2)</f>
        <v/>
      </c>
      <c r="C199">
        <f>CONCATENATE($A$2, $A$1, $A199, C$2)</f>
        <v/>
      </c>
      <c r="D199">
        <f>CONCATENATE($A$2, $A$1, $A199, D$2)</f>
        <v/>
      </c>
      <c r="E199">
        <f>CONCATENATE($A$2, $A$1, $A199, E$2)</f>
        <v/>
      </c>
      <c r="F199">
        <f>CONCATENATE($A$2, $A$1, $A199, F$2)</f>
        <v/>
      </c>
      <c r="G199">
        <f>CONCATENATE($A$2, $A$1, $A199, G$2)</f>
        <v/>
      </c>
      <c r="H199">
        <f>CONCATENATE($A$2, $A$1, $A199, H$2)</f>
        <v/>
      </c>
      <c r="I199">
        <f>CONCATENATE($A$2, $A$1, $A199, I$2)</f>
        <v/>
      </c>
      <c r="J199">
        <f>CONCATENATE($A$2, $A$1, $A199, J$2)</f>
        <v/>
      </c>
      <c r="K199">
        <f>CurrAttrValue(D199, 0)</f>
        <v/>
      </c>
      <c r="L199">
        <f>CurrAttrValue(E199, 0)</f>
        <v/>
      </c>
      <c r="M199">
        <f>CurrAttrValue(H199, 0)</f>
        <v/>
      </c>
      <c r="N199">
        <f>CurrAttrValue(I199, 0)</f>
        <v/>
      </c>
      <c r="O199">
        <f>CurrAttrValue(J199, 0)</f>
        <v/>
      </c>
      <c r="P199" s="5">
        <f>"151"</f>
        <v/>
      </c>
      <c r="Q199" s="6">
        <f>"ВОбс. Опасная вибрация двигателя  "</f>
        <v/>
      </c>
      <c r="R199" s="7">
        <f>IF(N199, S199, "")</f>
        <v/>
      </c>
      <c r="S199" s="7">
        <f>CurrAttrValue(C199, 0)</f>
        <v/>
      </c>
      <c r="T199" s="5">
        <f>IF(K199=-200, "д.вх.", K199)</f>
        <v/>
      </c>
      <c r="U199" s="5">
        <f>IF(L199=-200, "д.вх.", IF(N199, O199, L199))</f>
        <v/>
      </c>
      <c r="V199" s="5">
        <f>CurrAttrValue(G199, 0)</f>
        <v/>
      </c>
      <c r="W199" s="5">
        <f>IF(M199, "Блокирована", IF(N199, "Проверено", "-"))</f>
        <v/>
      </c>
    </row>
    <row r="200" ht="20" customHeight="1">
      <c r="A200">
        <f>"System.PZ.A151"</f>
        <v/>
      </c>
      <c r="B200">
        <f>CONCATENATE($A$2, $A$1, $A200, B$2)</f>
        <v/>
      </c>
      <c r="C200">
        <f>CONCATENATE($A$2, $A$1, $A200, C$2)</f>
        <v/>
      </c>
      <c r="D200">
        <f>CONCATENATE($A$2, $A$1, $A200, D$2)</f>
        <v/>
      </c>
      <c r="E200">
        <f>CONCATENATE($A$2, $A$1, $A200, E$2)</f>
        <v/>
      </c>
      <c r="F200">
        <f>CONCATENATE($A$2, $A$1, $A200, F$2)</f>
        <v/>
      </c>
      <c r="G200">
        <f>CONCATENATE($A$2, $A$1, $A200, G$2)</f>
        <v/>
      </c>
      <c r="H200">
        <f>CONCATENATE($A$2, $A$1, $A200, H$2)</f>
        <v/>
      </c>
      <c r="I200">
        <f>CONCATENATE($A$2, $A$1, $A200, I$2)</f>
        <v/>
      </c>
      <c r="J200">
        <f>CONCATENATE($A$2, $A$1, $A200, J$2)</f>
        <v/>
      </c>
      <c r="K200">
        <f>CurrAttrValue(D200, 0)</f>
        <v/>
      </c>
      <c r="L200">
        <f>CurrAttrValue(E200, 0)</f>
        <v/>
      </c>
      <c r="M200">
        <f>CurrAttrValue(H200, 0)</f>
        <v/>
      </c>
      <c r="N200">
        <f>CurrAttrValue(I200, 0)</f>
        <v/>
      </c>
      <c r="O200">
        <f>CurrAttrValue(J200, 0)</f>
        <v/>
      </c>
      <c r="P200" s="5">
        <f>"152"</f>
        <v/>
      </c>
      <c r="Q200" s="6">
        <f>"ВОбс. Нет продувки диффузионного коллектора № 1  "</f>
        <v/>
      </c>
      <c r="R200" s="7">
        <f>IF(N200, S200, "")</f>
        <v/>
      </c>
      <c r="S200" s="7">
        <f>CurrAttrValue(C200, 0)</f>
        <v/>
      </c>
      <c r="T200" s="5">
        <f>IF(K200=-200, "д.вх.", K200)</f>
        <v/>
      </c>
      <c r="U200" s="5">
        <f>IF(L200=-200, "д.вх.", IF(N200, O200, L200))</f>
        <v/>
      </c>
      <c r="V200" s="5">
        <f>CurrAttrValue(G200, 0)</f>
        <v/>
      </c>
      <c r="W200" s="5">
        <f>IF(M200, "Блокирована", IF(N200, "Проверено", "-"))</f>
        <v/>
      </c>
    </row>
    <row r="201" ht="20" customHeight="1">
      <c r="A201">
        <f>"System.PZ.A152"</f>
        <v/>
      </c>
      <c r="B201">
        <f>CONCATENATE($A$2, $A$1, $A201, B$2)</f>
        <v/>
      </c>
      <c r="C201">
        <f>CONCATENATE($A$2, $A$1, $A201, C$2)</f>
        <v/>
      </c>
      <c r="D201">
        <f>CONCATENATE($A$2, $A$1, $A201, D$2)</f>
        <v/>
      </c>
      <c r="E201">
        <f>CONCATENATE($A$2, $A$1, $A201, E$2)</f>
        <v/>
      </c>
      <c r="F201">
        <f>CONCATENATE($A$2, $A$1, $A201, F$2)</f>
        <v/>
      </c>
      <c r="G201">
        <f>CONCATENATE($A$2, $A$1, $A201, G$2)</f>
        <v/>
      </c>
      <c r="H201">
        <f>CONCATENATE($A$2, $A$1, $A201, H$2)</f>
        <v/>
      </c>
      <c r="I201">
        <f>CONCATENATE($A$2, $A$1, $A201, I$2)</f>
        <v/>
      </c>
      <c r="J201">
        <f>CONCATENATE($A$2, $A$1, $A201, J$2)</f>
        <v/>
      </c>
      <c r="K201">
        <f>CurrAttrValue(D201, 0)</f>
        <v/>
      </c>
      <c r="L201">
        <f>CurrAttrValue(E201, 0)</f>
        <v/>
      </c>
      <c r="M201">
        <f>CurrAttrValue(H201, 0)</f>
        <v/>
      </c>
      <c r="N201">
        <f>CurrAttrValue(I201, 0)</f>
        <v/>
      </c>
      <c r="O201">
        <f>CurrAttrValue(J201, 0)</f>
        <v/>
      </c>
      <c r="P201" s="5">
        <f>"153"</f>
        <v/>
      </c>
      <c r="Q201" s="6">
        <f>"ВОбс. Нет продувки диффузионного коллектора № 2  "</f>
        <v/>
      </c>
      <c r="R201" s="7">
        <f>IF(N201, S201, "")</f>
        <v/>
      </c>
      <c r="S201" s="7">
        <f>CurrAttrValue(C201, 0)</f>
        <v/>
      </c>
      <c r="T201" s="5">
        <f>IF(K201=-200, "д.вх.", K201)</f>
        <v/>
      </c>
      <c r="U201" s="5">
        <f>IF(L201=-200, "д.вх.", IF(N201, O201, L201))</f>
        <v/>
      </c>
      <c r="V201" s="5">
        <f>CurrAttrValue(G201, 0)</f>
        <v/>
      </c>
      <c r="W201" s="5">
        <f>IF(M201, "Блокирована", IF(N201, "Проверено", "-"))</f>
        <v/>
      </c>
    </row>
    <row r="202" ht="20" customHeight="1">
      <c r="A202">
        <f>"System.PZ.A153"</f>
        <v/>
      </c>
      <c r="B202">
        <f>CONCATENATE($A$2, $A$1, $A202, B$2)</f>
        <v/>
      </c>
      <c r="C202">
        <f>CONCATENATE($A$2, $A$1, $A202, C$2)</f>
        <v/>
      </c>
      <c r="D202">
        <f>CONCATENATE($A$2, $A$1, $A202, D$2)</f>
        <v/>
      </c>
      <c r="E202">
        <f>CONCATENATE($A$2, $A$1, $A202, E$2)</f>
        <v/>
      </c>
      <c r="F202">
        <f>CONCATENATE($A$2, $A$1, $A202, F$2)</f>
        <v/>
      </c>
      <c r="G202">
        <f>CONCATENATE($A$2, $A$1, $A202, G$2)</f>
        <v/>
      </c>
      <c r="H202">
        <f>CONCATENATE($A$2, $A$1, $A202, H$2)</f>
        <v/>
      </c>
      <c r="I202">
        <f>CONCATENATE($A$2, $A$1, $A202, I$2)</f>
        <v/>
      </c>
      <c r="J202">
        <f>CONCATENATE($A$2, $A$1, $A202, J$2)</f>
        <v/>
      </c>
      <c r="K202">
        <f>CurrAttrValue(D202, 0)</f>
        <v/>
      </c>
      <c r="L202">
        <f>CurrAttrValue(E202, 0)</f>
        <v/>
      </c>
      <c r="M202">
        <f>CurrAttrValue(H202, 0)</f>
        <v/>
      </c>
      <c r="N202">
        <f>CurrAttrValue(I202, 0)</f>
        <v/>
      </c>
      <c r="O202">
        <f>CurrAttrValue(J202, 0)</f>
        <v/>
      </c>
      <c r="P202" s="5">
        <f>"154"</f>
        <v/>
      </c>
      <c r="Q202" s="6">
        <f>"ВОбс. Повышенная температура на выходе из АВО-11 по диф 1  "</f>
        <v/>
      </c>
      <c r="R202" s="7">
        <f>IF(N202, S202, "")</f>
        <v/>
      </c>
      <c r="S202" s="7">
        <f>CurrAttrValue(C202, 0)</f>
        <v/>
      </c>
      <c r="T202" s="5">
        <f>IF(K202=-200, "д.вх.", K202)</f>
        <v/>
      </c>
      <c r="U202" s="5">
        <f>IF(L202=-200, "д.вх.", IF(N202, O202, L202))</f>
        <v/>
      </c>
      <c r="V202" s="5">
        <f>CurrAttrValue(G202, 0)</f>
        <v/>
      </c>
      <c r="W202" s="5">
        <f>IF(M202, "Блокирована", IF(N202, "Проверено", "-"))</f>
        <v/>
      </c>
    </row>
    <row r="203" ht="20" customHeight="1">
      <c r="A203">
        <f>"System.PZ.A154"</f>
        <v/>
      </c>
      <c r="B203">
        <f>CONCATENATE($A$2, $A$1, $A203, B$2)</f>
        <v/>
      </c>
      <c r="C203">
        <f>CONCATENATE($A$2, $A$1, $A203, C$2)</f>
        <v/>
      </c>
      <c r="D203">
        <f>CONCATENATE($A$2, $A$1, $A203, D$2)</f>
        <v/>
      </c>
      <c r="E203">
        <f>CONCATENATE($A$2, $A$1, $A203, E$2)</f>
        <v/>
      </c>
      <c r="F203">
        <f>CONCATENATE($A$2, $A$1, $A203, F$2)</f>
        <v/>
      </c>
      <c r="G203">
        <f>CONCATENATE($A$2, $A$1, $A203, G$2)</f>
        <v/>
      </c>
      <c r="H203">
        <f>CONCATENATE($A$2, $A$1, $A203, H$2)</f>
        <v/>
      </c>
      <c r="I203">
        <f>CONCATENATE($A$2, $A$1, $A203, I$2)</f>
        <v/>
      </c>
      <c r="J203">
        <f>CONCATENATE($A$2, $A$1, $A203, J$2)</f>
        <v/>
      </c>
      <c r="K203">
        <f>CurrAttrValue(D203, 0)</f>
        <v/>
      </c>
      <c r="L203">
        <f>CurrAttrValue(E203, 0)</f>
        <v/>
      </c>
      <c r="M203">
        <f>CurrAttrValue(H203, 0)</f>
        <v/>
      </c>
      <c r="N203">
        <f>CurrAttrValue(I203, 0)</f>
        <v/>
      </c>
      <c r="O203">
        <f>CurrAttrValue(J203, 0)</f>
        <v/>
      </c>
      <c r="P203" s="5">
        <f>"155"</f>
        <v/>
      </c>
      <c r="Q203" s="6">
        <f>"ВОбс. Повышенная температура на выходе из АВО-11 по диф 2  "</f>
        <v/>
      </c>
      <c r="R203" s="7">
        <f>IF(N203, S203, "")</f>
        <v/>
      </c>
      <c r="S203" s="7">
        <f>CurrAttrValue(C203, 0)</f>
        <v/>
      </c>
      <c r="T203" s="5">
        <f>IF(K203=-200, "д.вх.", K203)</f>
        <v/>
      </c>
      <c r="U203" s="5">
        <f>IF(L203=-200, "д.вх.", IF(N203, O203, L203))</f>
        <v/>
      </c>
      <c r="V203" s="5">
        <f>CurrAttrValue(G203, 0)</f>
        <v/>
      </c>
      <c r="W203" s="5">
        <f>IF(M203, "Блокирована", IF(N203, "Проверено", "-"))</f>
        <v/>
      </c>
    </row>
    <row r="204" ht="20" customHeight="1">
      <c r="A204">
        <f>"System.PZ.A155"</f>
        <v/>
      </c>
      <c r="B204">
        <f>CONCATENATE($A$2, $A$1, $A204, B$2)</f>
        <v/>
      </c>
      <c r="C204">
        <f>CONCATENATE($A$2, $A$1, $A204, C$2)</f>
        <v/>
      </c>
      <c r="D204">
        <f>CONCATENATE($A$2, $A$1, $A204, D$2)</f>
        <v/>
      </c>
      <c r="E204">
        <f>CONCATENATE($A$2, $A$1, $A204, E$2)</f>
        <v/>
      </c>
      <c r="F204">
        <f>CONCATENATE($A$2, $A$1, $A204, F$2)</f>
        <v/>
      </c>
      <c r="G204">
        <f>CONCATENATE($A$2, $A$1, $A204, G$2)</f>
        <v/>
      </c>
      <c r="H204">
        <f>CONCATENATE($A$2, $A$1, $A204, H$2)</f>
        <v/>
      </c>
      <c r="I204">
        <f>CONCATENATE($A$2, $A$1, $A204, I$2)</f>
        <v/>
      </c>
      <c r="J204">
        <f>CONCATENATE($A$2, $A$1, $A204, J$2)</f>
        <v/>
      </c>
      <c r="K204">
        <f>CurrAttrValue(D204, 0)</f>
        <v/>
      </c>
      <c r="L204">
        <f>CurrAttrValue(E204, 0)</f>
        <v/>
      </c>
      <c r="M204">
        <f>CurrAttrValue(H204, 0)</f>
        <v/>
      </c>
      <c r="N204">
        <f>CurrAttrValue(I204, 0)</f>
        <v/>
      </c>
      <c r="O204">
        <f>CurrAttrValue(J204, 0)</f>
        <v/>
      </c>
      <c r="P204" s="5">
        <f>"156"</f>
        <v/>
      </c>
      <c r="Q204" s="6">
        <f>"АОбс. Повышенное давление пускового газа за СтВ  "</f>
        <v/>
      </c>
      <c r="R204" s="7">
        <f>IF(N204, S204, "")</f>
        <v/>
      </c>
      <c r="S204" s="7">
        <f>CurrAttrValue(C204, 0)</f>
        <v/>
      </c>
      <c r="T204" s="5">
        <f>IF(K204=-200, "д.вх.", K204)</f>
        <v/>
      </c>
      <c r="U204" s="5">
        <f>IF(L204=-200, "д.вх.", IF(N204, O204, L204))</f>
        <v/>
      </c>
      <c r="V204" s="5">
        <f>CurrAttrValue(G204, 0)</f>
        <v/>
      </c>
      <c r="W204" s="5">
        <f>IF(M204, "Блокирована", IF(N204, "Проверено", "-"))</f>
        <v/>
      </c>
    </row>
    <row r="207" ht="35" customHeight="1">
      <c r="Q207" s="8">
        <f>"должность"</f>
        <v/>
      </c>
      <c r="R207" s="9" t="n"/>
      <c r="S207" s="8">
        <f>"ФИО"</f>
        <v/>
      </c>
      <c r="T207" s="9" t="n"/>
      <c r="U207" s="8">
        <f>"подпись"</f>
        <v/>
      </c>
    </row>
    <row r="208" ht="35" customHeight="1">
      <c r="Q208" s="8">
        <f>"должность"</f>
        <v/>
      </c>
      <c r="R208" s="9" t="n"/>
      <c r="S208" s="8">
        <f>"ФИО"</f>
        <v/>
      </c>
      <c r="T208" s="9" t="n"/>
      <c r="U208" s="8">
        <f>"подпись"</f>
        <v/>
      </c>
    </row>
    <row r="209" ht="35" customHeight="1">
      <c r="Q209" s="8">
        <f>"должность"</f>
        <v/>
      </c>
      <c r="R209" s="9" t="n"/>
      <c r="S209" s="8">
        <f>"ФИО"</f>
        <v/>
      </c>
      <c r="T209" s="9" t="n"/>
      <c r="U209" s="8">
        <f>"подпись"</f>
        <v/>
      </c>
    </row>
    <row r="211" ht="25" customHeight="1">
      <c r="Q211" s="1">
        <f>"Протокол проверки защит ГПА3 на "</f>
        <v/>
      </c>
      <c r="R211" s="2">
        <f>R1</f>
        <v/>
      </c>
      <c r="S211" s="3">
        <f>S1</f>
        <v/>
      </c>
    </row>
    <row r="213" ht="20" customHeight="1">
      <c r="P213" s="4">
        <f>"№"</f>
        <v/>
      </c>
      <c r="Q213" s="4">
        <f>"Наименование защиты  "</f>
        <v/>
      </c>
      <c r="R213" s="4">
        <f>"Таймер"</f>
        <v/>
      </c>
      <c r="S213" s="4">
        <f>"Задержка"</f>
        <v/>
      </c>
      <c r="T213" s="4">
        <f>"Уставка"</f>
        <v/>
      </c>
      <c r="U213" s="4">
        <f>"Значение"</f>
        <v/>
      </c>
      <c r="V213" s="4">
        <f>"Eд.изм"</f>
        <v/>
      </c>
      <c r="W213" s="4">
        <f>"Отметка о проверке"</f>
        <v/>
      </c>
    </row>
    <row r="214" ht="20" customHeight="1">
      <c r="A214">
        <f>"System.PZ.A156"</f>
        <v/>
      </c>
      <c r="B214">
        <f>CONCATENATE($A$2, $A$1, $A214, B$2)</f>
        <v/>
      </c>
      <c r="C214">
        <f>CONCATENATE($A$2, $A$1, $A214, C$2)</f>
        <v/>
      </c>
      <c r="D214">
        <f>CONCATENATE($A$2, $A$1, $A214, D$2)</f>
        <v/>
      </c>
      <c r="E214">
        <f>CONCATENATE($A$2, $A$1, $A214, E$2)</f>
        <v/>
      </c>
      <c r="F214">
        <f>CONCATENATE($A$2, $A$1, $A214, F$2)</f>
        <v/>
      </c>
      <c r="G214">
        <f>CONCATENATE($A$2, $A$1, $A214, G$2)</f>
        <v/>
      </c>
      <c r="H214">
        <f>CONCATENATE($A$2, $A$1, $A214, H$2)</f>
        <v/>
      </c>
      <c r="I214">
        <f>CONCATENATE($A$2, $A$1, $A214, I$2)</f>
        <v/>
      </c>
      <c r="J214">
        <f>CONCATENATE($A$2, $A$1, $A214, J$2)</f>
        <v/>
      </c>
      <c r="K214">
        <f>CurrAttrValue(D214, 0)</f>
        <v/>
      </c>
      <c r="L214">
        <f>CurrAttrValue(E214, 0)</f>
        <v/>
      </c>
      <c r="M214">
        <f>CurrAttrValue(H214, 0)</f>
        <v/>
      </c>
      <c r="N214">
        <f>CurrAttrValue(I214, 0)</f>
        <v/>
      </c>
      <c r="O214">
        <f>CurrAttrValue(J214, 0)</f>
        <v/>
      </c>
      <c r="P214" s="5">
        <f>"157"</f>
        <v/>
      </c>
      <c r="Q214" s="6">
        <f>"ВОбс. Стружка в ФС  "</f>
        <v/>
      </c>
      <c r="R214" s="7">
        <f>IF(N214, S214, "")</f>
        <v/>
      </c>
      <c r="S214" s="7">
        <f>CurrAttrValue(C214, 0)</f>
        <v/>
      </c>
      <c r="T214" s="5">
        <f>IF(K214=-200, "д.вх.", K214)</f>
        <v/>
      </c>
      <c r="U214" s="5">
        <f>IF(L214=-200, "д.вх.", IF(N214, O214, L214))</f>
        <v/>
      </c>
      <c r="V214" s="5">
        <f>CurrAttrValue(G214, 0)</f>
        <v/>
      </c>
      <c r="W214" s="5">
        <f>IF(M214, "Блокирована", IF(N214, "Проверено", "-"))</f>
        <v/>
      </c>
    </row>
    <row r="215" ht="20" customHeight="1">
      <c r="A215">
        <f>"System.PZ.A157"</f>
        <v/>
      </c>
      <c r="B215">
        <f>CONCATENATE($A$2, $A$1, $A215, B$2)</f>
        <v/>
      </c>
      <c r="C215">
        <f>CONCATENATE($A$2, $A$1, $A215, C$2)</f>
        <v/>
      </c>
      <c r="D215">
        <f>CONCATENATE($A$2, $A$1, $A215, D$2)</f>
        <v/>
      </c>
      <c r="E215">
        <f>CONCATENATE($A$2, $A$1, $A215, E$2)</f>
        <v/>
      </c>
      <c r="F215">
        <f>CONCATENATE($A$2, $A$1, $A215, F$2)</f>
        <v/>
      </c>
      <c r="G215">
        <f>CONCATENATE($A$2, $A$1, $A215, G$2)</f>
        <v/>
      </c>
      <c r="H215">
        <f>CONCATENATE($A$2, $A$1, $A215, H$2)</f>
        <v/>
      </c>
      <c r="I215">
        <f>CONCATENATE($A$2, $A$1, $A215, I$2)</f>
        <v/>
      </c>
      <c r="J215">
        <f>CONCATENATE($A$2, $A$1, $A215, J$2)</f>
        <v/>
      </c>
      <c r="K215">
        <f>CurrAttrValue(D215, 0)</f>
        <v/>
      </c>
      <c r="L215">
        <f>CurrAttrValue(E215, 0)</f>
        <v/>
      </c>
      <c r="M215">
        <f>CurrAttrValue(H215, 0)</f>
        <v/>
      </c>
      <c r="N215">
        <f>CurrAttrValue(I215, 0)</f>
        <v/>
      </c>
      <c r="O215">
        <f>CurrAttrValue(J215, 0)</f>
        <v/>
      </c>
      <c r="P215" s="5">
        <f>"158"</f>
        <v/>
      </c>
      <c r="Q215" s="6">
        <f>"ВОбс. Стружка в масле КП  "</f>
        <v/>
      </c>
      <c r="R215" s="7">
        <f>IF(N215, S215, "")</f>
        <v/>
      </c>
      <c r="S215" s="7">
        <f>CurrAttrValue(C215, 0)</f>
        <v/>
      </c>
      <c r="T215" s="5">
        <f>IF(K215=-200, "д.вх.", K215)</f>
        <v/>
      </c>
      <c r="U215" s="5">
        <f>IF(L215=-200, "д.вх.", IF(N215, O215, L215))</f>
        <v/>
      </c>
      <c r="V215" s="5">
        <f>CurrAttrValue(G215, 0)</f>
        <v/>
      </c>
      <c r="W215" s="5">
        <f>IF(M215, "Блокирована", IF(N215, "Проверено", "-"))</f>
        <v/>
      </c>
    </row>
    <row r="216" ht="20" customHeight="1">
      <c r="A216">
        <f>"System.PZ.A158"</f>
        <v/>
      </c>
      <c r="B216">
        <f>CONCATENATE($A$2, $A$1, $A216, B$2)</f>
        <v/>
      </c>
      <c r="C216">
        <f>CONCATENATE($A$2, $A$1, $A216, C$2)</f>
        <v/>
      </c>
      <c r="D216">
        <f>CONCATENATE($A$2, $A$1, $A216, D$2)</f>
        <v/>
      </c>
      <c r="E216">
        <f>CONCATENATE($A$2, $A$1, $A216, E$2)</f>
        <v/>
      </c>
      <c r="F216">
        <f>CONCATENATE($A$2, $A$1, $A216, F$2)</f>
        <v/>
      </c>
      <c r="G216">
        <f>CONCATENATE($A$2, $A$1, $A216, G$2)</f>
        <v/>
      </c>
      <c r="H216">
        <f>CONCATENATE($A$2, $A$1, $A216, H$2)</f>
        <v/>
      </c>
      <c r="I216">
        <f>CONCATENATE($A$2, $A$1, $A216, I$2)</f>
        <v/>
      </c>
      <c r="J216">
        <f>CONCATENATE($A$2, $A$1, $A216, J$2)</f>
        <v/>
      </c>
      <c r="K216">
        <f>CurrAttrValue(D216, 0)</f>
        <v/>
      </c>
      <c r="L216">
        <f>CurrAttrValue(E216, 0)</f>
        <v/>
      </c>
      <c r="M216">
        <f>CurrAttrValue(H216, 0)</f>
        <v/>
      </c>
      <c r="N216">
        <f>CurrAttrValue(I216, 0)</f>
        <v/>
      </c>
      <c r="O216">
        <f>CurrAttrValue(J216, 0)</f>
        <v/>
      </c>
      <c r="P216" s="5">
        <f>"159"</f>
        <v/>
      </c>
      <c r="Q216" s="6">
        <f>"ВОбс. Стружка в масле откачки от РП ТВД  "</f>
        <v/>
      </c>
      <c r="R216" s="7">
        <f>IF(N216, S216, "")</f>
        <v/>
      </c>
      <c r="S216" s="7">
        <f>CurrAttrValue(C216, 0)</f>
        <v/>
      </c>
      <c r="T216" s="5">
        <f>IF(K216=-200, "д.вх.", K216)</f>
        <v/>
      </c>
      <c r="U216" s="5">
        <f>IF(L216=-200, "д.вх.", IF(N216, O216, L216))</f>
        <v/>
      </c>
      <c r="V216" s="5">
        <f>CurrAttrValue(G216, 0)</f>
        <v/>
      </c>
      <c r="W216" s="5">
        <f>IF(M216, "Блокирована", IF(N216, "Проверено", "-"))</f>
        <v/>
      </c>
    </row>
    <row r="217" ht="20" customHeight="1">
      <c r="A217">
        <f>"System.PZ.A159"</f>
        <v/>
      </c>
      <c r="B217">
        <f>CONCATENATE($A$2, $A$1, $A217, B$2)</f>
        <v/>
      </c>
      <c r="C217">
        <f>CONCATENATE($A$2, $A$1, $A217, C$2)</f>
        <v/>
      </c>
      <c r="D217">
        <f>CONCATENATE($A$2, $A$1, $A217, D$2)</f>
        <v/>
      </c>
      <c r="E217">
        <f>CONCATENATE($A$2, $A$1, $A217, E$2)</f>
        <v/>
      </c>
      <c r="F217">
        <f>CONCATENATE($A$2, $A$1, $A217, F$2)</f>
        <v/>
      </c>
      <c r="G217">
        <f>CONCATENATE($A$2, $A$1, $A217, G$2)</f>
        <v/>
      </c>
      <c r="H217">
        <f>CONCATENATE($A$2, $A$1, $A217, H$2)</f>
        <v/>
      </c>
      <c r="I217">
        <f>CONCATENATE($A$2, $A$1, $A217, I$2)</f>
        <v/>
      </c>
      <c r="J217">
        <f>CONCATENATE($A$2, $A$1, $A217, J$2)</f>
        <v/>
      </c>
      <c r="K217">
        <f>CurrAttrValue(D217, 0)</f>
        <v/>
      </c>
      <c r="L217">
        <f>CurrAttrValue(E217, 0)</f>
        <v/>
      </c>
      <c r="M217">
        <f>CurrAttrValue(H217, 0)</f>
        <v/>
      </c>
      <c r="N217">
        <f>CurrAttrValue(I217, 0)</f>
        <v/>
      </c>
      <c r="O217">
        <f>CurrAttrValue(J217, 0)</f>
        <v/>
      </c>
      <c r="P217" s="5">
        <f>"160"</f>
        <v/>
      </c>
      <c r="Q217" s="6">
        <f>"АОбс. Время запуска велико  "</f>
        <v/>
      </c>
      <c r="R217" s="7">
        <f>IF(N217, S217, "")</f>
        <v/>
      </c>
      <c r="S217" s="7">
        <f>CurrAttrValue(C217, 0)</f>
        <v/>
      </c>
      <c r="T217" s="5">
        <f>IF(K217=-200, "д.вх.", K217)</f>
        <v/>
      </c>
      <c r="U217" s="5">
        <f>IF(L217=-200, "д.вх.", IF(N217, O217, L217))</f>
        <v/>
      </c>
      <c r="V217" s="5">
        <f>CurrAttrValue(G217, 0)</f>
        <v/>
      </c>
      <c r="W217" s="5">
        <f>IF(M217, "Блокирована", IF(N217, "Проверено", "-"))</f>
        <v/>
      </c>
    </row>
    <row r="218" ht="20" customHeight="1">
      <c r="A218">
        <f>"System.PZ.A160"</f>
        <v/>
      </c>
      <c r="B218">
        <f>CONCATENATE($A$2, $A$1, $A218, B$2)</f>
        <v/>
      </c>
      <c r="C218">
        <f>CONCATENATE($A$2, $A$1, $A218, C$2)</f>
        <v/>
      </c>
      <c r="D218">
        <f>CONCATENATE($A$2, $A$1, $A218, D$2)</f>
        <v/>
      </c>
      <c r="E218">
        <f>CONCATENATE($A$2, $A$1, $A218, E$2)</f>
        <v/>
      </c>
      <c r="F218">
        <f>CONCATENATE($A$2, $A$1, $A218, F$2)</f>
        <v/>
      </c>
      <c r="G218">
        <f>CONCATENATE($A$2, $A$1, $A218, G$2)</f>
        <v/>
      </c>
      <c r="H218">
        <f>CONCATENATE($A$2, $A$1, $A218, H$2)</f>
        <v/>
      </c>
      <c r="I218">
        <f>CONCATENATE($A$2, $A$1, $A218, I$2)</f>
        <v/>
      </c>
      <c r="J218">
        <f>CONCATENATE($A$2, $A$1, $A218, J$2)</f>
        <v/>
      </c>
      <c r="K218">
        <f>CurrAttrValue(D218, 0)</f>
        <v/>
      </c>
      <c r="L218">
        <f>CurrAttrValue(E218, 0)</f>
        <v/>
      </c>
      <c r="M218">
        <f>CurrAttrValue(H218, 0)</f>
        <v/>
      </c>
      <c r="N218">
        <f>CurrAttrValue(I218, 0)</f>
        <v/>
      </c>
      <c r="O218">
        <f>CurrAttrValue(J218, 0)</f>
        <v/>
      </c>
      <c r="P218" s="5">
        <f>"161"</f>
        <v/>
      </c>
      <c r="Q218" s="6">
        <f>"АОбс. Неисправность СТ  "</f>
        <v/>
      </c>
      <c r="R218" s="7">
        <f>IF(N218, S218, "")</f>
        <v/>
      </c>
      <c r="S218" s="7">
        <f>CurrAttrValue(C218, 0)</f>
        <v/>
      </c>
      <c r="T218" s="5">
        <f>IF(K218=-200, "д.вх.", K218)</f>
        <v/>
      </c>
      <c r="U218" s="5">
        <f>IF(L218=-200, "д.вх.", IF(N218, O218, L218))</f>
        <v/>
      </c>
      <c r="V218" s="5">
        <f>CurrAttrValue(G218, 0)</f>
        <v/>
      </c>
      <c r="W218" s="5">
        <f>IF(M218, "Блокирована", IF(N218, "Проверено", "-"))</f>
        <v/>
      </c>
    </row>
    <row r="219" ht="20" customHeight="1">
      <c r="A219">
        <f>"System.PZ.A161"</f>
        <v/>
      </c>
      <c r="B219">
        <f>CONCATENATE($A$2, $A$1, $A219, B$2)</f>
        <v/>
      </c>
      <c r="C219">
        <f>CONCATENATE($A$2, $A$1, $A219, C$2)</f>
        <v/>
      </c>
      <c r="D219">
        <f>CONCATENATE($A$2, $A$1, $A219, D$2)</f>
        <v/>
      </c>
      <c r="E219">
        <f>CONCATENATE($A$2, $A$1, $A219, E$2)</f>
        <v/>
      </c>
      <c r="F219">
        <f>CONCATENATE($A$2, $A$1, $A219, F$2)</f>
        <v/>
      </c>
      <c r="G219">
        <f>CONCATENATE($A$2, $A$1, $A219, G$2)</f>
        <v/>
      </c>
      <c r="H219">
        <f>CONCATENATE($A$2, $A$1, $A219, H$2)</f>
        <v/>
      </c>
      <c r="I219">
        <f>CONCATENATE($A$2, $A$1, $A219, I$2)</f>
        <v/>
      </c>
      <c r="J219">
        <f>CONCATENATE($A$2, $A$1, $A219, J$2)</f>
        <v/>
      </c>
      <c r="K219">
        <f>CurrAttrValue(D219, 0)</f>
        <v/>
      </c>
      <c r="L219">
        <f>CurrAttrValue(E219, 0)</f>
        <v/>
      </c>
      <c r="M219">
        <f>CurrAttrValue(H219, 0)</f>
        <v/>
      </c>
      <c r="N219">
        <f>CurrAttrValue(I219, 0)</f>
        <v/>
      </c>
      <c r="O219">
        <f>CurrAttrValue(J219, 0)</f>
        <v/>
      </c>
      <c r="P219" s="5">
        <f>"162"</f>
        <v/>
      </c>
      <c r="Q219" s="6">
        <f>"АОбс. Самопроизвольная раскрутка ротора СТ без смазки  "</f>
        <v/>
      </c>
      <c r="R219" s="7">
        <f>IF(N219, S219, "")</f>
        <v/>
      </c>
      <c r="S219" s="7">
        <f>CurrAttrValue(C219, 0)</f>
        <v/>
      </c>
      <c r="T219" s="5">
        <f>IF(K219=-200, "д.вх.", K219)</f>
        <v/>
      </c>
      <c r="U219" s="5">
        <f>IF(L219=-200, "д.вх.", IF(N219, O219, L219))</f>
        <v/>
      </c>
      <c r="V219" s="5">
        <f>CurrAttrValue(G219, 0)</f>
        <v/>
      </c>
      <c r="W219" s="5">
        <f>IF(M219, "Блокирована", IF(N219, "Проверено", "-"))</f>
        <v/>
      </c>
    </row>
    <row r="220" ht="20" customHeight="1">
      <c r="A220">
        <f>"System.PZ.A162"</f>
        <v/>
      </c>
      <c r="B220">
        <f>CONCATENATE($A$2, $A$1, $A220, B$2)</f>
        <v/>
      </c>
      <c r="C220">
        <f>CONCATENATE($A$2, $A$1, $A220, C$2)</f>
        <v/>
      </c>
      <c r="D220">
        <f>CONCATENATE($A$2, $A$1, $A220, D$2)</f>
        <v/>
      </c>
      <c r="E220">
        <f>CONCATENATE($A$2, $A$1, $A220, E$2)</f>
        <v/>
      </c>
      <c r="F220">
        <f>CONCATENATE($A$2, $A$1, $A220, F$2)</f>
        <v/>
      </c>
      <c r="G220">
        <f>CONCATENATE($A$2, $A$1, $A220, G$2)</f>
        <v/>
      </c>
      <c r="H220">
        <f>CONCATENATE($A$2, $A$1, $A220, H$2)</f>
        <v/>
      </c>
      <c r="I220">
        <f>CONCATENATE($A$2, $A$1, $A220, I$2)</f>
        <v/>
      </c>
      <c r="J220">
        <f>CONCATENATE($A$2, $A$1, $A220, J$2)</f>
        <v/>
      </c>
      <c r="K220">
        <f>CurrAttrValue(D220, 0)</f>
        <v/>
      </c>
      <c r="L220">
        <f>CurrAttrValue(E220, 0)</f>
        <v/>
      </c>
      <c r="M220">
        <f>CurrAttrValue(H220, 0)</f>
        <v/>
      </c>
      <c r="N220">
        <f>CurrAttrValue(I220, 0)</f>
        <v/>
      </c>
      <c r="O220">
        <f>CurrAttrValue(J220, 0)</f>
        <v/>
      </c>
      <c r="P220" s="5">
        <f>"163"</f>
        <v/>
      </c>
      <c r="Q220" s="6">
        <f>"ВОбс. Входной тракт двигателя засорен  "</f>
        <v/>
      </c>
      <c r="R220" s="7">
        <f>IF(N220, S220, "")</f>
        <v/>
      </c>
      <c r="S220" s="7">
        <f>CurrAttrValue(C220, 0)</f>
        <v/>
      </c>
      <c r="T220" s="5">
        <f>IF(K220=-200, "д.вх.", K220)</f>
        <v/>
      </c>
      <c r="U220" s="5">
        <f>IF(L220=-200, "д.вх.", IF(N220, O220, L220))</f>
        <v/>
      </c>
      <c r="V220" s="5">
        <f>CurrAttrValue(G220, 0)</f>
        <v/>
      </c>
      <c r="W220" s="5">
        <f>IF(M220, "Блокирована", IF(N220, "Проверено", "-"))</f>
        <v/>
      </c>
    </row>
    <row r="221" ht="20" customHeight="1">
      <c r="A221">
        <f>"System.PZ.A163"</f>
        <v/>
      </c>
      <c r="B221">
        <f>CONCATENATE($A$2, $A$1, $A221, B$2)</f>
        <v/>
      </c>
      <c r="C221">
        <f>CONCATENATE($A$2, $A$1, $A221, C$2)</f>
        <v/>
      </c>
      <c r="D221">
        <f>CONCATENATE($A$2, $A$1, $A221, D$2)</f>
        <v/>
      </c>
      <c r="E221">
        <f>CONCATENATE($A$2, $A$1, $A221, E$2)</f>
        <v/>
      </c>
      <c r="F221">
        <f>CONCATENATE($A$2, $A$1, $A221, F$2)</f>
        <v/>
      </c>
      <c r="G221">
        <f>CONCATENATE($A$2, $A$1, $A221, G$2)</f>
        <v/>
      </c>
      <c r="H221">
        <f>CONCATENATE($A$2, $A$1, $A221, H$2)</f>
        <v/>
      </c>
      <c r="I221">
        <f>CONCATENATE($A$2, $A$1, $A221, I$2)</f>
        <v/>
      </c>
      <c r="J221">
        <f>CONCATENATE($A$2, $A$1, $A221, J$2)</f>
        <v/>
      </c>
      <c r="K221">
        <f>CurrAttrValue(D221, 0)</f>
        <v/>
      </c>
      <c r="L221">
        <f>CurrAttrValue(E221, 0)</f>
        <v/>
      </c>
      <c r="M221">
        <f>CurrAttrValue(H221, 0)</f>
        <v/>
      </c>
      <c r="N221">
        <f>CurrAttrValue(I221, 0)</f>
        <v/>
      </c>
      <c r="O221">
        <f>CurrAttrValue(J221, 0)</f>
        <v/>
      </c>
      <c r="P221" s="5">
        <f>"164"</f>
        <v/>
      </c>
      <c r="Q221" s="6">
        <f>"АОбс. Помпаж двигателя  "</f>
        <v/>
      </c>
      <c r="R221" s="7">
        <f>IF(N221, S221, "")</f>
        <v/>
      </c>
      <c r="S221" s="7">
        <f>CurrAttrValue(C221, 0)</f>
        <v/>
      </c>
      <c r="T221" s="5">
        <f>IF(K221=-200, "д.вх.", K221)</f>
        <v/>
      </c>
      <c r="U221" s="5">
        <f>IF(L221=-200, "д.вх.", IF(N221, O221, L221))</f>
        <v/>
      </c>
      <c r="V221" s="5">
        <f>CurrAttrValue(G221, 0)</f>
        <v/>
      </c>
      <c r="W221" s="5">
        <f>IF(M221, "Блокирована", IF(N221, "Проверено", "-"))</f>
        <v/>
      </c>
    </row>
    <row r="222" ht="20" customHeight="1">
      <c r="A222">
        <f>"System.PZ.A164"</f>
        <v/>
      </c>
      <c r="B222">
        <f>CONCATENATE($A$2, $A$1, $A222, B$2)</f>
        <v/>
      </c>
      <c r="C222">
        <f>CONCATENATE($A$2, $A$1, $A222, C$2)</f>
        <v/>
      </c>
      <c r="D222">
        <f>CONCATENATE($A$2, $A$1, $A222, D$2)</f>
        <v/>
      </c>
      <c r="E222">
        <f>CONCATENATE($A$2, $A$1, $A222, E$2)</f>
        <v/>
      </c>
      <c r="F222">
        <f>CONCATENATE($A$2, $A$1, $A222, F$2)</f>
        <v/>
      </c>
      <c r="G222">
        <f>CONCATENATE($A$2, $A$1, $A222, G$2)</f>
        <v/>
      </c>
      <c r="H222">
        <f>CONCATENATE($A$2, $A$1, $A222, H$2)</f>
        <v/>
      </c>
      <c r="I222">
        <f>CONCATENATE($A$2, $A$1, $A222, I$2)</f>
        <v/>
      </c>
      <c r="J222">
        <f>CONCATENATE($A$2, $A$1, $A222, J$2)</f>
        <v/>
      </c>
      <c r="K222">
        <f>CurrAttrValue(D222, 0)</f>
        <v/>
      </c>
      <c r="L222">
        <f>CurrAttrValue(E222, 0)</f>
        <v/>
      </c>
      <c r="M222">
        <f>CurrAttrValue(H222, 0)</f>
        <v/>
      </c>
      <c r="N222">
        <f>CurrAttrValue(I222, 0)</f>
        <v/>
      </c>
      <c r="O222">
        <f>CurrAttrValue(J222, 0)</f>
        <v/>
      </c>
      <c r="P222" s="5">
        <f>"165"</f>
        <v/>
      </c>
      <c r="Q222" s="6">
        <f>"АОбс. Погасание КС после розжига  "</f>
        <v/>
      </c>
      <c r="R222" s="7">
        <f>IF(N222, S222, "")</f>
        <v/>
      </c>
      <c r="S222" s="7">
        <f>CurrAttrValue(C222, 0)</f>
        <v/>
      </c>
      <c r="T222" s="5">
        <f>IF(K222=-200, "д.вх.", K222)</f>
        <v/>
      </c>
      <c r="U222" s="5">
        <f>IF(L222=-200, "д.вх.", IF(N222, O222, L222))</f>
        <v/>
      </c>
      <c r="V222" s="5">
        <f>CurrAttrValue(G222, 0)</f>
        <v/>
      </c>
      <c r="W222" s="5">
        <f>IF(M222, "Блокирована", IF(N222, "Проверено", "-"))</f>
        <v/>
      </c>
    </row>
    <row r="223" ht="20" customHeight="1">
      <c r="A223">
        <f>"System.PZ.A165"</f>
        <v/>
      </c>
      <c r="B223">
        <f>CONCATENATE($A$2, $A$1, $A223, B$2)</f>
        <v/>
      </c>
      <c r="C223">
        <f>CONCATENATE($A$2, $A$1, $A223, C$2)</f>
        <v/>
      </c>
      <c r="D223">
        <f>CONCATENATE($A$2, $A$1, $A223, D$2)</f>
        <v/>
      </c>
      <c r="E223">
        <f>CONCATENATE($A$2, $A$1, $A223, E$2)</f>
        <v/>
      </c>
      <c r="F223">
        <f>CONCATENATE($A$2, $A$1, $A223, F$2)</f>
        <v/>
      </c>
      <c r="G223">
        <f>CONCATENATE($A$2, $A$1, $A223, G$2)</f>
        <v/>
      </c>
      <c r="H223">
        <f>CONCATENATE($A$2, $A$1, $A223, H$2)</f>
        <v/>
      </c>
      <c r="I223">
        <f>CONCATENATE($A$2, $A$1, $A223, I$2)</f>
        <v/>
      </c>
      <c r="J223">
        <f>CONCATENATE($A$2, $A$1, $A223, J$2)</f>
        <v/>
      </c>
      <c r="K223">
        <f>CurrAttrValue(D223, 0)</f>
        <v/>
      </c>
      <c r="L223">
        <f>CurrAttrValue(E223, 0)</f>
        <v/>
      </c>
      <c r="M223">
        <f>CurrAttrValue(H223, 0)</f>
        <v/>
      </c>
      <c r="N223">
        <f>CurrAttrValue(I223, 0)</f>
        <v/>
      </c>
      <c r="O223">
        <f>CurrAttrValue(J223, 0)</f>
        <v/>
      </c>
      <c r="P223" s="5">
        <f>"166"</f>
        <v/>
      </c>
      <c r="Q223" s="6">
        <f>"АОбс. Обобщенный АОбс от ТР  "</f>
        <v/>
      </c>
      <c r="R223" s="7">
        <f>IF(N223, S223, "")</f>
        <v/>
      </c>
      <c r="S223" s="7">
        <f>CurrAttrValue(C223, 0)</f>
        <v/>
      </c>
      <c r="T223" s="5">
        <f>IF(K223=-200, "д.вх.", K223)</f>
        <v/>
      </c>
      <c r="U223" s="5">
        <f>IF(L223=-200, "д.вх.", IF(N223, O223, L223))</f>
        <v/>
      </c>
      <c r="V223" s="5">
        <f>CurrAttrValue(G223, 0)</f>
        <v/>
      </c>
      <c r="W223" s="5">
        <f>IF(M223, "Блокирована", IF(N223, "Проверено", "-"))</f>
        <v/>
      </c>
    </row>
    <row r="224" ht="20" customHeight="1">
      <c r="A224">
        <f>"System.PZ.A166"</f>
        <v/>
      </c>
      <c r="B224">
        <f>CONCATENATE($A$2, $A$1, $A224, B$2)</f>
        <v/>
      </c>
      <c r="C224">
        <f>CONCATENATE($A$2, $A$1, $A224, C$2)</f>
        <v/>
      </c>
      <c r="D224">
        <f>CONCATENATE($A$2, $A$1, $A224, D$2)</f>
        <v/>
      </c>
      <c r="E224">
        <f>CONCATENATE($A$2, $A$1, $A224, E$2)</f>
        <v/>
      </c>
      <c r="F224">
        <f>CONCATENATE($A$2, $A$1, $A224, F$2)</f>
        <v/>
      </c>
      <c r="G224">
        <f>CONCATENATE($A$2, $A$1, $A224, G$2)</f>
        <v/>
      </c>
      <c r="H224">
        <f>CONCATENATE($A$2, $A$1, $A224, H$2)</f>
        <v/>
      </c>
      <c r="I224">
        <f>CONCATENATE($A$2, $A$1, $A224, I$2)</f>
        <v/>
      </c>
      <c r="J224">
        <f>CONCATENATE($A$2, $A$1, $A224, J$2)</f>
        <v/>
      </c>
      <c r="K224">
        <f>CurrAttrValue(D224, 0)</f>
        <v/>
      </c>
      <c r="L224">
        <f>CurrAttrValue(E224, 0)</f>
        <v/>
      </c>
      <c r="M224">
        <f>CurrAttrValue(H224, 0)</f>
        <v/>
      </c>
      <c r="N224">
        <f>CurrAttrValue(I224, 0)</f>
        <v/>
      </c>
      <c r="O224">
        <f>CurrAttrValue(J224, 0)</f>
        <v/>
      </c>
      <c r="P224" s="5">
        <f>"167"</f>
        <v/>
      </c>
      <c r="Q224" s="6">
        <f>"АОсс. Обобщенный АОсс от ТР  "</f>
        <v/>
      </c>
      <c r="R224" s="7">
        <f>IF(N224, S224, "")</f>
        <v/>
      </c>
      <c r="S224" s="7">
        <f>CurrAttrValue(C224, 0)</f>
        <v/>
      </c>
      <c r="T224" s="5">
        <f>IF(K224=-200, "д.вх.", K224)</f>
        <v/>
      </c>
      <c r="U224" s="5">
        <f>IF(L224=-200, "д.вх.", IF(N224, O224, L224))</f>
        <v/>
      </c>
      <c r="V224" s="5">
        <f>CurrAttrValue(G224, 0)</f>
        <v/>
      </c>
      <c r="W224" s="5">
        <f>IF(M224, "Блокирована", IF(N224, "Проверено", "-"))</f>
        <v/>
      </c>
    </row>
    <row r="225" ht="20" customHeight="1">
      <c r="A225">
        <f>"System.PZ.A167"</f>
        <v/>
      </c>
      <c r="B225">
        <f>CONCATENATE($A$2, $A$1, $A225, B$2)</f>
        <v/>
      </c>
      <c r="C225">
        <f>CONCATENATE($A$2, $A$1, $A225, C$2)</f>
        <v/>
      </c>
      <c r="D225">
        <f>CONCATENATE($A$2, $A$1, $A225, D$2)</f>
        <v/>
      </c>
      <c r="E225">
        <f>CONCATENATE($A$2, $A$1, $A225, E$2)</f>
        <v/>
      </c>
      <c r="F225">
        <f>CONCATENATE($A$2, $A$1, $A225, F$2)</f>
        <v/>
      </c>
      <c r="G225">
        <f>CONCATENATE($A$2, $A$1, $A225, G$2)</f>
        <v/>
      </c>
      <c r="H225">
        <f>CONCATENATE($A$2, $A$1, $A225, H$2)</f>
        <v/>
      </c>
      <c r="I225">
        <f>CONCATENATE($A$2, $A$1, $A225, I$2)</f>
        <v/>
      </c>
      <c r="J225">
        <f>CONCATENATE($A$2, $A$1, $A225, J$2)</f>
        <v/>
      </c>
      <c r="K225">
        <f>CurrAttrValue(D225, 0)</f>
        <v/>
      </c>
      <c r="L225">
        <f>CurrAttrValue(E225, 0)</f>
        <v/>
      </c>
      <c r="M225">
        <f>CurrAttrValue(H225, 0)</f>
        <v/>
      </c>
      <c r="N225">
        <f>CurrAttrValue(I225, 0)</f>
        <v/>
      </c>
      <c r="O225">
        <f>CurrAttrValue(J225, 0)</f>
        <v/>
      </c>
      <c r="P225" s="5">
        <f>"168"</f>
        <v/>
      </c>
      <c r="Q225" s="6">
        <f>"АОсс. Помпаж нагнетателя  "</f>
        <v/>
      </c>
      <c r="R225" s="7">
        <f>IF(N225, S225, "")</f>
        <v/>
      </c>
      <c r="S225" s="7">
        <f>CurrAttrValue(C225, 0)</f>
        <v/>
      </c>
      <c r="T225" s="5">
        <f>IF(K225=-200, "д.вх.", K225)</f>
        <v/>
      </c>
      <c r="U225" s="5">
        <f>IF(L225=-200, "д.вх.", IF(N225, O225, L225))</f>
        <v/>
      </c>
      <c r="V225" s="5">
        <f>CurrAttrValue(G225, 0)</f>
        <v/>
      </c>
      <c r="W225" s="5">
        <f>IF(M225, "Блокирована", IF(N225, "Проверено", "-"))</f>
        <v/>
      </c>
    </row>
    <row r="226" ht="20" customHeight="1">
      <c r="A226">
        <f>"System.PZ.A168"</f>
        <v/>
      </c>
      <c r="B226">
        <f>CONCATENATE($A$2, $A$1, $A226, B$2)</f>
        <v/>
      </c>
      <c r="C226">
        <f>CONCATENATE($A$2, $A$1, $A226, C$2)</f>
        <v/>
      </c>
      <c r="D226">
        <f>CONCATENATE($A$2, $A$1, $A226, D$2)</f>
        <v/>
      </c>
      <c r="E226">
        <f>CONCATENATE($A$2, $A$1, $A226, E$2)</f>
        <v/>
      </c>
      <c r="F226">
        <f>CONCATENATE($A$2, $A$1, $A226, F$2)</f>
        <v/>
      </c>
      <c r="G226">
        <f>CONCATENATE($A$2, $A$1, $A226, G$2)</f>
        <v/>
      </c>
      <c r="H226">
        <f>CONCATENATE($A$2, $A$1, $A226, H$2)</f>
        <v/>
      </c>
      <c r="I226">
        <f>CONCATENATE($A$2, $A$1, $A226, I$2)</f>
        <v/>
      </c>
      <c r="J226">
        <f>CONCATENATE($A$2, $A$1, $A226, J$2)</f>
        <v/>
      </c>
      <c r="K226">
        <f>CurrAttrValue(D226, 0)</f>
        <v/>
      </c>
      <c r="L226">
        <f>CurrAttrValue(E226, 0)</f>
        <v/>
      </c>
      <c r="M226">
        <f>CurrAttrValue(H226, 0)</f>
        <v/>
      </c>
      <c r="N226">
        <f>CurrAttrValue(I226, 0)</f>
        <v/>
      </c>
      <c r="O226">
        <f>CurrAttrValue(J226, 0)</f>
        <v/>
      </c>
      <c r="P226" s="5">
        <f>"169"</f>
        <v/>
      </c>
      <c r="Q226" s="6">
        <f>"АОбс. Кран 6р не открылся на пуске  "</f>
        <v/>
      </c>
      <c r="R226" s="7">
        <f>IF(N226, S226, "")</f>
        <v/>
      </c>
      <c r="S226" s="7">
        <f>CurrAttrValue(C226, 0)</f>
        <v/>
      </c>
      <c r="T226" s="5">
        <f>IF(K226=-200, "д.вх.", K226)</f>
        <v/>
      </c>
      <c r="U226" s="5">
        <f>IF(L226=-200, "д.вх.", IF(N226, O226, L226))</f>
        <v/>
      </c>
      <c r="V226" s="5">
        <f>CurrAttrValue(G226, 0)</f>
        <v/>
      </c>
      <c r="W226" s="5">
        <f>IF(M226, "Блокирована", IF(N226, "Проверено", "-"))</f>
        <v/>
      </c>
    </row>
    <row r="227" ht="20" customHeight="1">
      <c r="A227">
        <f>"System.PZ.A169"</f>
        <v/>
      </c>
      <c r="B227">
        <f>CONCATENATE($A$2, $A$1, $A227, B$2)</f>
        <v/>
      </c>
      <c r="C227">
        <f>CONCATENATE($A$2, $A$1, $A227, C$2)</f>
        <v/>
      </c>
      <c r="D227">
        <f>CONCATENATE($A$2, $A$1, $A227, D$2)</f>
        <v/>
      </c>
      <c r="E227">
        <f>CONCATENATE($A$2, $A$1, $A227, E$2)</f>
        <v/>
      </c>
      <c r="F227">
        <f>CONCATENATE($A$2, $A$1, $A227, F$2)</f>
        <v/>
      </c>
      <c r="G227">
        <f>CONCATENATE($A$2, $A$1, $A227, G$2)</f>
        <v/>
      </c>
      <c r="H227">
        <f>CONCATENATE($A$2, $A$1, $A227, H$2)</f>
        <v/>
      </c>
      <c r="I227">
        <f>CONCATENATE($A$2, $A$1, $A227, I$2)</f>
        <v/>
      </c>
      <c r="J227">
        <f>CONCATENATE($A$2, $A$1, $A227, J$2)</f>
        <v/>
      </c>
      <c r="K227">
        <f>CurrAttrValue(D227, 0)</f>
        <v/>
      </c>
      <c r="L227">
        <f>CurrAttrValue(E227, 0)</f>
        <v/>
      </c>
      <c r="M227">
        <f>CurrAttrValue(H227, 0)</f>
        <v/>
      </c>
      <c r="N227">
        <f>CurrAttrValue(I227, 0)</f>
        <v/>
      </c>
      <c r="O227">
        <f>CurrAttrValue(J227, 0)</f>
        <v/>
      </c>
      <c r="P227" s="5">
        <f>"170"</f>
        <v/>
      </c>
      <c r="Q227" s="6">
        <f>"АОбс. Опасная пульсация давления в ЖТ1  "</f>
        <v/>
      </c>
      <c r="R227" s="7">
        <f>IF(N227, S227, "")</f>
        <v/>
      </c>
      <c r="S227" s="7">
        <f>CurrAttrValue(C227, 0)</f>
        <v/>
      </c>
      <c r="T227" s="5">
        <f>IF(K227=-200, "д.вх.", K227)</f>
        <v/>
      </c>
      <c r="U227" s="5">
        <f>IF(L227=-200, "д.вх.", IF(N227, O227, L227))</f>
        <v/>
      </c>
      <c r="V227" s="5">
        <f>CurrAttrValue(G227, 0)</f>
        <v/>
      </c>
      <c r="W227" s="5">
        <f>IF(M227, "Блокирована", IF(N227, "Проверено", "-"))</f>
        <v/>
      </c>
    </row>
    <row r="228" ht="20" customHeight="1">
      <c r="A228">
        <f>"System.PZ.A170"</f>
        <v/>
      </c>
      <c r="B228">
        <f>CONCATENATE($A$2, $A$1, $A228, B$2)</f>
        <v/>
      </c>
      <c r="C228">
        <f>CONCATENATE($A$2, $A$1, $A228, C$2)</f>
        <v/>
      </c>
      <c r="D228">
        <f>CONCATENATE($A$2, $A$1, $A228, D$2)</f>
        <v/>
      </c>
      <c r="E228">
        <f>CONCATENATE($A$2, $A$1, $A228, E$2)</f>
        <v/>
      </c>
      <c r="F228">
        <f>CONCATENATE($A$2, $A$1, $A228, F$2)</f>
        <v/>
      </c>
      <c r="G228">
        <f>CONCATENATE($A$2, $A$1, $A228, G$2)</f>
        <v/>
      </c>
      <c r="H228">
        <f>CONCATENATE($A$2, $A$1, $A228, H$2)</f>
        <v/>
      </c>
      <c r="I228">
        <f>CONCATENATE($A$2, $A$1, $A228, I$2)</f>
        <v/>
      </c>
      <c r="J228">
        <f>CONCATENATE($A$2, $A$1, $A228, J$2)</f>
        <v/>
      </c>
      <c r="K228">
        <f>CurrAttrValue(D228, 0)</f>
        <v/>
      </c>
      <c r="L228">
        <f>CurrAttrValue(E228, 0)</f>
        <v/>
      </c>
      <c r="M228">
        <f>CurrAttrValue(H228, 0)</f>
        <v/>
      </c>
      <c r="N228">
        <f>CurrAttrValue(I228, 0)</f>
        <v/>
      </c>
      <c r="O228">
        <f>CurrAttrValue(J228, 0)</f>
        <v/>
      </c>
      <c r="P228" s="5">
        <f>"171"</f>
        <v/>
      </c>
      <c r="Q228" s="6">
        <f>"АОбс. Опасная пульсация давления в ЖТ2  "</f>
        <v/>
      </c>
      <c r="R228" s="7">
        <f>IF(N228, S228, "")</f>
        <v/>
      </c>
      <c r="S228" s="7">
        <f>CurrAttrValue(C228, 0)</f>
        <v/>
      </c>
      <c r="T228" s="5">
        <f>IF(K228=-200, "д.вх.", K228)</f>
        <v/>
      </c>
      <c r="U228" s="5">
        <f>IF(L228=-200, "д.вх.", IF(N228, O228, L228))</f>
        <v/>
      </c>
      <c r="V228" s="5">
        <f>CurrAttrValue(G228, 0)</f>
        <v/>
      </c>
      <c r="W228" s="5">
        <f>IF(M228, "Блокирована", IF(N228, "Проверено", "-"))</f>
        <v/>
      </c>
    </row>
    <row r="229" ht="20" customHeight="1">
      <c r="A229">
        <f>"System.PZ.A171"</f>
        <v/>
      </c>
      <c r="B229">
        <f>CONCATENATE($A$2, $A$1, $A229, B$2)</f>
        <v/>
      </c>
      <c r="C229">
        <f>CONCATENATE($A$2, $A$1, $A229, C$2)</f>
        <v/>
      </c>
      <c r="D229">
        <f>CONCATENATE($A$2, $A$1, $A229, D$2)</f>
        <v/>
      </c>
      <c r="E229">
        <f>CONCATENATE($A$2, $A$1, $A229, E$2)</f>
        <v/>
      </c>
      <c r="F229">
        <f>CONCATENATE($A$2, $A$1, $A229, F$2)</f>
        <v/>
      </c>
      <c r="G229">
        <f>CONCATENATE($A$2, $A$1, $A229, G$2)</f>
        <v/>
      </c>
      <c r="H229">
        <f>CONCATENATE($A$2, $A$1, $A229, H$2)</f>
        <v/>
      </c>
      <c r="I229">
        <f>CONCATENATE($A$2, $A$1, $A229, I$2)</f>
        <v/>
      </c>
      <c r="J229">
        <f>CONCATENATE($A$2, $A$1, $A229, J$2)</f>
        <v/>
      </c>
      <c r="K229">
        <f>CurrAttrValue(D229, 0)</f>
        <v/>
      </c>
      <c r="L229">
        <f>CurrAttrValue(E229, 0)</f>
        <v/>
      </c>
      <c r="M229">
        <f>CurrAttrValue(H229, 0)</f>
        <v/>
      </c>
      <c r="N229">
        <f>CurrAttrValue(I229, 0)</f>
        <v/>
      </c>
      <c r="O229">
        <f>CurrAttrValue(J229, 0)</f>
        <v/>
      </c>
      <c r="P229" s="5">
        <f>"172"</f>
        <v/>
      </c>
      <c r="Q229" s="6">
        <f>"АОбс. Опасная пульсация давления в ЖТ3  "</f>
        <v/>
      </c>
      <c r="R229" s="7">
        <f>IF(N229, S229, "")</f>
        <v/>
      </c>
      <c r="S229" s="7">
        <f>CurrAttrValue(C229, 0)</f>
        <v/>
      </c>
      <c r="T229" s="5">
        <f>IF(K229=-200, "д.вх.", K229)</f>
        <v/>
      </c>
      <c r="U229" s="5">
        <f>IF(L229=-200, "д.вх.", IF(N229, O229, L229))</f>
        <v/>
      </c>
      <c r="V229" s="5">
        <f>CurrAttrValue(G229, 0)</f>
        <v/>
      </c>
      <c r="W229" s="5">
        <f>IF(M229, "Блокирована", IF(N229, "Проверено", "-"))</f>
        <v/>
      </c>
    </row>
    <row r="230" ht="20" customHeight="1">
      <c r="A230">
        <f>"System.PZ.A172"</f>
        <v/>
      </c>
      <c r="B230">
        <f>CONCATENATE($A$2, $A$1, $A230, B$2)</f>
        <v/>
      </c>
      <c r="C230">
        <f>CONCATENATE($A$2, $A$1, $A230, C$2)</f>
        <v/>
      </c>
      <c r="D230">
        <f>CONCATENATE($A$2, $A$1, $A230, D$2)</f>
        <v/>
      </c>
      <c r="E230">
        <f>CONCATENATE($A$2, $A$1, $A230, E$2)</f>
        <v/>
      </c>
      <c r="F230">
        <f>CONCATENATE($A$2, $A$1, $A230, F$2)</f>
        <v/>
      </c>
      <c r="G230">
        <f>CONCATENATE($A$2, $A$1, $A230, G$2)</f>
        <v/>
      </c>
      <c r="H230">
        <f>CONCATENATE($A$2, $A$1, $A230, H$2)</f>
        <v/>
      </c>
      <c r="I230">
        <f>CONCATENATE($A$2, $A$1, $A230, I$2)</f>
        <v/>
      </c>
      <c r="J230">
        <f>CONCATENATE($A$2, $A$1, $A230, J$2)</f>
        <v/>
      </c>
      <c r="K230">
        <f>CurrAttrValue(D230, 0)</f>
        <v/>
      </c>
      <c r="L230">
        <f>CurrAttrValue(E230, 0)</f>
        <v/>
      </c>
      <c r="M230">
        <f>CurrAttrValue(H230, 0)</f>
        <v/>
      </c>
      <c r="N230">
        <f>CurrAttrValue(I230, 0)</f>
        <v/>
      </c>
      <c r="O230">
        <f>CurrAttrValue(J230, 0)</f>
        <v/>
      </c>
      <c r="P230" s="5">
        <f>"173"</f>
        <v/>
      </c>
      <c r="Q230" s="6">
        <f>"АОбс. Опасная пульсация давления в ЖТ4  "</f>
        <v/>
      </c>
      <c r="R230" s="7">
        <f>IF(N230, S230, "")</f>
        <v/>
      </c>
      <c r="S230" s="7">
        <f>CurrAttrValue(C230, 0)</f>
        <v/>
      </c>
      <c r="T230" s="5">
        <f>IF(K230=-200, "д.вх.", K230)</f>
        <v/>
      </c>
      <c r="U230" s="5">
        <f>IF(L230=-200, "д.вх.", IF(N230, O230, L230))</f>
        <v/>
      </c>
      <c r="V230" s="5">
        <f>CurrAttrValue(G230, 0)</f>
        <v/>
      </c>
      <c r="W230" s="5">
        <f>IF(M230, "Блокирована", IF(N230, "Проверено", "-"))</f>
        <v/>
      </c>
    </row>
    <row r="231" ht="20" customHeight="1">
      <c r="A231">
        <f>"System.PZ.A173"</f>
        <v/>
      </c>
      <c r="B231">
        <f>CONCATENATE($A$2, $A$1, $A231, B$2)</f>
        <v/>
      </c>
      <c r="C231">
        <f>CONCATENATE($A$2, $A$1, $A231, C$2)</f>
        <v/>
      </c>
      <c r="D231">
        <f>CONCATENATE($A$2, $A$1, $A231, D$2)</f>
        <v/>
      </c>
      <c r="E231">
        <f>CONCATENATE($A$2, $A$1, $A231, E$2)</f>
        <v/>
      </c>
      <c r="F231">
        <f>CONCATENATE($A$2, $A$1, $A231, F$2)</f>
        <v/>
      </c>
      <c r="G231">
        <f>CONCATENATE($A$2, $A$1, $A231, G$2)</f>
        <v/>
      </c>
      <c r="H231">
        <f>CONCATENATE($A$2, $A$1, $A231, H$2)</f>
        <v/>
      </c>
      <c r="I231">
        <f>CONCATENATE($A$2, $A$1, $A231, I$2)</f>
        <v/>
      </c>
      <c r="J231">
        <f>CONCATENATE($A$2, $A$1, $A231, J$2)</f>
        <v/>
      </c>
      <c r="K231">
        <f>CurrAttrValue(D231, 0)</f>
        <v/>
      </c>
      <c r="L231">
        <f>CurrAttrValue(E231, 0)</f>
        <v/>
      </c>
      <c r="M231">
        <f>CurrAttrValue(H231, 0)</f>
        <v/>
      </c>
      <c r="N231">
        <f>CurrAttrValue(I231, 0)</f>
        <v/>
      </c>
      <c r="O231">
        <f>CurrAttrValue(J231, 0)</f>
        <v/>
      </c>
      <c r="P231" s="5">
        <f>"174"</f>
        <v/>
      </c>
      <c r="Q231" s="6">
        <f>"АОбс. Опасная пульсация давления в ЖТ5  "</f>
        <v/>
      </c>
      <c r="R231" s="7">
        <f>IF(N231, S231, "")</f>
        <v/>
      </c>
      <c r="S231" s="7">
        <f>CurrAttrValue(C231, 0)</f>
        <v/>
      </c>
      <c r="T231" s="5">
        <f>IF(K231=-200, "д.вх.", K231)</f>
        <v/>
      </c>
      <c r="U231" s="5">
        <f>IF(L231=-200, "д.вх.", IF(N231, O231, L231))</f>
        <v/>
      </c>
      <c r="V231" s="5">
        <f>CurrAttrValue(G231, 0)</f>
        <v/>
      </c>
      <c r="W231" s="5">
        <f>IF(M231, "Блокирована", IF(N231, "Проверено", "-"))</f>
        <v/>
      </c>
    </row>
    <row r="232" ht="20" customHeight="1">
      <c r="A232">
        <f>"System.PZ.A174"</f>
        <v/>
      </c>
      <c r="B232">
        <f>CONCATENATE($A$2, $A$1, $A232, B$2)</f>
        <v/>
      </c>
      <c r="C232">
        <f>CONCATENATE($A$2, $A$1, $A232, C$2)</f>
        <v/>
      </c>
      <c r="D232">
        <f>CONCATENATE($A$2, $A$1, $A232, D$2)</f>
        <v/>
      </c>
      <c r="E232">
        <f>CONCATENATE($A$2, $A$1, $A232, E$2)</f>
        <v/>
      </c>
      <c r="F232">
        <f>CONCATENATE($A$2, $A$1, $A232, F$2)</f>
        <v/>
      </c>
      <c r="G232">
        <f>CONCATENATE($A$2, $A$1, $A232, G$2)</f>
        <v/>
      </c>
      <c r="H232">
        <f>CONCATENATE($A$2, $A$1, $A232, H$2)</f>
        <v/>
      </c>
      <c r="I232">
        <f>CONCATENATE($A$2, $A$1, $A232, I$2)</f>
        <v/>
      </c>
      <c r="J232">
        <f>CONCATENATE($A$2, $A$1, $A232, J$2)</f>
        <v/>
      </c>
      <c r="K232">
        <f>CurrAttrValue(D232, 0)</f>
        <v/>
      </c>
      <c r="L232">
        <f>CurrAttrValue(E232, 0)</f>
        <v/>
      </c>
      <c r="M232">
        <f>CurrAttrValue(H232, 0)</f>
        <v/>
      </c>
      <c r="N232">
        <f>CurrAttrValue(I232, 0)</f>
        <v/>
      </c>
      <c r="O232">
        <f>CurrAttrValue(J232, 0)</f>
        <v/>
      </c>
      <c r="P232" s="5">
        <f>"175"</f>
        <v/>
      </c>
      <c r="Q232" s="6">
        <f>"АОбс. Опасная пульсация давления в ЖТ6  "</f>
        <v/>
      </c>
      <c r="R232" s="7">
        <f>IF(N232, S232, "")</f>
        <v/>
      </c>
      <c r="S232" s="7">
        <f>CurrAttrValue(C232, 0)</f>
        <v/>
      </c>
      <c r="T232" s="5">
        <f>IF(K232=-200, "д.вх.", K232)</f>
        <v/>
      </c>
      <c r="U232" s="5">
        <f>IF(L232=-200, "д.вх.", IF(N232, O232, L232))</f>
        <v/>
      </c>
      <c r="V232" s="5">
        <f>CurrAttrValue(G232, 0)</f>
        <v/>
      </c>
      <c r="W232" s="5">
        <f>IF(M232, "Блокирована", IF(N232, "Проверено", "-"))</f>
        <v/>
      </c>
    </row>
    <row r="233" ht="20" customHeight="1">
      <c r="A233">
        <f>"System.PZ.A175"</f>
        <v/>
      </c>
      <c r="B233">
        <f>CONCATENATE($A$2, $A$1, $A233, B$2)</f>
        <v/>
      </c>
      <c r="C233">
        <f>CONCATENATE($A$2, $A$1, $A233, C$2)</f>
        <v/>
      </c>
      <c r="D233">
        <f>CONCATENATE($A$2, $A$1, $A233, D$2)</f>
        <v/>
      </c>
      <c r="E233">
        <f>CONCATENATE($A$2, $A$1, $A233, E$2)</f>
        <v/>
      </c>
      <c r="F233">
        <f>CONCATENATE($A$2, $A$1, $A233, F$2)</f>
        <v/>
      </c>
      <c r="G233">
        <f>CONCATENATE($A$2, $A$1, $A233, G$2)</f>
        <v/>
      </c>
      <c r="H233">
        <f>CONCATENATE($A$2, $A$1, $A233, H$2)</f>
        <v/>
      </c>
      <c r="I233">
        <f>CONCATENATE($A$2, $A$1, $A233, I$2)</f>
        <v/>
      </c>
      <c r="J233">
        <f>CONCATENATE($A$2, $A$1, $A233, J$2)</f>
        <v/>
      </c>
      <c r="K233">
        <f>CurrAttrValue(D233, 0)</f>
        <v/>
      </c>
      <c r="L233">
        <f>CurrAttrValue(E233, 0)</f>
        <v/>
      </c>
      <c r="M233">
        <f>CurrAttrValue(H233, 0)</f>
        <v/>
      </c>
      <c r="N233">
        <f>CurrAttrValue(I233, 0)</f>
        <v/>
      </c>
      <c r="O233">
        <f>CurrAttrValue(J233, 0)</f>
        <v/>
      </c>
      <c r="P233" s="5">
        <f>"176"</f>
        <v/>
      </c>
      <c r="Q233" s="6">
        <f>"АОбс. Опасная пульсация давления в ЖТ7  "</f>
        <v/>
      </c>
      <c r="R233" s="7">
        <f>IF(N233, S233, "")</f>
        <v/>
      </c>
      <c r="S233" s="7">
        <f>CurrAttrValue(C233, 0)</f>
        <v/>
      </c>
      <c r="T233" s="5">
        <f>IF(K233=-200, "д.вх.", K233)</f>
        <v/>
      </c>
      <c r="U233" s="5">
        <f>IF(L233=-200, "д.вх.", IF(N233, O233, L233))</f>
        <v/>
      </c>
      <c r="V233" s="5">
        <f>CurrAttrValue(G233, 0)</f>
        <v/>
      </c>
      <c r="W233" s="5">
        <f>IF(M233, "Блокирована", IF(N233, "Проверено", "-"))</f>
        <v/>
      </c>
    </row>
    <row r="234" ht="20" customHeight="1">
      <c r="A234">
        <f>"System.PZ.A176"</f>
        <v/>
      </c>
      <c r="B234">
        <f>CONCATENATE($A$2, $A$1, $A234, B$2)</f>
        <v/>
      </c>
      <c r="C234">
        <f>CONCATENATE($A$2, $A$1, $A234, C$2)</f>
        <v/>
      </c>
      <c r="D234">
        <f>CONCATENATE($A$2, $A$1, $A234, D$2)</f>
        <v/>
      </c>
      <c r="E234">
        <f>CONCATENATE($A$2, $A$1, $A234, E$2)</f>
        <v/>
      </c>
      <c r="F234">
        <f>CONCATENATE($A$2, $A$1, $A234, F$2)</f>
        <v/>
      </c>
      <c r="G234">
        <f>CONCATENATE($A$2, $A$1, $A234, G$2)</f>
        <v/>
      </c>
      <c r="H234">
        <f>CONCATENATE($A$2, $A$1, $A234, H$2)</f>
        <v/>
      </c>
      <c r="I234">
        <f>CONCATENATE($A$2, $A$1, $A234, I$2)</f>
        <v/>
      </c>
      <c r="J234">
        <f>CONCATENATE($A$2, $A$1, $A234, J$2)</f>
        <v/>
      </c>
      <c r="K234">
        <f>CurrAttrValue(D234, 0)</f>
        <v/>
      </c>
      <c r="L234">
        <f>CurrAttrValue(E234, 0)</f>
        <v/>
      </c>
      <c r="M234">
        <f>CurrAttrValue(H234, 0)</f>
        <v/>
      </c>
      <c r="N234">
        <f>CurrAttrValue(I234, 0)</f>
        <v/>
      </c>
      <c r="O234">
        <f>CurrAttrValue(J234, 0)</f>
        <v/>
      </c>
      <c r="P234" s="5">
        <f>"177"</f>
        <v/>
      </c>
      <c r="Q234" s="6">
        <f>"АОбс. Опасная пульсация давления в ЖТ8  "</f>
        <v/>
      </c>
      <c r="R234" s="7">
        <f>IF(N234, S234, "")</f>
        <v/>
      </c>
      <c r="S234" s="7">
        <f>CurrAttrValue(C234, 0)</f>
        <v/>
      </c>
      <c r="T234" s="5">
        <f>IF(K234=-200, "д.вх.", K234)</f>
        <v/>
      </c>
      <c r="U234" s="5">
        <f>IF(L234=-200, "д.вх.", IF(N234, O234, L234))</f>
        <v/>
      </c>
      <c r="V234" s="5">
        <f>CurrAttrValue(G234, 0)</f>
        <v/>
      </c>
      <c r="W234" s="5">
        <f>IF(M234, "Блокирована", IF(N234, "Проверено", "-"))</f>
        <v/>
      </c>
    </row>
    <row r="235" ht="20" customHeight="1">
      <c r="A235">
        <f>"System.PZ.A177"</f>
        <v/>
      </c>
      <c r="B235">
        <f>CONCATENATE($A$2, $A$1, $A235, B$2)</f>
        <v/>
      </c>
      <c r="C235">
        <f>CONCATENATE($A$2, $A$1, $A235, C$2)</f>
        <v/>
      </c>
      <c r="D235">
        <f>CONCATENATE($A$2, $A$1, $A235, D$2)</f>
        <v/>
      </c>
      <c r="E235">
        <f>CONCATENATE($A$2, $A$1, $A235, E$2)</f>
        <v/>
      </c>
      <c r="F235">
        <f>CONCATENATE($A$2, $A$1, $A235, F$2)</f>
        <v/>
      </c>
      <c r="G235">
        <f>CONCATENATE($A$2, $A$1, $A235, G$2)</f>
        <v/>
      </c>
      <c r="H235">
        <f>CONCATENATE($A$2, $A$1, $A235, H$2)</f>
        <v/>
      </c>
      <c r="I235">
        <f>CONCATENATE($A$2, $A$1, $A235, I$2)</f>
        <v/>
      </c>
      <c r="J235">
        <f>CONCATENATE($A$2, $A$1, $A235, J$2)</f>
        <v/>
      </c>
      <c r="K235">
        <f>CurrAttrValue(D235, 0)</f>
        <v/>
      </c>
      <c r="L235">
        <f>CurrAttrValue(E235, 0)</f>
        <v/>
      </c>
      <c r="M235">
        <f>CurrAttrValue(H235, 0)</f>
        <v/>
      </c>
      <c r="N235">
        <f>CurrAttrValue(I235, 0)</f>
        <v/>
      </c>
      <c r="O235">
        <f>CurrAttrValue(J235, 0)</f>
        <v/>
      </c>
      <c r="P235" s="5">
        <f>"178"</f>
        <v/>
      </c>
      <c r="Q235" s="6">
        <f>"АОбс. Опасная пульсация давления в ЖТ9  "</f>
        <v/>
      </c>
      <c r="R235" s="7">
        <f>IF(N235, S235, "")</f>
        <v/>
      </c>
      <c r="S235" s="7">
        <f>CurrAttrValue(C235, 0)</f>
        <v/>
      </c>
      <c r="T235" s="5">
        <f>IF(K235=-200, "д.вх.", K235)</f>
        <v/>
      </c>
      <c r="U235" s="5">
        <f>IF(L235=-200, "д.вх.", IF(N235, O235, L235))</f>
        <v/>
      </c>
      <c r="V235" s="5">
        <f>CurrAttrValue(G235, 0)</f>
        <v/>
      </c>
      <c r="W235" s="5">
        <f>IF(M235, "Блокирована", IF(N235, "Проверено", "-"))</f>
        <v/>
      </c>
    </row>
    <row r="236" ht="20" customHeight="1">
      <c r="A236">
        <f>"System.PZ.A178"</f>
        <v/>
      </c>
      <c r="B236">
        <f>CONCATENATE($A$2, $A$1, $A236, B$2)</f>
        <v/>
      </c>
      <c r="C236">
        <f>CONCATENATE($A$2, $A$1, $A236, C$2)</f>
        <v/>
      </c>
      <c r="D236">
        <f>CONCATENATE($A$2, $A$1, $A236, D$2)</f>
        <v/>
      </c>
      <c r="E236">
        <f>CONCATENATE($A$2, $A$1, $A236, E$2)</f>
        <v/>
      </c>
      <c r="F236">
        <f>CONCATENATE($A$2, $A$1, $A236, F$2)</f>
        <v/>
      </c>
      <c r="G236">
        <f>CONCATENATE($A$2, $A$1, $A236, G$2)</f>
        <v/>
      </c>
      <c r="H236">
        <f>CONCATENATE($A$2, $A$1, $A236, H$2)</f>
        <v/>
      </c>
      <c r="I236">
        <f>CONCATENATE($A$2, $A$1, $A236, I$2)</f>
        <v/>
      </c>
      <c r="J236">
        <f>CONCATENATE($A$2, $A$1, $A236, J$2)</f>
        <v/>
      </c>
      <c r="K236">
        <f>CurrAttrValue(D236, 0)</f>
        <v/>
      </c>
      <c r="L236">
        <f>CurrAttrValue(E236, 0)</f>
        <v/>
      </c>
      <c r="M236">
        <f>CurrAttrValue(H236, 0)</f>
        <v/>
      </c>
      <c r="N236">
        <f>CurrAttrValue(I236, 0)</f>
        <v/>
      </c>
      <c r="O236">
        <f>CurrAttrValue(J236, 0)</f>
        <v/>
      </c>
      <c r="P236" s="5">
        <f>"179"</f>
        <v/>
      </c>
      <c r="Q236" s="6">
        <f>"АОбс. Опасная пульсация давления в ЖТ10  "</f>
        <v/>
      </c>
      <c r="R236" s="7">
        <f>IF(N236, S236, "")</f>
        <v/>
      </c>
      <c r="S236" s="7">
        <f>CurrAttrValue(C236, 0)</f>
        <v/>
      </c>
      <c r="T236" s="5">
        <f>IF(K236=-200, "д.вх.", K236)</f>
        <v/>
      </c>
      <c r="U236" s="5">
        <f>IF(L236=-200, "д.вх.", IF(N236, O236, L236))</f>
        <v/>
      </c>
      <c r="V236" s="5">
        <f>CurrAttrValue(G236, 0)</f>
        <v/>
      </c>
      <c r="W236" s="5">
        <f>IF(M236, "Блокирована", IF(N236, "Проверено", "-"))</f>
        <v/>
      </c>
    </row>
    <row r="237" ht="20" customHeight="1">
      <c r="A237">
        <f>"System.PZ.A179"</f>
        <v/>
      </c>
      <c r="B237">
        <f>CONCATENATE($A$2, $A$1, $A237, B$2)</f>
        <v/>
      </c>
      <c r="C237">
        <f>CONCATENATE($A$2, $A$1, $A237, C$2)</f>
        <v/>
      </c>
      <c r="D237">
        <f>CONCATENATE($A$2, $A$1, $A237, D$2)</f>
        <v/>
      </c>
      <c r="E237">
        <f>CONCATENATE($A$2, $A$1, $A237, E$2)</f>
        <v/>
      </c>
      <c r="F237">
        <f>CONCATENATE($A$2, $A$1, $A237, F$2)</f>
        <v/>
      </c>
      <c r="G237">
        <f>CONCATENATE($A$2, $A$1, $A237, G$2)</f>
        <v/>
      </c>
      <c r="H237">
        <f>CONCATENATE($A$2, $A$1, $A237, H$2)</f>
        <v/>
      </c>
      <c r="I237">
        <f>CONCATENATE($A$2, $A$1, $A237, I$2)</f>
        <v/>
      </c>
      <c r="J237">
        <f>CONCATENATE($A$2, $A$1, $A237, J$2)</f>
        <v/>
      </c>
      <c r="K237">
        <f>CurrAttrValue(D237, 0)</f>
        <v/>
      </c>
      <c r="L237">
        <f>CurrAttrValue(E237, 0)</f>
        <v/>
      </c>
      <c r="M237">
        <f>CurrAttrValue(H237, 0)</f>
        <v/>
      </c>
      <c r="N237">
        <f>CurrAttrValue(I237, 0)</f>
        <v/>
      </c>
      <c r="O237">
        <f>CurrAttrValue(J237, 0)</f>
        <v/>
      </c>
      <c r="P237" s="5">
        <f>"180"</f>
        <v/>
      </c>
      <c r="Q237" s="6">
        <f>"АОбс. Опасная пульсация давления в ЖТ11  "</f>
        <v/>
      </c>
      <c r="R237" s="7">
        <f>IF(N237, S237, "")</f>
        <v/>
      </c>
      <c r="S237" s="7">
        <f>CurrAttrValue(C237, 0)</f>
        <v/>
      </c>
      <c r="T237" s="5">
        <f>IF(K237=-200, "д.вх.", K237)</f>
        <v/>
      </c>
      <c r="U237" s="5">
        <f>IF(L237=-200, "д.вх.", IF(N237, O237, L237))</f>
        <v/>
      </c>
      <c r="V237" s="5">
        <f>CurrAttrValue(G237, 0)</f>
        <v/>
      </c>
      <c r="W237" s="5">
        <f>IF(M237, "Блокирована", IF(N237, "Проверено", "-"))</f>
        <v/>
      </c>
    </row>
    <row r="238" ht="20" customHeight="1">
      <c r="A238">
        <f>"System.PZ.A180"</f>
        <v/>
      </c>
      <c r="B238">
        <f>CONCATENATE($A$2, $A$1, $A238, B$2)</f>
        <v/>
      </c>
      <c r="C238">
        <f>CONCATENATE($A$2, $A$1, $A238, C$2)</f>
        <v/>
      </c>
      <c r="D238">
        <f>CONCATENATE($A$2, $A$1, $A238, D$2)</f>
        <v/>
      </c>
      <c r="E238">
        <f>CONCATENATE($A$2, $A$1, $A238, E$2)</f>
        <v/>
      </c>
      <c r="F238">
        <f>CONCATENATE($A$2, $A$1, $A238, F$2)</f>
        <v/>
      </c>
      <c r="G238">
        <f>CONCATENATE($A$2, $A$1, $A238, G$2)</f>
        <v/>
      </c>
      <c r="H238">
        <f>CONCATENATE($A$2, $A$1, $A238, H$2)</f>
        <v/>
      </c>
      <c r="I238">
        <f>CONCATENATE($A$2, $A$1, $A238, I$2)</f>
        <v/>
      </c>
      <c r="J238">
        <f>CONCATENATE($A$2, $A$1, $A238, J$2)</f>
        <v/>
      </c>
      <c r="K238">
        <f>CurrAttrValue(D238, 0)</f>
        <v/>
      </c>
      <c r="L238">
        <f>CurrAttrValue(E238, 0)</f>
        <v/>
      </c>
      <c r="M238">
        <f>CurrAttrValue(H238, 0)</f>
        <v/>
      </c>
      <c r="N238">
        <f>CurrAttrValue(I238, 0)</f>
        <v/>
      </c>
      <c r="O238">
        <f>CurrAttrValue(J238, 0)</f>
        <v/>
      </c>
      <c r="P238" s="5">
        <f>"181"</f>
        <v/>
      </c>
      <c r="Q238" s="6">
        <f>"АОбс. Опасная пульсация давления в ЖТ12  "</f>
        <v/>
      </c>
      <c r="R238" s="7">
        <f>IF(N238, S238, "")</f>
        <v/>
      </c>
      <c r="S238" s="7">
        <f>CurrAttrValue(C238, 0)</f>
        <v/>
      </c>
      <c r="T238" s="5">
        <f>IF(K238=-200, "д.вх.", K238)</f>
        <v/>
      </c>
      <c r="U238" s="5">
        <f>IF(L238=-200, "д.вх.", IF(N238, O238, L238))</f>
        <v/>
      </c>
      <c r="V238" s="5">
        <f>CurrAttrValue(G238, 0)</f>
        <v/>
      </c>
      <c r="W238" s="5">
        <f>IF(M238, "Блокирована", IF(N238, "Проверено", "-"))</f>
        <v/>
      </c>
    </row>
    <row r="239" ht="20" customHeight="1">
      <c r="A239">
        <f>"System.PZ.A181"</f>
        <v/>
      </c>
      <c r="B239">
        <f>CONCATENATE($A$2, $A$1, $A239, B$2)</f>
        <v/>
      </c>
      <c r="C239">
        <f>CONCATENATE($A$2, $A$1, $A239, C$2)</f>
        <v/>
      </c>
      <c r="D239">
        <f>CONCATENATE($A$2, $A$1, $A239, D$2)</f>
        <v/>
      </c>
      <c r="E239">
        <f>CONCATENATE($A$2, $A$1, $A239, E$2)</f>
        <v/>
      </c>
      <c r="F239">
        <f>CONCATENATE($A$2, $A$1, $A239, F$2)</f>
        <v/>
      </c>
      <c r="G239">
        <f>CONCATENATE($A$2, $A$1, $A239, G$2)</f>
        <v/>
      </c>
      <c r="H239">
        <f>CONCATENATE($A$2, $A$1, $A239, H$2)</f>
        <v/>
      </c>
      <c r="I239">
        <f>CONCATENATE($A$2, $A$1, $A239, I$2)</f>
        <v/>
      </c>
      <c r="J239">
        <f>CONCATENATE($A$2, $A$1, $A239, J$2)</f>
        <v/>
      </c>
      <c r="K239">
        <f>CurrAttrValue(D239, 0)</f>
        <v/>
      </c>
      <c r="L239">
        <f>CurrAttrValue(E239, 0)</f>
        <v/>
      </c>
      <c r="M239">
        <f>CurrAttrValue(H239, 0)</f>
        <v/>
      </c>
      <c r="N239">
        <f>CurrAttrValue(I239, 0)</f>
        <v/>
      </c>
      <c r="O239">
        <f>CurrAttrValue(J239, 0)</f>
        <v/>
      </c>
      <c r="P239" s="5">
        <f>"182"</f>
        <v/>
      </c>
      <c r="Q239" s="6">
        <f>"АОсс. БЭАО сработал (от AD100)  "</f>
        <v/>
      </c>
      <c r="R239" s="7">
        <f>IF(N239, S239, "")</f>
        <v/>
      </c>
      <c r="S239" s="7">
        <f>CurrAttrValue(C239, 0)</f>
        <v/>
      </c>
      <c r="T239" s="5">
        <f>IF(K239=-200, "д.вх.", K239)</f>
        <v/>
      </c>
      <c r="U239" s="5">
        <f>IF(L239=-200, "д.вх.", IF(N239, O239, L239))</f>
        <v/>
      </c>
      <c r="V239" s="5">
        <f>CurrAttrValue(G239, 0)</f>
        <v/>
      </c>
      <c r="W239" s="5">
        <f>IF(M239, "Блокирована", IF(N239, "Проверено", "-"))</f>
        <v/>
      </c>
    </row>
    <row r="242" ht="35" customHeight="1">
      <c r="Q242" s="8">
        <f>"должность"</f>
        <v/>
      </c>
      <c r="R242" s="9" t="n"/>
      <c r="S242" s="8">
        <f>"ФИО"</f>
        <v/>
      </c>
      <c r="T242" s="9" t="n"/>
      <c r="U242" s="8">
        <f>"подпись"</f>
        <v/>
      </c>
    </row>
    <row r="243" ht="35" customHeight="1">
      <c r="Q243" s="8">
        <f>"должность"</f>
        <v/>
      </c>
      <c r="R243" s="9" t="n"/>
      <c r="S243" s="8">
        <f>"ФИО"</f>
        <v/>
      </c>
      <c r="T243" s="9" t="n"/>
      <c r="U243" s="8">
        <f>"подпись"</f>
        <v/>
      </c>
    </row>
    <row r="244" ht="35" customHeight="1">
      <c r="Q244" s="8">
        <f>"должность"</f>
        <v/>
      </c>
      <c r="R244" s="9" t="n"/>
      <c r="S244" s="8">
        <f>"ФИО"</f>
        <v/>
      </c>
      <c r="T244" s="9" t="n"/>
      <c r="U244" s="8">
        <f>"подпись"</f>
        <v/>
      </c>
    </row>
    <row r="246" ht="25" customHeight="1">
      <c r="Q246" s="1">
        <f>"Протокол проверки защит ГПА3 на "</f>
        <v/>
      </c>
      <c r="R246" s="2">
        <f>R1</f>
        <v/>
      </c>
      <c r="S246" s="3">
        <f>S1</f>
        <v/>
      </c>
    </row>
    <row r="248" ht="20" customHeight="1">
      <c r="P248" s="4">
        <f>"№"</f>
        <v/>
      </c>
      <c r="Q248" s="4">
        <f>"Наименование защиты  "</f>
        <v/>
      </c>
      <c r="R248" s="4">
        <f>"Таймер"</f>
        <v/>
      </c>
      <c r="S248" s="4">
        <f>"Задержка"</f>
        <v/>
      </c>
      <c r="T248" s="4">
        <f>"Уставка"</f>
        <v/>
      </c>
      <c r="U248" s="4">
        <f>"Значение"</f>
        <v/>
      </c>
      <c r="V248" s="4">
        <f>"Eд.изм"</f>
        <v/>
      </c>
      <c r="W248" s="4">
        <f>"Отметка о проверке"</f>
        <v/>
      </c>
    </row>
    <row r="249" ht="20" customHeight="1">
      <c r="A249">
        <f>"System.PZ.A182"</f>
        <v/>
      </c>
      <c r="B249">
        <f>CONCATENATE($A$2, $A$1, $A249, B$2)</f>
        <v/>
      </c>
      <c r="C249">
        <f>CONCATENATE($A$2, $A$1, $A249, C$2)</f>
        <v/>
      </c>
      <c r="D249">
        <f>CONCATENATE($A$2, $A$1, $A249, D$2)</f>
        <v/>
      </c>
      <c r="E249">
        <f>CONCATENATE($A$2, $A$1, $A249, E$2)</f>
        <v/>
      </c>
      <c r="F249">
        <f>CONCATENATE($A$2, $A$1, $A249, F$2)</f>
        <v/>
      </c>
      <c r="G249">
        <f>CONCATENATE($A$2, $A$1, $A249, G$2)</f>
        <v/>
      </c>
      <c r="H249">
        <f>CONCATENATE($A$2, $A$1, $A249, H$2)</f>
        <v/>
      </c>
      <c r="I249">
        <f>CONCATENATE($A$2, $A$1, $A249, I$2)</f>
        <v/>
      </c>
      <c r="J249">
        <f>CONCATENATE($A$2, $A$1, $A249, J$2)</f>
        <v/>
      </c>
      <c r="K249">
        <f>CurrAttrValue(D249, 0)</f>
        <v/>
      </c>
      <c r="L249">
        <f>CurrAttrValue(E249, 0)</f>
        <v/>
      </c>
      <c r="M249">
        <f>CurrAttrValue(H249, 0)</f>
        <v/>
      </c>
      <c r="N249">
        <f>CurrAttrValue(I249, 0)</f>
        <v/>
      </c>
      <c r="O249">
        <f>CurrAttrValue(J249, 0)</f>
        <v/>
      </c>
      <c r="P249" s="5">
        <f>"183"</f>
        <v/>
      </c>
      <c r="Q249" s="6">
        <f>"АОсс. Авария ПЛК AD100  "</f>
        <v/>
      </c>
      <c r="R249" s="7">
        <f>IF(N249, S249, "")</f>
        <v/>
      </c>
      <c r="S249" s="7">
        <f>CurrAttrValue(C249, 0)</f>
        <v/>
      </c>
      <c r="T249" s="5">
        <f>IF(K249=-200, "д.вх.", K249)</f>
        <v/>
      </c>
      <c r="U249" s="5">
        <f>IF(L249=-200, "д.вх.", IF(N249, O249, L249))</f>
        <v/>
      </c>
      <c r="V249" s="5">
        <f>CurrAttrValue(G249, 0)</f>
        <v/>
      </c>
      <c r="W249" s="5">
        <f>IF(M249, "Блокирована", IF(N249, "Проверено", "-"))</f>
        <v/>
      </c>
    </row>
    <row r="250" ht="20" customHeight="1">
      <c r="A250">
        <f>"System.PZ.A183"</f>
        <v/>
      </c>
      <c r="B250">
        <f>CONCATENATE($A$2, $A$1, $A250, B$2)</f>
        <v/>
      </c>
      <c r="C250">
        <f>CONCATENATE($A$2, $A$1, $A250, C$2)</f>
        <v/>
      </c>
      <c r="D250">
        <f>CONCATENATE($A$2, $A$1, $A250, D$2)</f>
        <v/>
      </c>
      <c r="E250">
        <f>CONCATENATE($A$2, $A$1, $A250, E$2)</f>
        <v/>
      </c>
      <c r="F250">
        <f>CONCATENATE($A$2, $A$1, $A250, F$2)</f>
        <v/>
      </c>
      <c r="G250">
        <f>CONCATENATE($A$2, $A$1, $A250, G$2)</f>
        <v/>
      </c>
      <c r="H250">
        <f>CONCATENATE($A$2, $A$1, $A250, H$2)</f>
        <v/>
      </c>
      <c r="I250">
        <f>CONCATENATE($A$2, $A$1, $A250, I$2)</f>
        <v/>
      </c>
      <c r="J250">
        <f>CONCATENATE($A$2, $A$1, $A250, J$2)</f>
        <v/>
      </c>
      <c r="K250">
        <f>CurrAttrValue(D250, 0)</f>
        <v/>
      </c>
      <c r="L250">
        <f>CurrAttrValue(E250, 0)</f>
        <v/>
      </c>
      <c r="M250">
        <f>CurrAttrValue(H250, 0)</f>
        <v/>
      </c>
      <c r="N250">
        <f>CurrAttrValue(I250, 0)</f>
        <v/>
      </c>
      <c r="O250">
        <f>CurrAttrValue(J250, 0)</f>
        <v/>
      </c>
      <c r="P250" s="5">
        <f>"184"</f>
        <v/>
      </c>
      <c r="Q250" s="6">
        <f>"АОсс. Нет связи с ПЛК AD200  "</f>
        <v/>
      </c>
      <c r="R250" s="7">
        <f>IF(N250, S250, "")</f>
        <v/>
      </c>
      <c r="S250" s="7">
        <f>CurrAttrValue(C250, 0)</f>
        <v/>
      </c>
      <c r="T250" s="5">
        <f>IF(K250=-200, "д.вх.", K250)</f>
        <v/>
      </c>
      <c r="U250" s="5">
        <f>IF(L250=-200, "д.вх.", IF(N250, O250, L250))</f>
        <v/>
      </c>
      <c r="V250" s="5">
        <f>CurrAttrValue(G250, 0)</f>
        <v/>
      </c>
      <c r="W250" s="5">
        <f>IF(M250, "Блокирована", IF(N250, "Проверено", "-"))</f>
        <v/>
      </c>
    </row>
    <row r="251" ht="20" customHeight="1">
      <c r="A251">
        <f>"System.PZ.A184"</f>
        <v/>
      </c>
      <c r="B251">
        <f>CONCATENATE($A$2, $A$1, $A251, B$2)</f>
        <v/>
      </c>
      <c r="C251">
        <f>CONCATENATE($A$2, $A$1, $A251, C$2)</f>
        <v/>
      </c>
      <c r="D251">
        <f>CONCATENATE($A$2, $A$1, $A251, D$2)</f>
        <v/>
      </c>
      <c r="E251">
        <f>CONCATENATE($A$2, $A$1, $A251, E$2)</f>
        <v/>
      </c>
      <c r="F251">
        <f>CONCATENATE($A$2, $A$1, $A251, F$2)</f>
        <v/>
      </c>
      <c r="G251">
        <f>CONCATENATE($A$2, $A$1, $A251, G$2)</f>
        <v/>
      </c>
      <c r="H251">
        <f>CONCATENATE($A$2, $A$1, $A251, H$2)</f>
        <v/>
      </c>
      <c r="I251">
        <f>CONCATENATE($A$2, $A$1, $A251, I$2)</f>
        <v/>
      </c>
      <c r="J251">
        <f>CONCATENATE($A$2, $A$1, $A251, J$2)</f>
        <v/>
      </c>
      <c r="K251">
        <f>CurrAttrValue(D251, 0)</f>
        <v/>
      </c>
      <c r="L251">
        <f>CurrAttrValue(E251, 0)</f>
        <v/>
      </c>
      <c r="M251">
        <f>CurrAttrValue(H251, 0)</f>
        <v/>
      </c>
      <c r="N251">
        <f>CurrAttrValue(I251, 0)</f>
        <v/>
      </c>
      <c r="O251">
        <f>CurrAttrValue(J251, 0)</f>
        <v/>
      </c>
      <c r="P251" s="5">
        <f>"185"</f>
        <v/>
      </c>
      <c r="Q251" s="6">
        <f>"АОбс. Обрыв связи с виброаппаратурой ТИК  "</f>
        <v/>
      </c>
      <c r="R251" s="7">
        <f>IF(N251, S251, "")</f>
        <v/>
      </c>
      <c r="S251" s="7">
        <f>CurrAttrValue(C251, 0)</f>
        <v/>
      </c>
      <c r="T251" s="5">
        <f>IF(K251=-200, "д.вх.", K251)</f>
        <v/>
      </c>
      <c r="U251" s="5">
        <f>IF(L251=-200, "д.вх.", IF(N251, O251, L251))</f>
        <v/>
      </c>
      <c r="V251" s="5">
        <f>CurrAttrValue(G251, 0)</f>
        <v/>
      </c>
      <c r="W251" s="5">
        <f>IF(M251, "Блокирована", IF(N251, "Проверено", "-"))</f>
        <v/>
      </c>
    </row>
    <row r="252" ht="20" customHeight="1">
      <c r="A252">
        <f>"System.PZ.A185"</f>
        <v/>
      </c>
      <c r="B252">
        <f>CONCATENATE($A$2, $A$1, $A252, B$2)</f>
        <v/>
      </c>
      <c r="C252">
        <f>CONCATENATE($A$2, $A$1, $A252, C$2)</f>
        <v/>
      </c>
      <c r="D252">
        <f>CONCATENATE($A$2, $A$1, $A252, D$2)</f>
        <v/>
      </c>
      <c r="E252">
        <f>CONCATENATE($A$2, $A$1, $A252, E$2)</f>
        <v/>
      </c>
      <c r="F252">
        <f>CONCATENATE($A$2, $A$1, $A252, F$2)</f>
        <v/>
      </c>
      <c r="G252">
        <f>CONCATENATE($A$2, $A$1, $A252, G$2)</f>
        <v/>
      </c>
      <c r="H252">
        <f>CONCATENATE($A$2, $A$1, $A252, H$2)</f>
        <v/>
      </c>
      <c r="I252">
        <f>CONCATENATE($A$2, $A$1, $A252, I$2)</f>
        <v/>
      </c>
      <c r="J252">
        <f>CONCATENATE($A$2, $A$1, $A252, J$2)</f>
        <v/>
      </c>
      <c r="K252">
        <f>CurrAttrValue(D252, 0)</f>
        <v/>
      </c>
      <c r="L252">
        <f>CurrAttrValue(E252, 0)</f>
        <v/>
      </c>
      <c r="M252">
        <f>CurrAttrValue(H252, 0)</f>
        <v/>
      </c>
      <c r="N252">
        <f>CurrAttrValue(I252, 0)</f>
        <v/>
      </c>
      <c r="O252">
        <f>CurrAttrValue(J252, 0)</f>
        <v/>
      </c>
      <c r="P252" s="5">
        <f>"186"</f>
        <v/>
      </c>
      <c r="Q252" s="6">
        <f>"АОсс. Опасная вибрация ротора Н в передней опоре  "</f>
        <v/>
      </c>
      <c r="R252" s="7">
        <f>IF(N252, S252, "")</f>
        <v/>
      </c>
      <c r="S252" s="7">
        <f>CurrAttrValue(C252, 0)</f>
        <v/>
      </c>
      <c r="T252" s="5">
        <f>IF(K252=-200, "д.вх.", K252)</f>
        <v/>
      </c>
      <c r="U252" s="5">
        <f>IF(L252=-200, "д.вх.", IF(N252, O252, L252))</f>
        <v/>
      </c>
      <c r="V252" s="5">
        <f>CurrAttrValue(G252, 0)</f>
        <v/>
      </c>
      <c r="W252" s="5">
        <f>IF(M252, "Блокирована", IF(N252, "Проверено", "-"))</f>
        <v/>
      </c>
    </row>
    <row r="253" ht="20" customHeight="1">
      <c r="A253">
        <f>"System.PZ.A186"</f>
        <v/>
      </c>
      <c r="B253">
        <f>CONCATENATE($A$2, $A$1, $A253, B$2)</f>
        <v/>
      </c>
      <c r="C253">
        <f>CONCATENATE($A$2, $A$1, $A253, C$2)</f>
        <v/>
      </c>
      <c r="D253">
        <f>CONCATENATE($A$2, $A$1, $A253, D$2)</f>
        <v/>
      </c>
      <c r="E253">
        <f>CONCATENATE($A$2, $A$1, $A253, E$2)</f>
        <v/>
      </c>
      <c r="F253">
        <f>CONCATENATE($A$2, $A$1, $A253, F$2)</f>
        <v/>
      </c>
      <c r="G253">
        <f>CONCATENATE($A$2, $A$1, $A253, G$2)</f>
        <v/>
      </c>
      <c r="H253">
        <f>CONCATENATE($A$2, $A$1, $A253, H$2)</f>
        <v/>
      </c>
      <c r="I253">
        <f>CONCATENATE($A$2, $A$1, $A253, I$2)</f>
        <v/>
      </c>
      <c r="J253">
        <f>CONCATENATE($A$2, $A$1, $A253, J$2)</f>
        <v/>
      </c>
      <c r="K253">
        <f>CurrAttrValue(D253, 0)</f>
        <v/>
      </c>
      <c r="L253">
        <f>CurrAttrValue(E253, 0)</f>
        <v/>
      </c>
      <c r="M253">
        <f>CurrAttrValue(H253, 0)</f>
        <v/>
      </c>
      <c r="N253">
        <f>CurrAttrValue(I253, 0)</f>
        <v/>
      </c>
      <c r="O253">
        <f>CurrAttrValue(J253, 0)</f>
        <v/>
      </c>
      <c r="P253" s="5">
        <f>"187"</f>
        <v/>
      </c>
      <c r="Q253" s="6">
        <f>"АОсс. Опасная вибрация ротора Н в задней опоре  "</f>
        <v/>
      </c>
      <c r="R253" s="7">
        <f>IF(N253, S253, "")</f>
        <v/>
      </c>
      <c r="S253" s="7">
        <f>CurrAttrValue(C253, 0)</f>
        <v/>
      </c>
      <c r="T253" s="5">
        <f>IF(K253=-200, "д.вх.", K253)</f>
        <v/>
      </c>
      <c r="U253" s="5">
        <f>IF(L253=-200, "д.вх.", IF(N253, O253, L253))</f>
        <v/>
      </c>
      <c r="V253" s="5">
        <f>CurrAttrValue(G253, 0)</f>
        <v/>
      </c>
      <c r="W253" s="5">
        <f>IF(M253, "Блокирована", IF(N253, "Проверено", "-"))</f>
        <v/>
      </c>
    </row>
    <row r="254" ht="20" customHeight="1">
      <c r="A254">
        <f>"System.PZ.A187"</f>
        <v/>
      </c>
      <c r="B254">
        <f>CONCATENATE($A$2, $A$1, $A254, B$2)</f>
        <v/>
      </c>
      <c r="C254">
        <f>CONCATENATE($A$2, $A$1, $A254, C$2)</f>
        <v/>
      </c>
      <c r="D254">
        <f>CONCATENATE($A$2, $A$1, $A254, D$2)</f>
        <v/>
      </c>
      <c r="E254">
        <f>CONCATENATE($A$2, $A$1, $A254, E$2)</f>
        <v/>
      </c>
      <c r="F254">
        <f>CONCATENATE($A$2, $A$1, $A254, F$2)</f>
        <v/>
      </c>
      <c r="G254">
        <f>CONCATENATE($A$2, $A$1, $A254, G$2)</f>
        <v/>
      </c>
      <c r="H254">
        <f>CONCATENATE($A$2, $A$1, $A254, H$2)</f>
        <v/>
      </c>
      <c r="I254">
        <f>CONCATENATE($A$2, $A$1, $A254, I$2)</f>
        <v/>
      </c>
      <c r="J254">
        <f>CONCATENATE($A$2, $A$1, $A254, J$2)</f>
        <v/>
      </c>
      <c r="K254">
        <f>CurrAttrValue(D254, 0)</f>
        <v/>
      </c>
      <c r="L254">
        <f>CurrAttrValue(E254, 0)</f>
        <v/>
      </c>
      <c r="M254">
        <f>CurrAttrValue(H254, 0)</f>
        <v/>
      </c>
      <c r="N254">
        <f>CurrAttrValue(I254, 0)</f>
        <v/>
      </c>
      <c r="O254">
        <f>CurrAttrValue(J254, 0)</f>
        <v/>
      </c>
      <c r="P254" s="5">
        <f>"188"</f>
        <v/>
      </c>
      <c r="Q254" s="6">
        <f>"АОсс. Аварийный осевой сдвиг ротора нагнетателя вперед к двигателю  "</f>
        <v/>
      </c>
      <c r="R254" s="7">
        <f>IF(N254, S254, "")</f>
        <v/>
      </c>
      <c r="S254" s="7">
        <f>CurrAttrValue(C254, 0)</f>
        <v/>
      </c>
      <c r="T254" s="5">
        <f>IF(K254=-200, "д.вх.", K254)</f>
        <v/>
      </c>
      <c r="U254" s="5">
        <f>IF(L254=-200, "д.вх.", IF(N254, O254, L254))</f>
        <v/>
      </c>
      <c r="V254" s="5">
        <f>CurrAttrValue(G254, 0)</f>
        <v/>
      </c>
      <c r="W254" s="5">
        <f>IF(M254, "Блокирована", IF(N254, "Проверено", "-"))</f>
        <v/>
      </c>
    </row>
    <row r="255" ht="20" customHeight="1">
      <c r="A255">
        <f>"System.PZ.A188"</f>
        <v/>
      </c>
      <c r="B255">
        <f>CONCATENATE($A$2, $A$1, $A255, B$2)</f>
        <v/>
      </c>
      <c r="C255">
        <f>CONCATENATE($A$2, $A$1, $A255, C$2)</f>
        <v/>
      </c>
      <c r="D255">
        <f>CONCATENATE($A$2, $A$1, $A255, D$2)</f>
        <v/>
      </c>
      <c r="E255">
        <f>CONCATENATE($A$2, $A$1, $A255, E$2)</f>
        <v/>
      </c>
      <c r="F255">
        <f>CONCATENATE($A$2, $A$1, $A255, F$2)</f>
        <v/>
      </c>
      <c r="G255">
        <f>CONCATENATE($A$2, $A$1, $A255, G$2)</f>
        <v/>
      </c>
      <c r="H255">
        <f>CONCATENATE($A$2, $A$1, $A255, H$2)</f>
        <v/>
      </c>
      <c r="I255">
        <f>CONCATENATE($A$2, $A$1, $A255, I$2)</f>
        <v/>
      </c>
      <c r="J255">
        <f>CONCATENATE($A$2, $A$1, $A255, J$2)</f>
        <v/>
      </c>
      <c r="K255">
        <f>CurrAttrValue(D255, 0)</f>
        <v/>
      </c>
      <c r="L255">
        <f>CurrAttrValue(E255, 0)</f>
        <v/>
      </c>
      <c r="M255">
        <f>CurrAttrValue(H255, 0)</f>
        <v/>
      </c>
      <c r="N255">
        <f>CurrAttrValue(I255, 0)</f>
        <v/>
      </c>
      <c r="O255">
        <f>CurrAttrValue(J255, 0)</f>
        <v/>
      </c>
      <c r="P255" s="5">
        <f>"189"</f>
        <v/>
      </c>
      <c r="Q255" s="6">
        <f>"АОсс. Аварийный осевой сдвиг ротора нагнетателя назад к двигателю  "</f>
        <v/>
      </c>
      <c r="R255" s="7">
        <f>IF(N255, S255, "")</f>
        <v/>
      </c>
      <c r="S255" s="7">
        <f>CurrAttrValue(C255, 0)</f>
        <v/>
      </c>
      <c r="T255" s="5">
        <f>IF(K255=-200, "д.вх.", K255)</f>
        <v/>
      </c>
      <c r="U255" s="5">
        <f>IF(L255=-200, "д.вх.", IF(N255, O255, L255))</f>
        <v/>
      </c>
      <c r="V255" s="5">
        <f>CurrAttrValue(G255, 0)</f>
        <v/>
      </c>
      <c r="W255" s="5">
        <f>IF(M255, "Блокирована", IF(N255, "Проверено", "-"))</f>
        <v/>
      </c>
    </row>
    <row r="256" ht="20" customHeight="1">
      <c r="A256">
        <f>"System.PZ.A189"</f>
        <v/>
      </c>
      <c r="B256">
        <f>CONCATENATE($A$2, $A$1, $A256, B$2)</f>
        <v/>
      </c>
      <c r="C256">
        <f>CONCATENATE($A$2, $A$1, $A256, C$2)</f>
        <v/>
      </c>
      <c r="D256">
        <f>CONCATENATE($A$2, $A$1, $A256, D$2)</f>
        <v/>
      </c>
      <c r="E256">
        <f>CONCATENATE($A$2, $A$1, $A256, E$2)</f>
        <v/>
      </c>
      <c r="F256">
        <f>CONCATENATE($A$2, $A$1, $A256, F$2)</f>
        <v/>
      </c>
      <c r="G256">
        <f>CONCATENATE($A$2, $A$1, $A256, G$2)</f>
        <v/>
      </c>
      <c r="H256">
        <f>CONCATENATE($A$2, $A$1, $A256, H$2)</f>
        <v/>
      </c>
      <c r="I256">
        <f>CONCATENATE($A$2, $A$1, $A256, I$2)</f>
        <v/>
      </c>
      <c r="J256">
        <f>CONCATENATE($A$2, $A$1, $A256, J$2)</f>
        <v/>
      </c>
      <c r="K256">
        <f>CurrAttrValue(D256, 0)</f>
        <v/>
      </c>
      <c r="L256">
        <f>CurrAttrValue(E256, 0)</f>
        <v/>
      </c>
      <c r="M256">
        <f>CurrAttrValue(H256, 0)</f>
        <v/>
      </c>
      <c r="N256">
        <f>CurrAttrValue(I256, 0)</f>
        <v/>
      </c>
      <c r="O256">
        <f>CurrAttrValue(J256, 0)</f>
        <v/>
      </c>
      <c r="P256" s="5">
        <f>"190"</f>
        <v/>
      </c>
      <c r="Q256" s="6">
        <f>"АОсс. Аварийно-низкое давление масла смазки нагнетателя  "</f>
        <v/>
      </c>
      <c r="R256" s="7">
        <f>IF(N256, S256, "")</f>
        <v/>
      </c>
      <c r="S256" s="7">
        <f>CurrAttrValue(C256, 0)</f>
        <v/>
      </c>
      <c r="T256" s="5">
        <f>IF(K256=-200, "д.вх.", K256)</f>
        <v/>
      </c>
      <c r="U256" s="5">
        <f>IF(L256=-200, "д.вх.", IF(N256, O256, L256))</f>
        <v/>
      </c>
      <c r="V256" s="5">
        <f>CurrAttrValue(G256, 0)</f>
        <v/>
      </c>
      <c r="W256" s="5">
        <f>IF(M256, "Блокирована", IF(N256, "Проверено", "-"))</f>
        <v/>
      </c>
    </row>
    <row r="257" ht="20" customHeight="1">
      <c r="A257">
        <f>"System.PZ.A190"</f>
        <v/>
      </c>
      <c r="B257">
        <f>CONCATENATE($A$2, $A$1, $A257, B$2)</f>
        <v/>
      </c>
      <c r="C257">
        <f>CONCATENATE($A$2, $A$1, $A257, C$2)</f>
        <v/>
      </c>
      <c r="D257">
        <f>CONCATENATE($A$2, $A$1, $A257, D$2)</f>
        <v/>
      </c>
      <c r="E257">
        <f>CONCATENATE($A$2, $A$1, $A257, E$2)</f>
        <v/>
      </c>
      <c r="F257">
        <f>CONCATENATE($A$2, $A$1, $A257, F$2)</f>
        <v/>
      </c>
      <c r="G257">
        <f>CONCATENATE($A$2, $A$1, $A257, G$2)</f>
        <v/>
      </c>
      <c r="H257">
        <f>CONCATENATE($A$2, $A$1, $A257, H$2)</f>
        <v/>
      </c>
      <c r="I257">
        <f>CONCATENATE($A$2, $A$1, $A257, I$2)</f>
        <v/>
      </c>
      <c r="J257">
        <f>CONCATENATE($A$2, $A$1, $A257, J$2)</f>
        <v/>
      </c>
      <c r="K257">
        <f>CurrAttrValue(D257, 0)</f>
        <v/>
      </c>
      <c r="L257">
        <f>CurrAttrValue(E257, 0)</f>
        <v/>
      </c>
      <c r="M257">
        <f>CurrAttrValue(H257, 0)</f>
        <v/>
      </c>
      <c r="N257">
        <f>CurrAttrValue(I257, 0)</f>
        <v/>
      </c>
      <c r="O257">
        <f>CurrAttrValue(J257, 0)</f>
        <v/>
      </c>
      <c r="P257" s="5">
        <f>"191"</f>
        <v/>
      </c>
      <c r="Q257" s="6">
        <f>"АОсс. Аварийно-высокая Т передней колодки упорного подшипника Н  "</f>
        <v/>
      </c>
      <c r="R257" s="7">
        <f>IF(N257, S257, "")</f>
        <v/>
      </c>
      <c r="S257" s="7">
        <f>CurrAttrValue(C257, 0)</f>
        <v/>
      </c>
      <c r="T257" s="5">
        <f>IF(K257=-200, "д.вх.", K257)</f>
        <v/>
      </c>
      <c r="U257" s="5">
        <f>IF(L257=-200, "д.вх.", IF(N257, O257, L257))</f>
        <v/>
      </c>
      <c r="V257" s="5">
        <f>CurrAttrValue(G257, 0)</f>
        <v/>
      </c>
      <c r="W257" s="5">
        <f>IF(M257, "Блокирована", IF(N257, "Проверено", "-"))</f>
        <v/>
      </c>
    </row>
    <row r="258" ht="20" customHeight="1">
      <c r="A258">
        <f>"System.PZ.A191"</f>
        <v/>
      </c>
      <c r="B258">
        <f>CONCATENATE($A$2, $A$1, $A258, B$2)</f>
        <v/>
      </c>
      <c r="C258">
        <f>CONCATENATE($A$2, $A$1, $A258, C$2)</f>
        <v/>
      </c>
      <c r="D258">
        <f>CONCATENATE($A$2, $A$1, $A258, D$2)</f>
        <v/>
      </c>
      <c r="E258">
        <f>CONCATENATE($A$2, $A$1, $A258, E$2)</f>
        <v/>
      </c>
      <c r="F258">
        <f>CONCATENATE($A$2, $A$1, $A258, F$2)</f>
        <v/>
      </c>
      <c r="G258">
        <f>CONCATENATE($A$2, $A$1, $A258, G$2)</f>
        <v/>
      </c>
      <c r="H258">
        <f>CONCATENATE($A$2, $A$1, $A258, H$2)</f>
        <v/>
      </c>
      <c r="I258">
        <f>CONCATENATE($A$2, $A$1, $A258, I$2)</f>
        <v/>
      </c>
      <c r="J258">
        <f>CONCATENATE($A$2, $A$1, $A258, J$2)</f>
        <v/>
      </c>
      <c r="K258">
        <f>CurrAttrValue(D258, 0)</f>
        <v/>
      </c>
      <c r="L258">
        <f>CurrAttrValue(E258, 0)</f>
        <v/>
      </c>
      <c r="M258">
        <f>CurrAttrValue(H258, 0)</f>
        <v/>
      </c>
      <c r="N258">
        <f>CurrAttrValue(I258, 0)</f>
        <v/>
      </c>
      <c r="O258">
        <f>CurrAttrValue(J258, 0)</f>
        <v/>
      </c>
      <c r="P258" s="5">
        <f>"192"</f>
        <v/>
      </c>
      <c r="Q258" s="6">
        <f>"АОсс. Аварийно-высокая Т задней колодки упорного подшипника Н  "</f>
        <v/>
      </c>
      <c r="R258" s="7">
        <f>IF(N258, S258, "")</f>
        <v/>
      </c>
      <c r="S258" s="7">
        <f>CurrAttrValue(C258, 0)</f>
        <v/>
      </c>
      <c r="T258" s="5">
        <f>IF(K258=-200, "д.вх.", K258)</f>
        <v/>
      </c>
      <c r="U258" s="5">
        <f>IF(L258=-200, "д.вх.", IF(N258, O258, L258))</f>
        <v/>
      </c>
      <c r="V258" s="5">
        <f>CurrAttrValue(G258, 0)</f>
        <v/>
      </c>
      <c r="W258" s="5">
        <f>IF(M258, "Блокирована", IF(N258, "Проверено", "-"))</f>
        <v/>
      </c>
    </row>
    <row r="259" ht="20" customHeight="1">
      <c r="A259">
        <f>"System.PZ.A192"</f>
        <v/>
      </c>
      <c r="B259">
        <f>CONCATENATE($A$2, $A$1, $A259, B$2)</f>
        <v/>
      </c>
      <c r="C259">
        <f>CONCATENATE($A$2, $A$1, $A259, C$2)</f>
        <v/>
      </c>
      <c r="D259">
        <f>CONCATENATE($A$2, $A$1, $A259, D$2)</f>
        <v/>
      </c>
      <c r="E259">
        <f>CONCATENATE($A$2, $A$1, $A259, E$2)</f>
        <v/>
      </c>
      <c r="F259">
        <f>CONCATENATE($A$2, $A$1, $A259, F$2)</f>
        <v/>
      </c>
      <c r="G259">
        <f>CONCATENATE($A$2, $A$1, $A259, G$2)</f>
        <v/>
      </c>
      <c r="H259">
        <f>CONCATENATE($A$2, $A$1, $A259, H$2)</f>
        <v/>
      </c>
      <c r="I259">
        <f>CONCATENATE($A$2, $A$1, $A259, I$2)</f>
        <v/>
      </c>
      <c r="J259">
        <f>CONCATENATE($A$2, $A$1, $A259, J$2)</f>
        <v/>
      </c>
      <c r="K259">
        <f>CurrAttrValue(D259, 0)</f>
        <v/>
      </c>
      <c r="L259">
        <f>CurrAttrValue(E259, 0)</f>
        <v/>
      </c>
      <c r="M259">
        <f>CurrAttrValue(H259, 0)</f>
        <v/>
      </c>
      <c r="N259">
        <f>CurrAttrValue(I259, 0)</f>
        <v/>
      </c>
      <c r="O259">
        <f>CurrAttrValue(J259, 0)</f>
        <v/>
      </c>
      <c r="P259" s="5">
        <f>"193"</f>
        <v/>
      </c>
      <c r="Q259" s="6">
        <f>"АОсс. Аварийно-высокая Т переднего опорного подшипника Н  "</f>
        <v/>
      </c>
      <c r="R259" s="7">
        <f>IF(N259, S259, "")</f>
        <v/>
      </c>
      <c r="S259" s="7">
        <f>CurrAttrValue(C259, 0)</f>
        <v/>
      </c>
      <c r="T259" s="5">
        <f>IF(K259=-200, "д.вх.", K259)</f>
        <v/>
      </c>
      <c r="U259" s="5">
        <f>IF(L259=-200, "д.вх.", IF(N259, O259, L259))</f>
        <v/>
      </c>
      <c r="V259" s="5">
        <f>CurrAttrValue(G259, 0)</f>
        <v/>
      </c>
      <c r="W259" s="5">
        <f>IF(M259, "Блокирована", IF(N259, "Проверено", "-"))</f>
        <v/>
      </c>
    </row>
    <row r="260" ht="20" customHeight="1">
      <c r="A260">
        <f>"System.PZ.A193"</f>
        <v/>
      </c>
      <c r="B260">
        <f>CONCATENATE($A$2, $A$1, $A260, B$2)</f>
        <v/>
      </c>
      <c r="C260">
        <f>CONCATENATE($A$2, $A$1, $A260, C$2)</f>
        <v/>
      </c>
      <c r="D260">
        <f>CONCATENATE($A$2, $A$1, $A260, D$2)</f>
        <v/>
      </c>
      <c r="E260">
        <f>CONCATENATE($A$2, $A$1, $A260, E$2)</f>
        <v/>
      </c>
      <c r="F260">
        <f>CONCATENATE($A$2, $A$1, $A260, F$2)</f>
        <v/>
      </c>
      <c r="G260">
        <f>CONCATENATE($A$2, $A$1, $A260, G$2)</f>
        <v/>
      </c>
      <c r="H260">
        <f>CONCATENATE($A$2, $A$1, $A260, H$2)</f>
        <v/>
      </c>
      <c r="I260">
        <f>CONCATENATE($A$2, $A$1, $A260, I$2)</f>
        <v/>
      </c>
      <c r="J260">
        <f>CONCATENATE($A$2, $A$1, $A260, J$2)</f>
        <v/>
      </c>
      <c r="K260">
        <f>CurrAttrValue(D260, 0)</f>
        <v/>
      </c>
      <c r="L260">
        <f>CurrAttrValue(E260, 0)</f>
        <v/>
      </c>
      <c r="M260">
        <f>CurrAttrValue(H260, 0)</f>
        <v/>
      </c>
      <c r="N260">
        <f>CurrAttrValue(I260, 0)</f>
        <v/>
      </c>
      <c r="O260">
        <f>CurrAttrValue(J260, 0)</f>
        <v/>
      </c>
      <c r="P260" s="5">
        <f>"194"</f>
        <v/>
      </c>
      <c r="Q260" s="6">
        <f>"АОсс. Аварийно-высокая Т заднего опорного подшипника Н  "</f>
        <v/>
      </c>
      <c r="R260" s="7">
        <f>IF(N260, S260, "")</f>
        <v/>
      </c>
      <c r="S260" s="7">
        <f>CurrAttrValue(C260, 0)</f>
        <v/>
      </c>
      <c r="T260" s="5">
        <f>IF(K260=-200, "д.вх.", K260)</f>
        <v/>
      </c>
      <c r="U260" s="5">
        <f>IF(L260=-200, "д.вх.", IF(N260, O260, L260))</f>
        <v/>
      </c>
      <c r="V260" s="5">
        <f>CurrAttrValue(G260, 0)</f>
        <v/>
      </c>
      <c r="W260" s="5">
        <f>IF(M260, "Блокирована", IF(N260, "Проверено", "-"))</f>
        <v/>
      </c>
    </row>
    <row r="261" ht="20" customHeight="1">
      <c r="A261">
        <f>"System.PZ.A194"</f>
        <v/>
      </c>
      <c r="B261">
        <f>CONCATENATE($A$2, $A$1, $A261, B$2)</f>
        <v/>
      </c>
      <c r="C261">
        <f>CONCATENATE($A$2, $A$1, $A261, C$2)</f>
        <v/>
      </c>
      <c r="D261">
        <f>CONCATENATE($A$2, $A$1, $A261, D$2)</f>
        <v/>
      </c>
      <c r="E261">
        <f>CONCATENATE($A$2, $A$1, $A261, E$2)</f>
        <v/>
      </c>
      <c r="F261">
        <f>CONCATENATE($A$2, $A$1, $A261, F$2)</f>
        <v/>
      </c>
      <c r="G261">
        <f>CONCATENATE($A$2, $A$1, $A261, G$2)</f>
        <v/>
      </c>
      <c r="H261">
        <f>CONCATENATE($A$2, $A$1, $A261, H$2)</f>
        <v/>
      </c>
      <c r="I261">
        <f>CONCATENATE($A$2, $A$1, $A261, I$2)</f>
        <v/>
      </c>
      <c r="J261">
        <f>CONCATENATE($A$2, $A$1, $A261, J$2)</f>
        <v/>
      </c>
      <c r="K261">
        <f>CurrAttrValue(D261, 0)</f>
        <v/>
      </c>
      <c r="L261">
        <f>CurrAttrValue(E261, 0)</f>
        <v/>
      </c>
      <c r="M261">
        <f>CurrAttrValue(H261, 0)</f>
        <v/>
      </c>
      <c r="N261">
        <f>CurrAttrValue(I261, 0)</f>
        <v/>
      </c>
      <c r="O261">
        <f>CurrAttrValue(J261, 0)</f>
        <v/>
      </c>
      <c r="P261" s="5">
        <f>"195"</f>
        <v/>
      </c>
      <c r="Q261" s="6">
        <f>"АОсс. Аварийно-высокая Т газа на выходе нагнетателя  "</f>
        <v/>
      </c>
      <c r="R261" s="7">
        <f>IF(N261, S261, "")</f>
        <v/>
      </c>
      <c r="S261" s="7">
        <f>CurrAttrValue(C261, 0)</f>
        <v/>
      </c>
      <c r="T261" s="5">
        <f>IF(K261=-200, "д.вх.", K261)</f>
        <v/>
      </c>
      <c r="U261" s="5">
        <f>IF(L261=-200, "д.вх.", IF(N261, O261, L261))</f>
        <v/>
      </c>
      <c r="V261" s="5">
        <f>CurrAttrValue(G261, 0)</f>
        <v/>
      </c>
      <c r="W261" s="5">
        <f>IF(M261, "Блокирована", IF(N261, "Проверено", "-"))</f>
        <v/>
      </c>
    </row>
    <row r="262" ht="20" customHeight="1">
      <c r="A262">
        <f>"System.PZ.A195"</f>
        <v/>
      </c>
      <c r="B262">
        <f>CONCATENATE($A$2, $A$1, $A262, B$2)</f>
        <v/>
      </c>
      <c r="C262">
        <f>CONCATENATE($A$2, $A$1, $A262, C$2)</f>
        <v/>
      </c>
      <c r="D262">
        <f>CONCATENATE($A$2, $A$1, $A262, D$2)</f>
        <v/>
      </c>
      <c r="E262">
        <f>CONCATENATE($A$2, $A$1, $A262, E$2)</f>
        <v/>
      </c>
      <c r="F262">
        <f>CONCATENATE($A$2, $A$1, $A262, F$2)</f>
        <v/>
      </c>
      <c r="G262">
        <f>CONCATENATE($A$2, $A$1, $A262, G$2)</f>
        <v/>
      </c>
      <c r="H262">
        <f>CONCATENATE($A$2, $A$1, $A262, H$2)</f>
        <v/>
      </c>
      <c r="I262">
        <f>CONCATENATE($A$2, $A$1, $A262, I$2)</f>
        <v/>
      </c>
      <c r="J262">
        <f>CONCATENATE($A$2, $A$1, $A262, J$2)</f>
        <v/>
      </c>
      <c r="K262">
        <f>CurrAttrValue(D262, 0)</f>
        <v/>
      </c>
      <c r="L262">
        <f>CurrAttrValue(E262, 0)</f>
        <v/>
      </c>
      <c r="M262">
        <f>CurrAttrValue(H262, 0)</f>
        <v/>
      </c>
      <c r="N262">
        <f>CurrAttrValue(I262, 0)</f>
        <v/>
      </c>
      <c r="O262">
        <f>CurrAttrValue(J262, 0)</f>
        <v/>
      </c>
      <c r="P262" s="5">
        <f>"196"</f>
        <v/>
      </c>
      <c r="Q262" s="6">
        <f>"ВОбс. Низкий уровень масла в МБД  "</f>
        <v/>
      </c>
      <c r="R262" s="7">
        <f>IF(N262, S262, "")</f>
        <v/>
      </c>
      <c r="S262" s="7">
        <f>CurrAttrValue(C262, 0)</f>
        <v/>
      </c>
      <c r="T262" s="5">
        <f>IF(K262=-200, "д.вх.", K262)</f>
        <v/>
      </c>
      <c r="U262" s="5">
        <f>IF(L262=-200, "д.вх.", IF(N262, O262, L262))</f>
        <v/>
      </c>
      <c r="V262" s="5">
        <f>CurrAttrValue(G262, 0)</f>
        <v/>
      </c>
      <c r="W262" s="5">
        <f>IF(M262, "Блокирована", IF(N262, "Проверено", "-"))</f>
        <v/>
      </c>
    </row>
    <row r="263" ht="20" customHeight="1">
      <c r="A263">
        <f>"System.PZ.A196"</f>
        <v/>
      </c>
      <c r="B263">
        <f>CONCATENATE($A$2, $A$1, $A263, B$2)</f>
        <v/>
      </c>
      <c r="C263">
        <f>CONCATENATE($A$2, $A$1, $A263, C$2)</f>
        <v/>
      </c>
      <c r="D263">
        <f>CONCATENATE($A$2, $A$1, $A263, D$2)</f>
        <v/>
      </c>
      <c r="E263">
        <f>CONCATENATE($A$2, $A$1, $A263, E$2)</f>
        <v/>
      </c>
      <c r="F263">
        <f>CONCATENATE($A$2, $A$1, $A263, F$2)</f>
        <v/>
      </c>
      <c r="G263">
        <f>CONCATENATE($A$2, $A$1, $A263, G$2)</f>
        <v/>
      </c>
      <c r="H263">
        <f>CONCATENATE($A$2, $A$1, $A263, H$2)</f>
        <v/>
      </c>
      <c r="I263">
        <f>CONCATENATE($A$2, $A$1, $A263, I$2)</f>
        <v/>
      </c>
      <c r="J263">
        <f>CONCATENATE($A$2, $A$1, $A263, J$2)</f>
        <v/>
      </c>
      <c r="K263">
        <f>CurrAttrValue(D263, 0)</f>
        <v/>
      </c>
      <c r="L263">
        <f>CurrAttrValue(E263, 0)</f>
        <v/>
      </c>
      <c r="M263">
        <f>CurrAttrValue(H263, 0)</f>
        <v/>
      </c>
      <c r="N263">
        <f>CurrAttrValue(I263, 0)</f>
        <v/>
      </c>
      <c r="O263">
        <f>CurrAttrValue(J263, 0)</f>
        <v/>
      </c>
      <c r="P263" s="5">
        <f>"197"</f>
        <v/>
      </c>
      <c r="Q263" s="6">
        <f>"ВОбс. Минимальный уровень масла в маслобаке ГТУ  "</f>
        <v/>
      </c>
      <c r="R263" s="7">
        <f>IF(N263, S263, "")</f>
        <v/>
      </c>
      <c r="S263" s="7">
        <f>CurrAttrValue(C263, 0)</f>
        <v/>
      </c>
      <c r="T263" s="5">
        <f>IF(K263=-200, "д.вх.", K263)</f>
        <v/>
      </c>
      <c r="U263" s="5">
        <f>IF(L263=-200, "д.вх.", IF(N263, O263, L263))</f>
        <v/>
      </c>
      <c r="V263" s="5">
        <f>CurrAttrValue(G263, 0)</f>
        <v/>
      </c>
      <c r="W263" s="5">
        <f>IF(M263, "Блокирована", IF(N263, "Проверено", "-"))</f>
        <v/>
      </c>
    </row>
    <row r="264" ht="20" customHeight="1">
      <c r="A264">
        <f>"System.PZ.A197"</f>
        <v/>
      </c>
      <c r="B264">
        <f>CONCATENATE($A$2, $A$1, $A264, B$2)</f>
        <v/>
      </c>
      <c r="C264">
        <f>CONCATENATE($A$2, $A$1, $A264, C$2)</f>
        <v/>
      </c>
      <c r="D264">
        <f>CONCATENATE($A$2, $A$1, $A264, D$2)</f>
        <v/>
      </c>
      <c r="E264">
        <f>CONCATENATE($A$2, $A$1, $A264, E$2)</f>
        <v/>
      </c>
      <c r="F264">
        <f>CONCATENATE($A$2, $A$1, $A264, F$2)</f>
        <v/>
      </c>
      <c r="G264">
        <f>CONCATENATE($A$2, $A$1, $A264, G$2)</f>
        <v/>
      </c>
      <c r="H264">
        <f>CONCATENATE($A$2, $A$1, $A264, H$2)</f>
        <v/>
      </c>
      <c r="I264">
        <f>CONCATENATE($A$2, $A$1, $A264, I$2)</f>
        <v/>
      </c>
      <c r="J264">
        <f>CONCATENATE($A$2, $A$1, $A264, J$2)</f>
        <v/>
      </c>
      <c r="K264">
        <f>CurrAttrValue(D264, 0)</f>
        <v/>
      </c>
      <c r="L264">
        <f>CurrAttrValue(E264, 0)</f>
        <v/>
      </c>
      <c r="M264">
        <f>CurrAttrValue(H264, 0)</f>
        <v/>
      </c>
      <c r="N264">
        <f>CurrAttrValue(I264, 0)</f>
        <v/>
      </c>
      <c r="O264">
        <f>CurrAttrValue(J264, 0)</f>
        <v/>
      </c>
      <c r="P264" s="5">
        <f>"198"</f>
        <v/>
      </c>
      <c r="Q264" s="6">
        <f>"АОсс. Аварийно-низкий уровень масла в МБН  "</f>
        <v/>
      </c>
      <c r="R264" s="7">
        <f>IF(N264, S264, "")</f>
        <v/>
      </c>
      <c r="S264" s="7">
        <f>CurrAttrValue(C264, 0)</f>
        <v/>
      </c>
      <c r="T264" s="5">
        <f>IF(K264=-200, "д.вх.", K264)</f>
        <v/>
      </c>
      <c r="U264" s="5">
        <f>IF(L264=-200, "д.вх.", IF(N264, O264, L264))</f>
        <v/>
      </c>
      <c r="V264" s="5">
        <f>CurrAttrValue(G264, 0)</f>
        <v/>
      </c>
      <c r="W264" s="5">
        <f>IF(M264, "Блокирована", IF(N264, "Проверено", "-"))</f>
        <v/>
      </c>
    </row>
    <row r="265" ht="20" customHeight="1">
      <c r="A265">
        <f>"System.PZ.A198"</f>
        <v/>
      </c>
      <c r="B265">
        <f>CONCATENATE($A$2, $A$1, $A265, B$2)</f>
        <v/>
      </c>
      <c r="C265">
        <f>CONCATENATE($A$2, $A$1, $A265, C$2)</f>
        <v/>
      </c>
      <c r="D265">
        <f>CONCATENATE($A$2, $A$1, $A265, D$2)</f>
        <v/>
      </c>
      <c r="E265">
        <f>CONCATENATE($A$2, $A$1, $A265, E$2)</f>
        <v/>
      </c>
      <c r="F265">
        <f>CONCATENATE($A$2, $A$1, $A265, F$2)</f>
        <v/>
      </c>
      <c r="G265">
        <f>CONCATENATE($A$2, $A$1, $A265, G$2)</f>
        <v/>
      </c>
      <c r="H265">
        <f>CONCATENATE($A$2, $A$1, $A265, H$2)</f>
        <v/>
      </c>
      <c r="I265">
        <f>CONCATENATE($A$2, $A$1, $A265, I$2)</f>
        <v/>
      </c>
      <c r="J265">
        <f>CONCATENATE($A$2, $A$1, $A265, J$2)</f>
        <v/>
      </c>
      <c r="K265">
        <f>CurrAttrValue(D265, 0)</f>
        <v/>
      </c>
      <c r="L265">
        <f>CurrAttrValue(E265, 0)</f>
        <v/>
      </c>
      <c r="M265">
        <f>CurrAttrValue(H265, 0)</f>
        <v/>
      </c>
      <c r="N265">
        <f>CurrAttrValue(I265, 0)</f>
        <v/>
      </c>
      <c r="O265">
        <f>CurrAttrValue(J265, 0)</f>
        <v/>
      </c>
      <c r="P265" s="5">
        <f>"199"</f>
        <v/>
      </c>
      <c r="Q265" s="6">
        <f>"АОсс. Холодное масло в МБН  "</f>
        <v/>
      </c>
      <c r="R265" s="7">
        <f>IF(N265, S265, "")</f>
        <v/>
      </c>
      <c r="S265" s="7">
        <f>CurrAttrValue(C265, 0)</f>
        <v/>
      </c>
      <c r="T265" s="5">
        <f>IF(K265=-200, "д.вх.", K265)</f>
        <v/>
      </c>
      <c r="U265" s="5">
        <f>IF(L265=-200, "д.вх.", IF(N265, O265, L265))</f>
        <v/>
      </c>
      <c r="V265" s="5">
        <f>CurrAttrValue(G265, 0)</f>
        <v/>
      </c>
      <c r="W265" s="5">
        <f>IF(M265, "Блокирована", IF(N265, "Проверено", "-"))</f>
        <v/>
      </c>
    </row>
    <row r="266" ht="20" customHeight="1">
      <c r="A266">
        <f>"System.PZ.A199"</f>
        <v/>
      </c>
      <c r="B266">
        <f>CONCATENATE($A$2, $A$1, $A266, B$2)</f>
        <v/>
      </c>
      <c r="C266">
        <f>CONCATENATE($A$2, $A$1, $A266, C$2)</f>
        <v/>
      </c>
      <c r="D266">
        <f>CONCATENATE($A$2, $A$1, $A266, D$2)</f>
        <v/>
      </c>
      <c r="E266">
        <f>CONCATENATE($A$2, $A$1, $A266, E$2)</f>
        <v/>
      </c>
      <c r="F266">
        <f>CONCATENATE($A$2, $A$1, $A266, F$2)</f>
        <v/>
      </c>
      <c r="G266">
        <f>CONCATENATE($A$2, $A$1, $A266, G$2)</f>
        <v/>
      </c>
      <c r="H266">
        <f>CONCATENATE($A$2, $A$1, $A266, H$2)</f>
        <v/>
      </c>
      <c r="I266">
        <f>CONCATENATE($A$2, $A$1, $A266, I$2)</f>
        <v/>
      </c>
      <c r="J266">
        <f>CONCATENATE($A$2, $A$1, $A266, J$2)</f>
        <v/>
      </c>
      <c r="K266">
        <f>CurrAttrValue(D266, 0)</f>
        <v/>
      </c>
      <c r="L266">
        <f>CurrAttrValue(E266, 0)</f>
        <v/>
      </c>
      <c r="M266">
        <f>CurrAttrValue(H266, 0)</f>
        <v/>
      </c>
      <c r="N266">
        <f>CurrAttrValue(I266, 0)</f>
        <v/>
      </c>
      <c r="O266">
        <f>CurrAttrValue(J266, 0)</f>
        <v/>
      </c>
      <c r="P266" s="5">
        <f>"200"</f>
        <v/>
      </c>
      <c r="Q266" s="6">
        <f>"АОсс. Низкий перепад масло-газ  "</f>
        <v/>
      </c>
      <c r="R266" s="7">
        <f>IF(N266, S266, "")</f>
        <v/>
      </c>
      <c r="S266" s="7">
        <f>CurrAttrValue(C266, 0)</f>
        <v/>
      </c>
      <c r="T266" s="5">
        <f>IF(K266=-200, "д.вх.", K266)</f>
        <v/>
      </c>
      <c r="U266" s="5">
        <f>IF(L266=-200, "д.вх.", IF(N266, O266, L266))</f>
        <v/>
      </c>
      <c r="V266" s="5">
        <f>CurrAttrValue(G266, 0)</f>
        <v/>
      </c>
      <c r="W266" s="5">
        <f>IF(M266, "Блокирована", IF(N266, "Проверено", "-"))</f>
        <v/>
      </c>
    </row>
    <row r="267" ht="20" customHeight="1">
      <c r="A267">
        <f>"System.PZ.A200"</f>
        <v/>
      </c>
      <c r="B267">
        <f>CONCATENATE($A$2, $A$1, $A267, B$2)</f>
        <v/>
      </c>
      <c r="C267">
        <f>CONCATENATE($A$2, $A$1, $A267, C$2)</f>
        <v/>
      </c>
      <c r="D267">
        <f>CONCATENATE($A$2, $A$1, $A267, D$2)</f>
        <v/>
      </c>
      <c r="E267">
        <f>CONCATENATE($A$2, $A$1, $A267, E$2)</f>
        <v/>
      </c>
      <c r="F267">
        <f>CONCATENATE($A$2, $A$1, $A267, F$2)</f>
        <v/>
      </c>
      <c r="G267">
        <f>CONCATENATE($A$2, $A$1, $A267, G$2)</f>
        <v/>
      </c>
      <c r="H267">
        <f>CONCATENATE($A$2, $A$1, $A267, H$2)</f>
        <v/>
      </c>
      <c r="I267">
        <f>CONCATENATE($A$2, $A$1, $A267, I$2)</f>
        <v/>
      </c>
      <c r="J267">
        <f>CONCATENATE($A$2, $A$1, $A267, J$2)</f>
        <v/>
      </c>
      <c r="K267">
        <f>CurrAttrValue(D267, 0)</f>
        <v/>
      </c>
      <c r="L267">
        <f>CurrAttrValue(E267, 0)</f>
        <v/>
      </c>
      <c r="M267">
        <f>CurrAttrValue(H267, 0)</f>
        <v/>
      </c>
      <c r="N267">
        <f>CurrAttrValue(I267, 0)</f>
        <v/>
      </c>
      <c r="O267">
        <f>CurrAttrValue(J267, 0)</f>
        <v/>
      </c>
      <c r="P267" s="5">
        <f>"201"</f>
        <v/>
      </c>
      <c r="Q267" s="6">
        <f>"АОбс. Самопроизвольное закрытие крана №1  "</f>
        <v/>
      </c>
      <c r="R267" s="7">
        <f>IF(N267, S267, "")</f>
        <v/>
      </c>
      <c r="S267" s="7">
        <f>CurrAttrValue(C267, 0)</f>
        <v/>
      </c>
      <c r="T267" s="5">
        <f>IF(K267=-200, "д.вх.", K267)</f>
        <v/>
      </c>
      <c r="U267" s="5">
        <f>IF(L267=-200, "д.вх.", IF(N267, O267, L267))</f>
        <v/>
      </c>
      <c r="V267" s="5">
        <f>CurrAttrValue(G267, 0)</f>
        <v/>
      </c>
      <c r="W267" s="5">
        <f>IF(M267, "Блокирована", IF(N267, "Проверено", "-"))</f>
        <v/>
      </c>
    </row>
    <row r="268" ht="20" customHeight="1">
      <c r="A268">
        <f>"System.PZ.A201"</f>
        <v/>
      </c>
      <c r="B268">
        <f>CONCATENATE($A$2, $A$1, $A268, B$2)</f>
        <v/>
      </c>
      <c r="C268">
        <f>CONCATENATE($A$2, $A$1, $A268, C$2)</f>
        <v/>
      </c>
      <c r="D268">
        <f>CONCATENATE($A$2, $A$1, $A268, D$2)</f>
        <v/>
      </c>
      <c r="E268">
        <f>CONCATENATE($A$2, $A$1, $A268, E$2)</f>
        <v/>
      </c>
      <c r="F268">
        <f>CONCATENATE($A$2, $A$1, $A268, F$2)</f>
        <v/>
      </c>
      <c r="G268">
        <f>CONCATENATE($A$2, $A$1, $A268, G$2)</f>
        <v/>
      </c>
      <c r="H268">
        <f>CONCATENATE($A$2, $A$1, $A268, H$2)</f>
        <v/>
      </c>
      <c r="I268">
        <f>CONCATENATE($A$2, $A$1, $A268, I$2)</f>
        <v/>
      </c>
      <c r="J268">
        <f>CONCATENATE($A$2, $A$1, $A268, J$2)</f>
        <v/>
      </c>
      <c r="K268">
        <f>CurrAttrValue(D268, 0)</f>
        <v/>
      </c>
      <c r="L268">
        <f>CurrAttrValue(E268, 0)</f>
        <v/>
      </c>
      <c r="M268">
        <f>CurrAttrValue(H268, 0)</f>
        <v/>
      </c>
      <c r="N268">
        <f>CurrAttrValue(I268, 0)</f>
        <v/>
      </c>
      <c r="O268">
        <f>CurrAttrValue(J268, 0)</f>
        <v/>
      </c>
      <c r="P268" s="5">
        <f>"202"</f>
        <v/>
      </c>
      <c r="Q268" s="6">
        <f>"АОбс. Самопроизвольное закрытие крана №2  "</f>
        <v/>
      </c>
      <c r="R268" s="7">
        <f>IF(N268, S268, "")</f>
        <v/>
      </c>
      <c r="S268" s="7">
        <f>CurrAttrValue(C268, 0)</f>
        <v/>
      </c>
      <c r="T268" s="5">
        <f>IF(K268=-200, "д.вх.", K268)</f>
        <v/>
      </c>
      <c r="U268" s="5">
        <f>IF(L268=-200, "д.вх.", IF(N268, O268, L268))</f>
        <v/>
      </c>
      <c r="V268" s="5">
        <f>CurrAttrValue(G268, 0)</f>
        <v/>
      </c>
      <c r="W268" s="5">
        <f>IF(M268, "Блокирована", IF(N268, "Проверено", "-"))</f>
        <v/>
      </c>
    </row>
    <row r="269" ht="20" customHeight="1">
      <c r="A269">
        <f>"System.PZ.A202"</f>
        <v/>
      </c>
      <c r="B269">
        <f>CONCATENATE($A$2, $A$1, $A269, B$2)</f>
        <v/>
      </c>
      <c r="C269">
        <f>CONCATENATE($A$2, $A$1, $A269, C$2)</f>
        <v/>
      </c>
      <c r="D269">
        <f>CONCATENATE($A$2, $A$1, $A269, D$2)</f>
        <v/>
      </c>
      <c r="E269">
        <f>CONCATENATE($A$2, $A$1, $A269, E$2)</f>
        <v/>
      </c>
      <c r="F269">
        <f>CONCATENATE($A$2, $A$1, $A269, F$2)</f>
        <v/>
      </c>
      <c r="G269">
        <f>CONCATENATE($A$2, $A$1, $A269, G$2)</f>
        <v/>
      </c>
      <c r="H269">
        <f>CONCATENATE($A$2, $A$1, $A269, H$2)</f>
        <v/>
      </c>
      <c r="I269">
        <f>CONCATENATE($A$2, $A$1, $A269, I$2)</f>
        <v/>
      </c>
      <c r="J269">
        <f>CONCATENATE($A$2, $A$1, $A269, J$2)</f>
        <v/>
      </c>
      <c r="K269">
        <f>CurrAttrValue(D269, 0)</f>
        <v/>
      </c>
      <c r="L269">
        <f>CurrAttrValue(E269, 0)</f>
        <v/>
      </c>
      <c r="M269">
        <f>CurrAttrValue(H269, 0)</f>
        <v/>
      </c>
      <c r="N269">
        <f>CurrAttrValue(I269, 0)</f>
        <v/>
      </c>
      <c r="O269">
        <f>CurrAttrValue(J269, 0)</f>
        <v/>
      </c>
      <c r="P269" s="5">
        <f>"203"</f>
        <v/>
      </c>
      <c r="Q269" s="6">
        <f>"ВОбс. Аварийно-высокая температура воздуха под кожухом ГТУ  "</f>
        <v/>
      </c>
      <c r="R269" s="7">
        <f>IF(N269, S269, "")</f>
        <v/>
      </c>
      <c r="S269" s="7">
        <f>CurrAttrValue(C269, 0)</f>
        <v/>
      </c>
      <c r="T269" s="5">
        <f>IF(K269=-200, "д.вх.", K269)</f>
        <v/>
      </c>
      <c r="U269" s="5">
        <f>IF(L269=-200, "д.вх.", IF(N269, O269, L269))</f>
        <v/>
      </c>
      <c r="V269" s="5">
        <f>CurrAttrValue(G269, 0)</f>
        <v/>
      </c>
      <c r="W269" s="5">
        <f>IF(M269, "Блокирована", IF(N269, "Проверено", "-"))</f>
        <v/>
      </c>
    </row>
    <row r="270" ht="20" customHeight="1">
      <c r="A270">
        <f>"System.PZ.A203"</f>
        <v/>
      </c>
      <c r="B270">
        <f>CONCATENATE($A$2, $A$1, $A270, B$2)</f>
        <v/>
      </c>
      <c r="C270">
        <f>CONCATENATE($A$2, $A$1, $A270, C$2)</f>
        <v/>
      </c>
      <c r="D270">
        <f>CONCATENATE($A$2, $A$1, $A270, D$2)</f>
        <v/>
      </c>
      <c r="E270">
        <f>CONCATENATE($A$2, $A$1, $A270, E$2)</f>
        <v/>
      </c>
      <c r="F270">
        <f>CONCATENATE($A$2, $A$1, $A270, F$2)</f>
        <v/>
      </c>
      <c r="G270">
        <f>CONCATENATE($A$2, $A$1, $A270, G$2)</f>
        <v/>
      </c>
      <c r="H270">
        <f>CONCATENATE($A$2, $A$1, $A270, H$2)</f>
        <v/>
      </c>
      <c r="I270">
        <f>CONCATENATE($A$2, $A$1, $A270, I$2)</f>
        <v/>
      </c>
      <c r="J270">
        <f>CONCATENATE($A$2, $A$1, $A270, J$2)</f>
        <v/>
      </c>
      <c r="K270">
        <f>CurrAttrValue(D270, 0)</f>
        <v/>
      </c>
      <c r="L270">
        <f>CurrAttrValue(E270, 0)</f>
        <v/>
      </c>
      <c r="M270">
        <f>CurrAttrValue(H270, 0)</f>
        <v/>
      </c>
      <c r="N270">
        <f>CurrAttrValue(I270, 0)</f>
        <v/>
      </c>
      <c r="O270">
        <f>CurrAttrValue(J270, 0)</f>
        <v/>
      </c>
      <c r="P270" s="5">
        <f>"204"</f>
        <v/>
      </c>
      <c r="Q270" s="6">
        <f>"ВОсс. Не включены ВОТы на режиме  "</f>
        <v/>
      </c>
      <c r="R270" s="7">
        <f>IF(N270, S270, "")</f>
        <v/>
      </c>
      <c r="S270" s="7">
        <f>CurrAttrValue(C270, 0)</f>
        <v/>
      </c>
      <c r="T270" s="5">
        <f>IF(K270=-200, "д.вх.", K270)</f>
        <v/>
      </c>
      <c r="U270" s="5">
        <f>IF(L270=-200, "д.вх.", IF(N270, O270, L270))</f>
        <v/>
      </c>
      <c r="V270" s="5">
        <f>CurrAttrValue(G270, 0)</f>
        <v/>
      </c>
      <c r="W270" s="5">
        <f>IF(M270, "Блокирована", IF(N270, "Проверено", "-"))</f>
        <v/>
      </c>
    </row>
    <row r="271" ht="20" customHeight="1">
      <c r="A271">
        <f>"System.PZ.A204"</f>
        <v/>
      </c>
      <c r="B271">
        <f>CONCATENATE($A$2, $A$1, $A271, B$2)</f>
        <v/>
      </c>
      <c r="C271">
        <f>CONCATENATE($A$2, $A$1, $A271, C$2)</f>
        <v/>
      </c>
      <c r="D271">
        <f>CONCATENATE($A$2, $A$1, $A271, D$2)</f>
        <v/>
      </c>
      <c r="E271">
        <f>CONCATENATE($A$2, $A$1, $A271, E$2)</f>
        <v/>
      </c>
      <c r="F271">
        <f>CONCATENATE($A$2, $A$1, $A271, F$2)</f>
        <v/>
      </c>
      <c r="G271">
        <f>CONCATENATE($A$2, $A$1, $A271, G$2)</f>
        <v/>
      </c>
      <c r="H271">
        <f>CONCATENATE($A$2, $A$1, $A271, H$2)</f>
        <v/>
      </c>
      <c r="I271">
        <f>CONCATENATE($A$2, $A$1, $A271, I$2)</f>
        <v/>
      </c>
      <c r="J271">
        <f>CONCATENATE($A$2, $A$1, $A271, J$2)</f>
        <v/>
      </c>
      <c r="K271">
        <f>CurrAttrValue(D271, 0)</f>
        <v/>
      </c>
      <c r="L271">
        <f>CurrAttrValue(E271, 0)</f>
        <v/>
      </c>
      <c r="M271">
        <f>CurrAttrValue(H271, 0)</f>
        <v/>
      </c>
      <c r="N271">
        <f>CurrAttrValue(I271, 0)</f>
        <v/>
      </c>
      <c r="O271">
        <f>CurrAttrValue(J271, 0)</f>
        <v/>
      </c>
      <c r="P271" s="5">
        <f>"205"</f>
        <v/>
      </c>
      <c r="Q271" s="6">
        <f>"ВОбс. Низкий расход воздуха продувки  "</f>
        <v/>
      </c>
      <c r="R271" s="7">
        <f>IF(N271, S271, "")</f>
        <v/>
      </c>
      <c r="S271" s="7">
        <f>CurrAttrValue(C271, 0)</f>
        <v/>
      </c>
      <c r="T271" s="5">
        <f>IF(K271=-200, "д.вх.", K271)</f>
        <v/>
      </c>
      <c r="U271" s="5">
        <f>IF(L271=-200, "д.вх.", IF(N271, O271, L271))</f>
        <v/>
      </c>
      <c r="V271" s="5">
        <f>CurrAttrValue(G271, 0)</f>
        <v/>
      </c>
      <c r="W271" s="5">
        <f>IF(M271, "Блокирована", IF(N271, "Проверено", "-"))</f>
        <v/>
      </c>
    </row>
    <row r="272" ht="20" customHeight="1">
      <c r="A272">
        <f>"System.PZ.A205"</f>
        <v/>
      </c>
      <c r="B272">
        <f>CONCATENATE($A$2, $A$1, $A272, B$2)</f>
        <v/>
      </c>
      <c r="C272">
        <f>CONCATENATE($A$2, $A$1, $A272, C$2)</f>
        <v/>
      </c>
      <c r="D272">
        <f>CONCATENATE($A$2, $A$1, $A272, D$2)</f>
        <v/>
      </c>
      <c r="E272">
        <f>CONCATENATE($A$2, $A$1, $A272, E$2)</f>
        <v/>
      </c>
      <c r="F272">
        <f>CONCATENATE($A$2, $A$1, $A272, F$2)</f>
        <v/>
      </c>
      <c r="G272">
        <f>CONCATENATE($A$2, $A$1, $A272, G$2)</f>
        <v/>
      </c>
      <c r="H272">
        <f>CONCATENATE($A$2, $A$1, $A272, H$2)</f>
        <v/>
      </c>
      <c r="I272">
        <f>CONCATENATE($A$2, $A$1, $A272, I$2)</f>
        <v/>
      </c>
      <c r="J272">
        <f>CONCATENATE($A$2, $A$1, $A272, J$2)</f>
        <v/>
      </c>
      <c r="K272">
        <f>CurrAttrValue(D272, 0)</f>
        <v/>
      </c>
      <c r="L272">
        <f>CurrAttrValue(E272, 0)</f>
        <v/>
      </c>
      <c r="M272">
        <f>CurrAttrValue(H272, 0)</f>
        <v/>
      </c>
      <c r="N272">
        <f>CurrAttrValue(I272, 0)</f>
        <v/>
      </c>
      <c r="O272">
        <f>CurrAttrValue(J272, 0)</f>
        <v/>
      </c>
      <c r="P272" s="5">
        <f>"206"</f>
        <v/>
      </c>
      <c r="Q272" s="6">
        <f>"АОбс. Низкий расход воздуха продувки И загазованность под КШТ  "</f>
        <v/>
      </c>
      <c r="R272" s="7">
        <f>IF(N272, S272, "")</f>
        <v/>
      </c>
      <c r="S272" s="7">
        <f>CurrAttrValue(C272, 0)</f>
        <v/>
      </c>
      <c r="T272" s="5">
        <f>IF(K272=-200, "д.вх.", K272)</f>
        <v/>
      </c>
      <c r="U272" s="5">
        <f>IF(L272=-200, "д.вх.", IF(N272, O272, L272))</f>
        <v/>
      </c>
      <c r="V272" s="5">
        <f>CurrAttrValue(G272, 0)</f>
        <v/>
      </c>
      <c r="W272" s="5">
        <f>IF(M272, "Блокирована", IF(N272, "Проверено", "-"))</f>
        <v/>
      </c>
    </row>
    <row r="273" ht="20" customHeight="1">
      <c r="A273">
        <f>"System.PZ.A206"</f>
        <v/>
      </c>
      <c r="B273">
        <f>CONCATENATE($A$2, $A$1, $A273, B$2)</f>
        <v/>
      </c>
      <c r="C273">
        <f>CONCATENATE($A$2, $A$1, $A273, C$2)</f>
        <v/>
      </c>
      <c r="D273">
        <f>CONCATENATE($A$2, $A$1, $A273, D$2)</f>
        <v/>
      </c>
      <c r="E273">
        <f>CONCATENATE($A$2, $A$1, $A273, E$2)</f>
        <v/>
      </c>
      <c r="F273">
        <f>CONCATENATE($A$2, $A$1, $A273, F$2)</f>
        <v/>
      </c>
      <c r="G273">
        <f>CONCATENATE($A$2, $A$1, $A273, G$2)</f>
        <v/>
      </c>
      <c r="H273">
        <f>CONCATENATE($A$2, $A$1, $A273, H$2)</f>
        <v/>
      </c>
      <c r="I273">
        <f>CONCATENATE($A$2, $A$1, $A273, I$2)</f>
        <v/>
      </c>
      <c r="J273">
        <f>CONCATENATE($A$2, $A$1, $A273, J$2)</f>
        <v/>
      </c>
      <c r="K273">
        <f>CurrAttrValue(D273, 0)</f>
        <v/>
      </c>
      <c r="L273">
        <f>CurrAttrValue(E273, 0)</f>
        <v/>
      </c>
      <c r="M273">
        <f>CurrAttrValue(H273, 0)</f>
        <v/>
      </c>
      <c r="N273">
        <f>CurrAttrValue(I273, 0)</f>
        <v/>
      </c>
      <c r="O273">
        <f>CurrAttrValue(J273, 0)</f>
        <v/>
      </c>
      <c r="P273" s="5">
        <f>"207"</f>
        <v/>
      </c>
      <c r="Q273" s="6">
        <f>"АОбс. Низкий расход воздуха продувки И неисправность АКЗ  "</f>
        <v/>
      </c>
      <c r="R273" s="7">
        <f>IF(N273, S273, "")</f>
        <v/>
      </c>
      <c r="S273" s="7">
        <f>CurrAttrValue(C273, 0)</f>
        <v/>
      </c>
      <c r="T273" s="5">
        <f>IF(K273=-200, "д.вх.", K273)</f>
        <v/>
      </c>
      <c r="U273" s="5">
        <f>IF(L273=-200, "д.вх.", IF(N273, O273, L273))</f>
        <v/>
      </c>
      <c r="V273" s="5">
        <f>CurrAttrValue(G273, 0)</f>
        <v/>
      </c>
      <c r="W273" s="5">
        <f>IF(M273, "Блокирована", IF(N273, "Проверено", "-"))</f>
        <v/>
      </c>
    </row>
    <row r="274" ht="20" customHeight="1">
      <c r="A274">
        <f>"System.PZ.A207"</f>
        <v/>
      </c>
      <c r="B274">
        <f>CONCATENATE($A$2, $A$1, $A274, B$2)</f>
        <v/>
      </c>
      <c r="C274">
        <f>CONCATENATE($A$2, $A$1, $A274, C$2)</f>
        <v/>
      </c>
      <c r="D274">
        <f>CONCATENATE($A$2, $A$1, $A274, D$2)</f>
        <v/>
      </c>
      <c r="E274">
        <f>CONCATENATE($A$2, $A$1, $A274, E$2)</f>
        <v/>
      </c>
      <c r="F274">
        <f>CONCATENATE($A$2, $A$1, $A274, F$2)</f>
        <v/>
      </c>
      <c r="G274">
        <f>CONCATENATE($A$2, $A$1, $A274, G$2)</f>
        <v/>
      </c>
      <c r="H274">
        <f>CONCATENATE($A$2, $A$1, $A274, H$2)</f>
        <v/>
      </c>
      <c r="I274">
        <f>CONCATENATE($A$2, $A$1, $A274, I$2)</f>
        <v/>
      </c>
      <c r="J274">
        <f>CONCATENATE($A$2, $A$1, $A274, J$2)</f>
        <v/>
      </c>
      <c r="K274">
        <f>CurrAttrValue(D274, 0)</f>
        <v/>
      </c>
      <c r="L274">
        <f>CurrAttrValue(E274, 0)</f>
        <v/>
      </c>
      <c r="M274">
        <f>CurrAttrValue(H274, 0)</f>
        <v/>
      </c>
      <c r="N274">
        <f>CurrAttrValue(I274, 0)</f>
        <v/>
      </c>
      <c r="O274">
        <f>CurrAttrValue(J274, 0)</f>
        <v/>
      </c>
      <c r="P274" s="5">
        <f>"208"</f>
        <v/>
      </c>
      <c r="Q274" s="6">
        <f>"АОсс. Пожар ГПА  "</f>
        <v/>
      </c>
      <c r="R274" s="7">
        <f>IF(N274, S274, "")</f>
        <v/>
      </c>
      <c r="S274" s="7">
        <f>CurrAttrValue(C274, 0)</f>
        <v/>
      </c>
      <c r="T274" s="5">
        <f>IF(K274=-200, "д.вх.", K274)</f>
        <v/>
      </c>
      <c r="U274" s="5">
        <f>IF(L274=-200, "д.вх.", IF(N274, O274, L274))</f>
        <v/>
      </c>
      <c r="V274" s="5">
        <f>CurrAttrValue(G274, 0)</f>
        <v/>
      </c>
      <c r="W274" s="5">
        <f>IF(M274, "Блокирована", IF(N274, "Проверено", "-"))</f>
        <v/>
      </c>
    </row>
    <row r="277" ht="35" customHeight="1">
      <c r="Q277" s="8">
        <f>"должность"</f>
        <v/>
      </c>
      <c r="R277" s="9" t="n"/>
      <c r="S277" s="8">
        <f>"ФИО"</f>
        <v/>
      </c>
      <c r="T277" s="9" t="n"/>
      <c r="U277" s="8">
        <f>"подпись"</f>
        <v/>
      </c>
    </row>
    <row r="278" ht="35" customHeight="1">
      <c r="Q278" s="8">
        <f>"должность"</f>
        <v/>
      </c>
      <c r="R278" s="9" t="n"/>
      <c r="S278" s="8">
        <f>"ФИО"</f>
        <v/>
      </c>
      <c r="T278" s="9" t="n"/>
      <c r="U278" s="8">
        <f>"подпись"</f>
        <v/>
      </c>
    </row>
    <row r="279" ht="35" customHeight="1">
      <c r="Q279" s="8">
        <f>"должность"</f>
        <v/>
      </c>
      <c r="R279" s="9" t="n"/>
      <c r="S279" s="8">
        <f>"ФИО"</f>
        <v/>
      </c>
      <c r="T279" s="9" t="n"/>
      <c r="U279" s="8">
        <f>"подпись"</f>
        <v/>
      </c>
    </row>
    <row r="281" ht="25" customHeight="1">
      <c r="Q281" s="1">
        <f>"Протокол проверки защит ГПА3 на "</f>
        <v/>
      </c>
      <c r="R281" s="2">
        <f>R1</f>
        <v/>
      </c>
      <c r="S281" s="3">
        <f>S1</f>
        <v/>
      </c>
    </row>
    <row r="283" ht="20" customHeight="1">
      <c r="P283" s="4">
        <f>"№"</f>
        <v/>
      </c>
      <c r="Q283" s="4">
        <f>"Наименование защиты  "</f>
        <v/>
      </c>
      <c r="R283" s="4">
        <f>"Таймер"</f>
        <v/>
      </c>
      <c r="S283" s="4">
        <f>"Задержка"</f>
        <v/>
      </c>
      <c r="T283" s="4">
        <f>"Уставка"</f>
        <v/>
      </c>
      <c r="U283" s="4">
        <f>"Значение"</f>
        <v/>
      </c>
      <c r="V283" s="4">
        <f>"Eд.изм"</f>
        <v/>
      </c>
      <c r="W283" s="4">
        <f>"Отметка о проверке"</f>
        <v/>
      </c>
    </row>
    <row r="284" ht="20" customHeight="1">
      <c r="A284">
        <f>"System.PZ.A208"</f>
        <v/>
      </c>
      <c r="B284">
        <f>CONCATENATE($A$2, $A$1, $A284, B$2)</f>
        <v/>
      </c>
      <c r="C284">
        <f>CONCATENATE($A$2, $A$1, $A284, C$2)</f>
        <v/>
      </c>
      <c r="D284">
        <f>CONCATENATE($A$2, $A$1, $A284, D$2)</f>
        <v/>
      </c>
      <c r="E284">
        <f>CONCATENATE($A$2, $A$1, $A284, E$2)</f>
        <v/>
      </c>
      <c r="F284">
        <f>CONCATENATE($A$2, $A$1, $A284, F$2)</f>
        <v/>
      </c>
      <c r="G284">
        <f>CONCATENATE($A$2, $A$1, $A284, G$2)</f>
        <v/>
      </c>
      <c r="H284">
        <f>CONCATENATE($A$2, $A$1, $A284, H$2)</f>
        <v/>
      </c>
      <c r="I284">
        <f>CONCATENATE($A$2, $A$1, $A284, I$2)</f>
        <v/>
      </c>
      <c r="J284">
        <f>CONCATENATE($A$2, $A$1, $A284, J$2)</f>
        <v/>
      </c>
      <c r="K284">
        <f>CurrAttrValue(D284, 0)</f>
        <v/>
      </c>
      <c r="L284">
        <f>CurrAttrValue(E284, 0)</f>
        <v/>
      </c>
      <c r="M284">
        <f>CurrAttrValue(H284, 0)</f>
        <v/>
      </c>
      <c r="N284">
        <f>CurrAttrValue(I284, 0)</f>
        <v/>
      </c>
      <c r="O284">
        <f>CurrAttrValue(J284, 0)</f>
        <v/>
      </c>
      <c r="P284" s="5">
        <f>"209"</f>
        <v/>
      </c>
      <c r="Q284" s="6">
        <f>"АОсс. Опасная концентрация газа под кожухом ГТУ  "</f>
        <v/>
      </c>
      <c r="R284" s="7">
        <f>IF(N284, S284, "")</f>
        <v/>
      </c>
      <c r="S284" s="7">
        <f>CurrAttrValue(C284, 0)</f>
        <v/>
      </c>
      <c r="T284" s="5">
        <f>IF(K284=-200, "д.вх.", K284)</f>
        <v/>
      </c>
      <c r="U284" s="5">
        <f>IF(L284=-200, "д.вх.", IF(N284, O284, L284))</f>
        <v/>
      </c>
      <c r="V284" s="5">
        <f>CurrAttrValue(G284, 0)</f>
        <v/>
      </c>
      <c r="W284" s="5">
        <f>IF(M284, "Блокирована", IF(N284, "Проверено", "-"))</f>
        <v/>
      </c>
    </row>
    <row r="285" ht="20" customHeight="1">
      <c r="A285">
        <f>"System.PZ.A209"</f>
        <v/>
      </c>
      <c r="B285">
        <f>CONCATENATE($A$2, $A$1, $A285, B$2)</f>
        <v/>
      </c>
      <c r="C285">
        <f>CONCATENATE($A$2, $A$1, $A285, C$2)</f>
        <v/>
      </c>
      <c r="D285">
        <f>CONCATENATE($A$2, $A$1, $A285, D$2)</f>
        <v/>
      </c>
      <c r="E285">
        <f>CONCATENATE($A$2, $A$1, $A285, E$2)</f>
        <v/>
      </c>
      <c r="F285">
        <f>CONCATENATE($A$2, $A$1, $A285, F$2)</f>
        <v/>
      </c>
      <c r="G285">
        <f>CONCATENATE($A$2, $A$1, $A285, G$2)</f>
        <v/>
      </c>
      <c r="H285">
        <f>CONCATENATE($A$2, $A$1, $A285, H$2)</f>
        <v/>
      </c>
      <c r="I285">
        <f>CONCATENATE($A$2, $A$1, $A285, I$2)</f>
        <v/>
      </c>
      <c r="J285">
        <f>CONCATENATE($A$2, $A$1, $A285, J$2)</f>
        <v/>
      </c>
      <c r="K285">
        <f>CurrAttrValue(D285, 0)</f>
        <v/>
      </c>
      <c r="L285">
        <f>CurrAttrValue(E285, 0)</f>
        <v/>
      </c>
      <c r="M285">
        <f>CurrAttrValue(H285, 0)</f>
        <v/>
      </c>
      <c r="N285">
        <f>CurrAttrValue(I285, 0)</f>
        <v/>
      </c>
      <c r="O285">
        <f>CurrAttrValue(J285, 0)</f>
        <v/>
      </c>
      <c r="P285" s="5">
        <f>"210"</f>
        <v/>
      </c>
      <c r="Q285" s="6">
        <f>"АОсс. Опасная концентрация газа в отсеке нагнетателя  "</f>
        <v/>
      </c>
      <c r="R285" s="7">
        <f>IF(N285, S285, "")</f>
        <v/>
      </c>
      <c r="S285" s="7">
        <f>CurrAttrValue(C285, 0)</f>
        <v/>
      </c>
      <c r="T285" s="5">
        <f>IF(K285=-200, "д.вх.", K285)</f>
        <v/>
      </c>
      <c r="U285" s="5">
        <f>IF(L285=-200, "д.вх.", IF(N285, O285, L285))</f>
        <v/>
      </c>
      <c r="V285" s="5">
        <f>CurrAttrValue(G285, 0)</f>
        <v/>
      </c>
      <c r="W285" s="5">
        <f>IF(M285, "Блокирована", IF(N285, "Проверено", "-"))</f>
        <v/>
      </c>
    </row>
    <row r="286" ht="20" customHeight="1">
      <c r="A286">
        <f>"System.PZ.A210"</f>
        <v/>
      </c>
      <c r="B286">
        <f>CONCATENATE($A$2, $A$1, $A286, B$2)</f>
        <v/>
      </c>
      <c r="C286">
        <f>CONCATENATE($A$2, $A$1, $A286, C$2)</f>
        <v/>
      </c>
      <c r="D286">
        <f>CONCATENATE($A$2, $A$1, $A286, D$2)</f>
        <v/>
      </c>
      <c r="E286">
        <f>CONCATENATE($A$2, $A$1, $A286, E$2)</f>
        <v/>
      </c>
      <c r="F286">
        <f>CONCATENATE($A$2, $A$1, $A286, F$2)</f>
        <v/>
      </c>
      <c r="G286">
        <f>CONCATENATE($A$2, $A$1, $A286, G$2)</f>
        <v/>
      </c>
      <c r="H286">
        <f>CONCATENATE($A$2, $A$1, $A286, H$2)</f>
        <v/>
      </c>
      <c r="I286">
        <f>CONCATENATE($A$2, $A$1, $A286, I$2)</f>
        <v/>
      </c>
      <c r="J286">
        <f>CONCATENATE($A$2, $A$1, $A286, J$2)</f>
        <v/>
      </c>
      <c r="K286">
        <f>CurrAttrValue(D286, 0)</f>
        <v/>
      </c>
      <c r="L286">
        <f>CurrAttrValue(E286, 0)</f>
        <v/>
      </c>
      <c r="M286">
        <f>CurrAttrValue(H286, 0)</f>
        <v/>
      </c>
      <c r="N286">
        <f>CurrAttrValue(I286, 0)</f>
        <v/>
      </c>
      <c r="O286">
        <f>CurrAttrValue(J286, 0)</f>
        <v/>
      </c>
      <c r="P286" s="5">
        <f>"211"</f>
        <v/>
      </c>
      <c r="Q286" s="6">
        <f>"АОсс. Опасная концентрация газа в отсеке ГТУ  "</f>
        <v/>
      </c>
      <c r="R286" s="7">
        <f>IF(N286, S286, "")</f>
        <v/>
      </c>
      <c r="S286" s="7">
        <f>CurrAttrValue(C286, 0)</f>
        <v/>
      </c>
      <c r="T286" s="5">
        <f>IF(K286=-200, "д.вх.", K286)</f>
        <v/>
      </c>
      <c r="U286" s="5">
        <f>IF(L286=-200, "д.вх.", IF(N286, O286, L286))</f>
        <v/>
      </c>
      <c r="V286" s="5">
        <f>CurrAttrValue(G286, 0)</f>
        <v/>
      </c>
      <c r="W286" s="5">
        <f>IF(M286, "Блокирована", IF(N286, "Проверено", "-"))</f>
        <v/>
      </c>
    </row>
    <row r="287" ht="20" customHeight="1">
      <c r="A287">
        <f>"System.PZ.A211"</f>
        <v/>
      </c>
      <c r="B287">
        <f>CONCATENATE($A$2, $A$1, $A287, B$2)</f>
        <v/>
      </c>
      <c r="C287">
        <f>CONCATENATE($A$2, $A$1, $A287, C$2)</f>
        <v/>
      </c>
      <c r="D287">
        <f>CONCATENATE($A$2, $A$1, $A287, D$2)</f>
        <v/>
      </c>
      <c r="E287">
        <f>CONCATENATE($A$2, $A$1, $A287, E$2)</f>
        <v/>
      </c>
      <c r="F287">
        <f>CONCATENATE($A$2, $A$1, $A287, F$2)</f>
        <v/>
      </c>
      <c r="G287">
        <f>CONCATENATE($A$2, $A$1, $A287, G$2)</f>
        <v/>
      </c>
      <c r="H287">
        <f>CONCATENATE($A$2, $A$1, $A287, H$2)</f>
        <v/>
      </c>
      <c r="I287">
        <f>CONCATENATE($A$2, $A$1, $A287, I$2)</f>
        <v/>
      </c>
      <c r="J287">
        <f>CONCATENATE($A$2, $A$1, $A287, J$2)</f>
        <v/>
      </c>
      <c r="K287">
        <f>CurrAttrValue(D287, 0)</f>
        <v/>
      </c>
      <c r="L287">
        <f>CurrAttrValue(E287, 0)</f>
        <v/>
      </c>
      <c r="M287">
        <f>CurrAttrValue(H287, 0)</f>
        <v/>
      </c>
      <c r="N287">
        <f>CurrAttrValue(I287, 0)</f>
        <v/>
      </c>
      <c r="O287">
        <f>CurrAttrValue(J287, 0)</f>
        <v/>
      </c>
      <c r="P287" s="5">
        <f>"212"</f>
        <v/>
      </c>
      <c r="Q287" s="6">
        <f>"ВОбс. Повышенная концентрация газа под кожухом ГТУ  "</f>
        <v/>
      </c>
      <c r="R287" s="7">
        <f>IF(N287, S287, "")</f>
        <v/>
      </c>
      <c r="S287" s="7">
        <f>CurrAttrValue(C287, 0)</f>
        <v/>
      </c>
      <c r="T287" s="5">
        <f>IF(K287=-200, "д.вх.", K287)</f>
        <v/>
      </c>
      <c r="U287" s="5">
        <f>IF(L287=-200, "д.вх.", IF(N287, O287, L287))</f>
        <v/>
      </c>
      <c r="V287" s="5">
        <f>CurrAttrValue(G287, 0)</f>
        <v/>
      </c>
      <c r="W287" s="5">
        <f>IF(M287, "Блокирована", IF(N287, "Проверено", "-"))</f>
        <v/>
      </c>
    </row>
    <row r="288" ht="20" customHeight="1">
      <c r="A288">
        <f>"System.PZ.A212"</f>
        <v/>
      </c>
      <c r="B288">
        <f>CONCATENATE($A$2, $A$1, $A288, B$2)</f>
        <v/>
      </c>
      <c r="C288">
        <f>CONCATENATE($A$2, $A$1, $A288, C$2)</f>
        <v/>
      </c>
      <c r="D288">
        <f>CONCATENATE($A$2, $A$1, $A288, D$2)</f>
        <v/>
      </c>
      <c r="E288">
        <f>CONCATENATE($A$2, $A$1, $A288, E$2)</f>
        <v/>
      </c>
      <c r="F288">
        <f>CONCATENATE($A$2, $A$1, $A288, F$2)</f>
        <v/>
      </c>
      <c r="G288">
        <f>CONCATENATE($A$2, $A$1, $A288, G$2)</f>
        <v/>
      </c>
      <c r="H288">
        <f>CONCATENATE($A$2, $A$1, $A288, H$2)</f>
        <v/>
      </c>
      <c r="I288">
        <f>CONCATENATE($A$2, $A$1, $A288, I$2)</f>
        <v/>
      </c>
      <c r="J288">
        <f>CONCATENATE($A$2, $A$1, $A288, J$2)</f>
        <v/>
      </c>
      <c r="K288">
        <f>CurrAttrValue(D288, 0)</f>
        <v/>
      </c>
      <c r="L288">
        <f>CurrAttrValue(E288, 0)</f>
        <v/>
      </c>
      <c r="M288">
        <f>CurrAttrValue(H288, 0)</f>
        <v/>
      </c>
      <c r="N288">
        <f>CurrAttrValue(I288, 0)</f>
        <v/>
      </c>
      <c r="O288">
        <f>CurrAttrValue(J288, 0)</f>
        <v/>
      </c>
      <c r="P288" s="5">
        <f>"213"</f>
        <v/>
      </c>
      <c r="Q288" s="6">
        <f>"ВОбс. АСПТиКЗ в ОД и ОН неисправна  "</f>
        <v/>
      </c>
      <c r="R288" s="7">
        <f>IF(N288, S288, "")</f>
        <v/>
      </c>
      <c r="S288" s="7">
        <f>CurrAttrValue(C288, 0)</f>
        <v/>
      </c>
      <c r="T288" s="5">
        <f>IF(K288=-200, "д.вх.", K288)</f>
        <v/>
      </c>
      <c r="U288" s="5">
        <f>IF(L288=-200, "д.вх.", IF(N288, O288, L288))</f>
        <v/>
      </c>
      <c r="V288" s="5">
        <f>CurrAttrValue(G288, 0)</f>
        <v/>
      </c>
      <c r="W288" s="5">
        <f>IF(M288, "Блокирована", IF(N288, "Проверено", "-"))</f>
        <v/>
      </c>
    </row>
    <row r="289" ht="20" customHeight="1">
      <c r="A289">
        <f>"System.PZ.A213"</f>
        <v/>
      </c>
      <c r="B289">
        <f>CONCATENATE($A$2, $A$1, $A289, B$2)</f>
        <v/>
      </c>
      <c r="C289">
        <f>CONCATENATE($A$2, $A$1, $A289, C$2)</f>
        <v/>
      </c>
      <c r="D289">
        <f>CONCATENATE($A$2, $A$1, $A289, D$2)</f>
        <v/>
      </c>
      <c r="E289">
        <f>CONCATENATE($A$2, $A$1, $A289, E$2)</f>
        <v/>
      </c>
      <c r="F289">
        <f>CONCATENATE($A$2, $A$1, $A289, F$2)</f>
        <v/>
      </c>
      <c r="G289">
        <f>CONCATENATE($A$2, $A$1, $A289, G$2)</f>
        <v/>
      </c>
      <c r="H289">
        <f>CONCATENATE($A$2, $A$1, $A289, H$2)</f>
        <v/>
      </c>
      <c r="I289">
        <f>CONCATENATE($A$2, $A$1, $A289, I$2)</f>
        <v/>
      </c>
      <c r="J289">
        <f>CONCATENATE($A$2, $A$1, $A289, J$2)</f>
        <v/>
      </c>
      <c r="K289">
        <f>CurrAttrValue(D289, 0)</f>
        <v/>
      </c>
      <c r="L289">
        <f>CurrAttrValue(E289, 0)</f>
        <v/>
      </c>
      <c r="M289">
        <f>CurrAttrValue(H289, 0)</f>
        <v/>
      </c>
      <c r="N289">
        <f>CurrAttrValue(I289, 0)</f>
        <v/>
      </c>
      <c r="O289">
        <f>CurrAttrValue(J289, 0)</f>
        <v/>
      </c>
      <c r="P289" s="5">
        <f>"214"</f>
        <v/>
      </c>
      <c r="Q289" s="6">
        <f>"АОсс. АОcc от кнопки на ПРУ  "</f>
        <v/>
      </c>
      <c r="R289" s="7">
        <f>IF(N289, S289, "")</f>
        <v/>
      </c>
      <c r="S289" s="7">
        <f>CurrAttrValue(C289, 0)</f>
        <v/>
      </c>
      <c r="T289" s="5">
        <f>IF(K289=-200, "д.вх.", K289)</f>
        <v/>
      </c>
      <c r="U289" s="5">
        <f>IF(L289=-200, "д.вх.", IF(N289, O289, L289))</f>
        <v/>
      </c>
      <c r="V289" s="5">
        <f>CurrAttrValue(G289, 0)</f>
        <v/>
      </c>
      <c r="W289" s="5">
        <f>IF(M289, "Блокирована", IF(N289, "Проверено", "-"))</f>
        <v/>
      </c>
    </row>
    <row r="290" ht="20" customHeight="1">
      <c r="A290">
        <f>"System.PZ.A214"</f>
        <v/>
      </c>
      <c r="B290">
        <f>CONCATENATE($A$2, $A$1, $A290, B$2)</f>
        <v/>
      </c>
      <c r="C290">
        <f>CONCATENATE($A$2, $A$1, $A290, C$2)</f>
        <v/>
      </c>
      <c r="D290">
        <f>CONCATENATE($A$2, $A$1, $A290, D$2)</f>
        <v/>
      </c>
      <c r="E290">
        <f>CONCATENATE($A$2, $A$1, $A290, E$2)</f>
        <v/>
      </c>
      <c r="F290">
        <f>CONCATENATE($A$2, $A$1, $A290, F$2)</f>
        <v/>
      </c>
      <c r="G290">
        <f>CONCATENATE($A$2, $A$1, $A290, G$2)</f>
        <v/>
      </c>
      <c r="H290">
        <f>CONCATENATE($A$2, $A$1, $A290, H$2)</f>
        <v/>
      </c>
      <c r="I290">
        <f>CONCATENATE($A$2, $A$1, $A290, I$2)</f>
        <v/>
      </c>
      <c r="J290">
        <f>CONCATENATE($A$2, $A$1, $A290, J$2)</f>
        <v/>
      </c>
      <c r="K290">
        <f>CurrAttrValue(D290, 0)</f>
        <v/>
      </c>
      <c r="L290">
        <f>CurrAttrValue(E290, 0)</f>
        <v/>
      </c>
      <c r="M290">
        <f>CurrAttrValue(H290, 0)</f>
        <v/>
      </c>
      <c r="N290">
        <f>CurrAttrValue(I290, 0)</f>
        <v/>
      </c>
      <c r="O290">
        <f>CurrAttrValue(J290, 0)</f>
        <v/>
      </c>
      <c r="P290" s="5">
        <f>"215"</f>
        <v/>
      </c>
      <c r="Q290" s="6">
        <f>"АОсс. АОcc от кнопки в отсеке двигателя  "</f>
        <v/>
      </c>
      <c r="R290" s="7">
        <f>IF(N290, S290, "")</f>
        <v/>
      </c>
      <c r="S290" s="7">
        <f>CurrAttrValue(C290, 0)</f>
        <v/>
      </c>
      <c r="T290" s="5">
        <f>IF(K290=-200, "д.вх.", K290)</f>
        <v/>
      </c>
      <c r="U290" s="5">
        <f>IF(L290=-200, "д.вх.", IF(N290, O290, L290))</f>
        <v/>
      </c>
      <c r="V290" s="5">
        <f>CurrAttrValue(G290, 0)</f>
        <v/>
      </c>
      <c r="W290" s="5">
        <f>IF(M290, "Блокирована", IF(N290, "Проверено", "-"))</f>
        <v/>
      </c>
    </row>
    <row r="291" ht="20" customHeight="1">
      <c r="A291">
        <f>"System.PZ.A215"</f>
        <v/>
      </c>
      <c r="B291">
        <f>CONCATENATE($A$2, $A$1, $A291, B$2)</f>
        <v/>
      </c>
      <c r="C291">
        <f>CONCATENATE($A$2, $A$1, $A291, C$2)</f>
        <v/>
      </c>
      <c r="D291">
        <f>CONCATENATE($A$2, $A$1, $A291, D$2)</f>
        <v/>
      </c>
      <c r="E291">
        <f>CONCATENATE($A$2, $A$1, $A291, E$2)</f>
        <v/>
      </c>
      <c r="F291">
        <f>CONCATENATE($A$2, $A$1, $A291, F$2)</f>
        <v/>
      </c>
      <c r="G291">
        <f>CONCATENATE($A$2, $A$1, $A291, G$2)</f>
        <v/>
      </c>
      <c r="H291">
        <f>CONCATENATE($A$2, $A$1, $A291, H$2)</f>
        <v/>
      </c>
      <c r="I291">
        <f>CONCATENATE($A$2, $A$1, $A291, I$2)</f>
        <v/>
      </c>
      <c r="J291">
        <f>CONCATENATE($A$2, $A$1, $A291, J$2)</f>
        <v/>
      </c>
      <c r="K291">
        <f>CurrAttrValue(D291, 0)</f>
        <v/>
      </c>
      <c r="L291">
        <f>CurrAttrValue(E291, 0)</f>
        <v/>
      </c>
      <c r="M291">
        <f>CurrAttrValue(H291, 0)</f>
        <v/>
      </c>
      <c r="N291">
        <f>CurrAttrValue(I291, 0)</f>
        <v/>
      </c>
      <c r="O291">
        <f>CurrAttrValue(J291, 0)</f>
        <v/>
      </c>
      <c r="P291" s="5">
        <f>"216"</f>
        <v/>
      </c>
      <c r="Q291" s="6">
        <f>"АОсс. АОсс от кнопки в блок-боксе  "</f>
        <v/>
      </c>
      <c r="R291" s="7">
        <f>IF(N291, S291, "")</f>
        <v/>
      </c>
      <c r="S291" s="7">
        <f>CurrAttrValue(C291, 0)</f>
        <v/>
      </c>
      <c r="T291" s="5">
        <f>IF(K291=-200, "д.вх.", K291)</f>
        <v/>
      </c>
      <c r="U291" s="5">
        <f>IF(L291=-200, "д.вх.", IF(N291, O291, L291))</f>
        <v/>
      </c>
      <c r="V291" s="5">
        <f>CurrAttrValue(G291, 0)</f>
        <v/>
      </c>
      <c r="W291" s="5">
        <f>IF(M291, "Блокирована", IF(N291, "Проверено", "-"))</f>
        <v/>
      </c>
    </row>
    <row r="292" ht="20" customHeight="1">
      <c r="A292">
        <f>"System.PZ.A216"</f>
        <v/>
      </c>
      <c r="B292">
        <f>CONCATENATE($A$2, $A$1, $A292, B$2)</f>
        <v/>
      </c>
      <c r="C292">
        <f>CONCATENATE($A$2, $A$1, $A292, C$2)</f>
        <v/>
      </c>
      <c r="D292">
        <f>CONCATENATE($A$2, $A$1, $A292, D$2)</f>
        <v/>
      </c>
      <c r="E292">
        <f>CONCATENATE($A$2, $A$1, $A292, E$2)</f>
        <v/>
      </c>
      <c r="F292">
        <f>CONCATENATE($A$2, $A$1, $A292, F$2)</f>
        <v/>
      </c>
      <c r="G292">
        <f>CONCATENATE($A$2, $A$1, $A292, G$2)</f>
        <v/>
      </c>
      <c r="H292">
        <f>CONCATENATE($A$2, $A$1, $A292, H$2)</f>
        <v/>
      </c>
      <c r="I292">
        <f>CONCATENATE($A$2, $A$1, $A292, I$2)</f>
        <v/>
      </c>
      <c r="J292">
        <f>CONCATENATE($A$2, $A$1, $A292, J$2)</f>
        <v/>
      </c>
      <c r="K292">
        <f>CurrAttrValue(D292, 0)</f>
        <v/>
      </c>
      <c r="L292">
        <f>CurrAttrValue(E292, 0)</f>
        <v/>
      </c>
      <c r="M292">
        <f>CurrAttrValue(H292, 0)</f>
        <v/>
      </c>
      <c r="N292">
        <f>CurrAttrValue(I292, 0)</f>
        <v/>
      </c>
      <c r="O292">
        <f>CurrAttrValue(J292, 0)</f>
        <v/>
      </c>
      <c r="P292" s="5">
        <f>"217"</f>
        <v/>
      </c>
      <c r="Q292" s="6">
        <f>"АОсс. АОсс от кнопки в цеху  "</f>
        <v/>
      </c>
      <c r="R292" s="7">
        <f>IF(N292, S292, "")</f>
        <v/>
      </c>
      <c r="S292" s="7">
        <f>CurrAttrValue(C292, 0)</f>
        <v/>
      </c>
      <c r="T292" s="5">
        <f>IF(K292=-200, "д.вх.", K292)</f>
        <v/>
      </c>
      <c r="U292" s="5">
        <f>IF(L292=-200, "д.вх.", IF(N292, O292, L292))</f>
        <v/>
      </c>
      <c r="V292" s="5">
        <f>CurrAttrValue(G292, 0)</f>
        <v/>
      </c>
      <c r="W292" s="5">
        <f>IF(M292, "Блокирована", IF(N292, "Проверено", "-"))</f>
        <v/>
      </c>
    </row>
    <row r="293" ht="20" customHeight="1">
      <c r="A293">
        <f>"System.PZ.A217"</f>
        <v/>
      </c>
      <c r="B293">
        <f>CONCATENATE($A$2, $A$1, $A293, B$2)</f>
        <v/>
      </c>
      <c r="C293">
        <f>CONCATENATE($A$2, $A$1, $A293, C$2)</f>
        <v/>
      </c>
      <c r="D293">
        <f>CONCATENATE($A$2, $A$1, $A293, D$2)</f>
        <v/>
      </c>
      <c r="E293">
        <f>CONCATENATE($A$2, $A$1, $A293, E$2)</f>
        <v/>
      </c>
      <c r="F293">
        <f>CONCATENATE($A$2, $A$1, $A293, F$2)</f>
        <v/>
      </c>
      <c r="G293">
        <f>CONCATENATE($A$2, $A$1, $A293, G$2)</f>
        <v/>
      </c>
      <c r="H293">
        <f>CONCATENATE($A$2, $A$1, $A293, H$2)</f>
        <v/>
      </c>
      <c r="I293">
        <f>CONCATENATE($A$2, $A$1, $A293, I$2)</f>
        <v/>
      </c>
      <c r="J293">
        <f>CONCATENATE($A$2, $A$1, $A293, J$2)</f>
        <v/>
      </c>
      <c r="K293">
        <f>CurrAttrValue(D293, 0)</f>
        <v/>
      </c>
      <c r="L293">
        <f>CurrAttrValue(E293, 0)</f>
        <v/>
      </c>
      <c r="M293">
        <f>CurrAttrValue(H293, 0)</f>
        <v/>
      </c>
      <c r="N293">
        <f>CurrAttrValue(I293, 0)</f>
        <v/>
      </c>
      <c r="O293">
        <f>CurrAttrValue(J293, 0)</f>
        <v/>
      </c>
      <c r="P293" s="5">
        <f>"218"</f>
        <v/>
      </c>
      <c r="Q293" s="6">
        <f>"АОсс. ЭО от кнопки на ПРУ  "</f>
        <v/>
      </c>
      <c r="R293" s="7">
        <f>IF(N293, S293, "")</f>
        <v/>
      </c>
      <c r="S293" s="7">
        <f>CurrAttrValue(C293, 0)</f>
        <v/>
      </c>
      <c r="T293" s="5">
        <f>IF(K293=-200, "д.вх.", K293)</f>
        <v/>
      </c>
      <c r="U293" s="5">
        <f>IF(L293=-200, "д.вх.", IF(N293, O293, L293))</f>
        <v/>
      </c>
      <c r="V293" s="5">
        <f>CurrAttrValue(G293, 0)</f>
        <v/>
      </c>
      <c r="W293" s="5">
        <f>IF(M293, "Блокирована", IF(N293, "Проверено", "-"))</f>
        <v/>
      </c>
    </row>
    <row r="294" ht="20" customHeight="1">
      <c r="A294">
        <f>"System.PZ.A218"</f>
        <v/>
      </c>
      <c r="B294">
        <f>CONCATENATE($A$2, $A$1, $A294, B$2)</f>
        <v/>
      </c>
      <c r="C294">
        <f>CONCATENATE($A$2, $A$1, $A294, C$2)</f>
        <v/>
      </c>
      <c r="D294">
        <f>CONCATENATE($A$2, $A$1, $A294, D$2)</f>
        <v/>
      </c>
      <c r="E294">
        <f>CONCATENATE($A$2, $A$1, $A294, E$2)</f>
        <v/>
      </c>
      <c r="F294">
        <f>CONCATENATE($A$2, $A$1, $A294, F$2)</f>
        <v/>
      </c>
      <c r="G294">
        <f>CONCATENATE($A$2, $A$1, $A294, G$2)</f>
        <v/>
      </c>
      <c r="H294">
        <f>CONCATENATE($A$2, $A$1, $A294, H$2)</f>
        <v/>
      </c>
      <c r="I294">
        <f>CONCATENATE($A$2, $A$1, $A294, I$2)</f>
        <v/>
      </c>
      <c r="J294">
        <f>CONCATENATE($A$2, $A$1, $A294, J$2)</f>
        <v/>
      </c>
      <c r="K294">
        <f>CurrAttrValue(D294, 0)</f>
        <v/>
      </c>
      <c r="L294">
        <f>CurrAttrValue(E294, 0)</f>
        <v/>
      </c>
      <c r="M294">
        <f>CurrAttrValue(H294, 0)</f>
        <v/>
      </c>
      <c r="N294">
        <f>CurrAttrValue(I294, 0)</f>
        <v/>
      </c>
      <c r="O294">
        <f>CurrAttrValue(J294, 0)</f>
        <v/>
      </c>
      <c r="P294" s="5">
        <f>"219"</f>
        <v/>
      </c>
      <c r="Q294" s="6">
        <f>"АОсс. БЭАО сработал (от AD200)  "</f>
        <v/>
      </c>
      <c r="R294" s="7">
        <f>IF(N294, S294, "")</f>
        <v/>
      </c>
      <c r="S294" s="7">
        <f>CurrAttrValue(C294, 0)</f>
        <v/>
      </c>
      <c r="T294" s="5">
        <f>IF(K294=-200, "д.вх.", K294)</f>
        <v/>
      </c>
      <c r="U294" s="5">
        <f>IF(L294=-200, "д.вх.", IF(N294, O294, L294))</f>
        <v/>
      </c>
      <c r="V294" s="5">
        <f>CurrAttrValue(G294, 0)</f>
        <v/>
      </c>
      <c r="W294" s="5">
        <f>IF(M294, "Блокирована", IF(N294, "Проверено", "-"))</f>
        <v/>
      </c>
    </row>
    <row r="295" ht="20" customHeight="1">
      <c r="A295">
        <f>"System.PZ.A219"</f>
        <v/>
      </c>
      <c r="B295">
        <f>CONCATENATE($A$2, $A$1, $A295, B$2)</f>
        <v/>
      </c>
      <c r="C295">
        <f>CONCATENATE($A$2, $A$1, $A295, C$2)</f>
        <v/>
      </c>
      <c r="D295">
        <f>CONCATENATE($A$2, $A$1, $A295, D$2)</f>
        <v/>
      </c>
      <c r="E295">
        <f>CONCATENATE($A$2, $A$1, $A295, E$2)</f>
        <v/>
      </c>
      <c r="F295">
        <f>CONCATENATE($A$2, $A$1, $A295, F$2)</f>
        <v/>
      </c>
      <c r="G295">
        <f>CONCATENATE($A$2, $A$1, $A295, G$2)</f>
        <v/>
      </c>
      <c r="H295">
        <f>CONCATENATE($A$2, $A$1, $A295, H$2)</f>
        <v/>
      </c>
      <c r="I295">
        <f>CONCATENATE($A$2, $A$1, $A295, I$2)</f>
        <v/>
      </c>
      <c r="J295">
        <f>CONCATENATE($A$2, $A$1, $A295, J$2)</f>
        <v/>
      </c>
      <c r="K295">
        <f>CurrAttrValue(D295, 0)</f>
        <v/>
      </c>
      <c r="L295">
        <f>CurrAttrValue(E295, 0)</f>
        <v/>
      </c>
      <c r="M295">
        <f>CurrAttrValue(H295, 0)</f>
        <v/>
      </c>
      <c r="N295">
        <f>CurrAttrValue(I295, 0)</f>
        <v/>
      </c>
      <c r="O295">
        <f>CurrAttrValue(J295, 0)</f>
        <v/>
      </c>
      <c r="P295" s="5">
        <f>"220"</f>
        <v/>
      </c>
      <c r="Q295" s="6">
        <f>"АОсс. Авария ПЛК AD200  "</f>
        <v/>
      </c>
      <c r="R295" s="7">
        <f>IF(N295, S295, "")</f>
        <v/>
      </c>
      <c r="S295" s="7">
        <f>CurrAttrValue(C295, 0)</f>
        <v/>
      </c>
      <c r="T295" s="5">
        <f>IF(K295=-200, "д.вх.", K295)</f>
        <v/>
      </c>
      <c r="U295" s="5">
        <f>IF(L295=-200, "д.вх.", IF(N295, O295, L295))</f>
        <v/>
      </c>
      <c r="V295" s="5">
        <f>CurrAttrValue(G295, 0)</f>
        <v/>
      </c>
      <c r="W295" s="5">
        <f>IF(M295, "Блокирована", IF(N295, "Проверено", "-"))</f>
        <v/>
      </c>
    </row>
    <row r="296" ht="20" customHeight="1">
      <c r="A296">
        <f>"System.PZ.A220"</f>
        <v/>
      </c>
      <c r="B296">
        <f>CONCATENATE($A$2, $A$1, $A296, B$2)</f>
        <v/>
      </c>
      <c r="C296">
        <f>CONCATENATE($A$2, $A$1, $A296, C$2)</f>
        <v/>
      </c>
      <c r="D296">
        <f>CONCATENATE($A$2, $A$1, $A296, D$2)</f>
        <v/>
      </c>
      <c r="E296">
        <f>CONCATENATE($A$2, $A$1, $A296, E$2)</f>
        <v/>
      </c>
      <c r="F296">
        <f>CONCATENATE($A$2, $A$1, $A296, F$2)</f>
        <v/>
      </c>
      <c r="G296">
        <f>CONCATENATE($A$2, $A$1, $A296, G$2)</f>
        <v/>
      </c>
      <c r="H296">
        <f>CONCATENATE($A$2, $A$1, $A296, H$2)</f>
        <v/>
      </c>
      <c r="I296">
        <f>CONCATENATE($A$2, $A$1, $A296, I$2)</f>
        <v/>
      </c>
      <c r="J296">
        <f>CONCATENATE($A$2, $A$1, $A296, J$2)</f>
        <v/>
      </c>
      <c r="K296">
        <f>CurrAttrValue(D296, 0)</f>
        <v/>
      </c>
      <c r="L296">
        <f>CurrAttrValue(E296, 0)</f>
        <v/>
      </c>
      <c r="M296">
        <f>CurrAttrValue(H296, 0)</f>
        <v/>
      </c>
      <c r="N296">
        <f>CurrAttrValue(I296, 0)</f>
        <v/>
      </c>
      <c r="O296">
        <f>CurrAttrValue(J296, 0)</f>
        <v/>
      </c>
      <c r="P296" s="5">
        <f>"221"</f>
        <v/>
      </c>
      <c r="Q296" s="6">
        <f>"АОсс. Нет связи с ПЛК AD100  "</f>
        <v/>
      </c>
      <c r="R296" s="7">
        <f>IF(N296, S296, "")</f>
        <v/>
      </c>
      <c r="S296" s="7">
        <f>CurrAttrValue(C296, 0)</f>
        <v/>
      </c>
      <c r="T296" s="5">
        <f>IF(K296=-200, "д.вх.", K296)</f>
        <v/>
      </c>
      <c r="U296" s="5">
        <f>IF(L296=-200, "д.вх.", IF(N296, O296, L296))</f>
        <v/>
      </c>
      <c r="V296" s="5">
        <f>CurrAttrValue(G296, 0)</f>
        <v/>
      </c>
      <c r="W296" s="5">
        <f>IF(M296, "Блокирована", IF(N296, "Проверено", "-"))</f>
        <v/>
      </c>
    </row>
    <row r="297" ht="20" customHeight="1">
      <c r="A297">
        <f>"System.PZ.A221"</f>
        <v/>
      </c>
      <c r="B297">
        <f>CONCATENATE($A$2, $A$1, $A297, B$2)</f>
        <v/>
      </c>
      <c r="C297">
        <f>CONCATENATE($A$2, $A$1, $A297, C$2)</f>
        <v/>
      </c>
      <c r="D297">
        <f>CONCATENATE($A$2, $A$1, $A297, D$2)</f>
        <v/>
      </c>
      <c r="E297">
        <f>CONCATENATE($A$2, $A$1, $A297, E$2)</f>
        <v/>
      </c>
      <c r="F297">
        <f>CONCATENATE($A$2, $A$1, $A297, F$2)</f>
        <v/>
      </c>
      <c r="G297">
        <f>CONCATENATE($A$2, $A$1, $A297, G$2)</f>
        <v/>
      </c>
      <c r="H297">
        <f>CONCATENATE($A$2, $A$1, $A297, H$2)</f>
        <v/>
      </c>
      <c r="I297">
        <f>CONCATENATE($A$2, $A$1, $A297, I$2)</f>
        <v/>
      </c>
      <c r="J297">
        <f>CONCATENATE($A$2, $A$1, $A297, J$2)</f>
        <v/>
      </c>
      <c r="K297">
        <f>CurrAttrValue(D297, 0)</f>
        <v/>
      </c>
      <c r="L297">
        <f>CurrAttrValue(E297, 0)</f>
        <v/>
      </c>
      <c r="M297">
        <f>CurrAttrValue(H297, 0)</f>
        <v/>
      </c>
      <c r="N297">
        <f>CurrAttrValue(I297, 0)</f>
        <v/>
      </c>
      <c r="O297">
        <f>CurrAttrValue(J297, 0)</f>
        <v/>
      </c>
      <c r="P297" s="5">
        <f>"222"</f>
        <v/>
      </c>
      <c r="Q297" s="6">
        <f>"АОсс. АОсс по команде оператора  "</f>
        <v/>
      </c>
      <c r="R297" s="7">
        <f>IF(N297, S297, "")</f>
        <v/>
      </c>
      <c r="S297" s="7">
        <f>CurrAttrValue(C297, 0)</f>
        <v/>
      </c>
      <c r="T297" s="5">
        <f>IF(K297=-200, "д.вх.", K297)</f>
        <v/>
      </c>
      <c r="U297" s="5">
        <f>IF(L297=-200, "д.вх.", IF(N297, O297, L297))</f>
        <v/>
      </c>
      <c r="V297" s="5">
        <f>CurrAttrValue(G297, 0)</f>
        <v/>
      </c>
      <c r="W297" s="5">
        <f>IF(M297, "Блокирована", IF(N297, "Проверено", "-"))</f>
        <v/>
      </c>
    </row>
    <row r="298" ht="20" customHeight="1">
      <c r="A298">
        <f>"System.PZ.A222"</f>
        <v/>
      </c>
      <c r="B298">
        <f>CONCATENATE($A$2, $A$1, $A298, B$2)</f>
        <v/>
      </c>
      <c r="C298">
        <f>CONCATENATE($A$2, $A$1, $A298, C$2)</f>
        <v/>
      </c>
      <c r="D298">
        <f>CONCATENATE($A$2, $A$1, $A298, D$2)</f>
        <v/>
      </c>
      <c r="E298">
        <f>CONCATENATE($A$2, $A$1, $A298, E$2)</f>
        <v/>
      </c>
      <c r="F298">
        <f>CONCATENATE($A$2, $A$1, $A298, F$2)</f>
        <v/>
      </c>
      <c r="G298">
        <f>CONCATENATE($A$2, $A$1, $A298, G$2)</f>
        <v/>
      </c>
      <c r="H298">
        <f>CONCATENATE($A$2, $A$1, $A298, H$2)</f>
        <v/>
      </c>
      <c r="I298">
        <f>CONCATENATE($A$2, $A$1, $A298, I$2)</f>
        <v/>
      </c>
      <c r="J298">
        <f>CONCATENATE($A$2, $A$1, $A298, J$2)</f>
        <v/>
      </c>
      <c r="K298">
        <f>CurrAttrValue(D298, 0)</f>
        <v/>
      </c>
      <c r="L298">
        <f>CurrAttrValue(E298, 0)</f>
        <v/>
      </c>
      <c r="M298">
        <f>CurrAttrValue(H298, 0)</f>
        <v/>
      </c>
      <c r="N298">
        <f>CurrAttrValue(I298, 0)</f>
        <v/>
      </c>
      <c r="O298">
        <f>CurrAttrValue(J298, 0)</f>
        <v/>
      </c>
      <c r="P298" s="5">
        <f>"223"</f>
        <v/>
      </c>
      <c r="Q298" s="6">
        <f>"АОбс. АОбс по команде оператора  "</f>
        <v/>
      </c>
      <c r="R298" s="7">
        <f>IF(N298, S298, "")</f>
        <v/>
      </c>
      <c r="S298" s="7">
        <f>CurrAttrValue(C298, 0)</f>
        <v/>
      </c>
      <c r="T298" s="5">
        <f>IF(K298=-200, "д.вх.", K298)</f>
        <v/>
      </c>
      <c r="U298" s="5">
        <f>IF(L298=-200, "д.вх.", IF(N298, O298, L298))</f>
        <v/>
      </c>
      <c r="V298" s="5">
        <f>CurrAttrValue(G298, 0)</f>
        <v/>
      </c>
      <c r="W298" s="5">
        <f>IF(M298, "Блокирована", IF(N298, "Проверено", "-"))</f>
        <v/>
      </c>
    </row>
    <row r="299" ht="20" customHeight="1">
      <c r="A299">
        <f>"System.PZ.A223"</f>
        <v/>
      </c>
      <c r="B299">
        <f>CONCATENATE($A$2, $A$1, $A299, B$2)</f>
        <v/>
      </c>
      <c r="C299">
        <f>CONCATENATE($A$2, $A$1, $A299, C$2)</f>
        <v/>
      </c>
      <c r="D299">
        <f>CONCATENATE($A$2, $A$1, $A299, D$2)</f>
        <v/>
      </c>
      <c r="E299">
        <f>CONCATENATE($A$2, $A$1, $A299, E$2)</f>
        <v/>
      </c>
      <c r="F299">
        <f>CONCATENATE($A$2, $A$1, $A299, F$2)</f>
        <v/>
      </c>
      <c r="G299">
        <f>CONCATENATE($A$2, $A$1, $A299, G$2)</f>
        <v/>
      </c>
      <c r="H299">
        <f>CONCATENATE($A$2, $A$1, $A299, H$2)</f>
        <v/>
      </c>
      <c r="I299">
        <f>CONCATENATE($A$2, $A$1, $A299, I$2)</f>
        <v/>
      </c>
      <c r="J299">
        <f>CONCATENATE($A$2, $A$1, $A299, J$2)</f>
        <v/>
      </c>
      <c r="K299">
        <f>CurrAttrValue(D299, 0)</f>
        <v/>
      </c>
      <c r="L299">
        <f>CurrAttrValue(E299, 0)</f>
        <v/>
      </c>
      <c r="M299">
        <f>CurrAttrValue(H299, 0)</f>
        <v/>
      </c>
      <c r="N299">
        <f>CurrAttrValue(I299, 0)</f>
        <v/>
      </c>
      <c r="O299">
        <f>CurrAttrValue(J299, 0)</f>
        <v/>
      </c>
      <c r="P299" s="5">
        <f>"224"</f>
        <v/>
      </c>
      <c r="Q299" s="6">
        <f>"АОсс. АОсс по команде оператора с ПРУ  "</f>
        <v/>
      </c>
      <c r="R299" s="7">
        <f>IF(N299, S299, "")</f>
        <v/>
      </c>
      <c r="S299" s="7">
        <f>CurrAttrValue(C299, 0)</f>
        <v/>
      </c>
      <c r="T299" s="5">
        <f>IF(K299=-200, "д.вх.", K299)</f>
        <v/>
      </c>
      <c r="U299" s="5">
        <f>IF(L299=-200, "д.вх.", IF(N299, O299, L299))</f>
        <v/>
      </c>
      <c r="V299" s="5">
        <f>CurrAttrValue(G299, 0)</f>
        <v/>
      </c>
      <c r="W299" s="5">
        <f>IF(M299, "Блокирована", IF(N299, "Проверено", "-"))</f>
        <v/>
      </c>
    </row>
    <row r="300" ht="20" customHeight="1">
      <c r="A300">
        <f>"System.PZ.A224"</f>
        <v/>
      </c>
      <c r="B300">
        <f>CONCATENATE($A$2, $A$1, $A300, B$2)</f>
        <v/>
      </c>
      <c r="C300">
        <f>CONCATENATE($A$2, $A$1, $A300, C$2)</f>
        <v/>
      </c>
      <c r="D300">
        <f>CONCATENATE($A$2, $A$1, $A300, D$2)</f>
        <v/>
      </c>
      <c r="E300">
        <f>CONCATENATE($A$2, $A$1, $A300, E$2)</f>
        <v/>
      </c>
      <c r="F300">
        <f>CONCATENATE($A$2, $A$1, $A300, F$2)</f>
        <v/>
      </c>
      <c r="G300">
        <f>CONCATENATE($A$2, $A$1, $A300, G$2)</f>
        <v/>
      </c>
      <c r="H300">
        <f>CONCATENATE($A$2, $A$1, $A300, H$2)</f>
        <v/>
      </c>
      <c r="I300">
        <f>CONCATENATE($A$2, $A$1, $A300, I$2)</f>
        <v/>
      </c>
      <c r="J300">
        <f>CONCATENATE($A$2, $A$1, $A300, J$2)</f>
        <v/>
      </c>
      <c r="K300">
        <f>CurrAttrValue(D300, 0)</f>
        <v/>
      </c>
      <c r="L300">
        <f>CurrAttrValue(E300, 0)</f>
        <v/>
      </c>
      <c r="M300">
        <f>CurrAttrValue(H300, 0)</f>
        <v/>
      </c>
      <c r="N300">
        <f>CurrAttrValue(I300, 0)</f>
        <v/>
      </c>
      <c r="O300">
        <f>CurrAttrValue(J300, 0)</f>
        <v/>
      </c>
      <c r="P300" s="5">
        <f>"225"</f>
        <v/>
      </c>
      <c r="Q300" s="6">
        <f>"АОбс. АОбс по команде оператора с ПРУ  "</f>
        <v/>
      </c>
      <c r="R300" s="7">
        <f>IF(N300, S300, "")</f>
        <v/>
      </c>
      <c r="S300" s="7">
        <f>CurrAttrValue(C300, 0)</f>
        <v/>
      </c>
      <c r="T300" s="5">
        <f>IF(K300=-200, "д.вх.", K300)</f>
        <v/>
      </c>
      <c r="U300" s="5">
        <f>IF(L300=-200, "д.вх.", IF(N300, O300, L300))</f>
        <v/>
      </c>
      <c r="V300" s="5">
        <f>CurrAttrValue(G300, 0)</f>
        <v/>
      </c>
      <c r="W300" s="5">
        <f>IF(M300, "Блокирована", IF(N300, "Проверено", "-"))</f>
        <v/>
      </c>
    </row>
    <row r="303" ht="35" customHeight="1">
      <c r="Q303" s="8">
        <f>"должность"</f>
        <v/>
      </c>
      <c r="R303" s="9" t="n"/>
      <c r="S303" s="8">
        <f>"ФИО"</f>
        <v/>
      </c>
      <c r="T303" s="9" t="n"/>
      <c r="U303" s="8">
        <f>"подпись"</f>
        <v/>
      </c>
    </row>
    <row r="304" ht="35" customHeight="1">
      <c r="Q304" s="8">
        <f>"должность"</f>
        <v/>
      </c>
      <c r="R304" s="9" t="n"/>
      <c r="S304" s="8">
        <f>"ФИО"</f>
        <v/>
      </c>
      <c r="T304" s="9" t="n"/>
      <c r="U304" s="8">
        <f>"подпись"</f>
        <v/>
      </c>
    </row>
    <row r="305" ht="35" customHeight="1">
      <c r="Q305" s="8">
        <f>"должность"</f>
        <v/>
      </c>
      <c r="R305" s="9" t="n"/>
      <c r="S305" s="8">
        <f>"ФИО"</f>
        <v/>
      </c>
      <c r="T305" s="9" t="n"/>
      <c r="U305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2022-04-29T08:20:00Z</dcterms:created>
  <dcterms:modified xmlns:dcterms="http://purl.org/dc/terms/" xmlns:xsi="http://www.w3.org/2001/XMLSchema-instance" xsi:type="dcterms:W3CDTF">2022-04-29T08:20:00Z</dcterms:modified>
</cp:coreProperties>
</file>