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22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2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pivotButton="0" quotePrefix="0" xfId="0"/>
    <xf numFmtId="2" fontId="3" fillId="0" borderId="1" applyAlignment="1" pivotButton="0" quotePrefix="0" xfId="0">
      <alignment horizontal="center" vertical="center" wrapText="1"/>
    </xf>
    <xf numFmtId="21" fontId="0" fillId="0" borderId="0" pivotButton="0" quotePrefix="0" xfId="0"/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H57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width="7" customWidth="1" min="6" max="6"/>
    <col width="105" customWidth="1" min="7" max="7"/>
    <col width="15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</cols>
  <sheetData>
    <row r="1" ht="25" customHeight="1"/>
    <row r="2" ht="20" customHeight="1">
      <c r="A2" s="1">
        <f>NOW()</f>
        <v/>
      </c>
      <c r="B2">
        <f>"№ ГПА"</f>
        <v/>
      </c>
      <c r="E2">
        <f>"GPA1."</f>
        <v/>
      </c>
      <c r="G2" s="2">
        <f>"Сменная ведомость ГПА3 на "</f>
        <v/>
      </c>
      <c r="H2" s="3">
        <f>A3</f>
        <v/>
      </c>
    </row>
    <row r="3">
      <c r="A3" s="1">
        <f>reportdate</f>
        <v/>
      </c>
      <c r="B3">
        <f>"дата"</f>
        <v/>
      </c>
      <c r="D3">
        <f>"начало пути"</f>
        <v/>
      </c>
      <c r="E3">
        <f>"Получение данных с OPC UA@"</f>
        <v/>
      </c>
    </row>
    <row r="4" hidden="1">
      <c r="A4">
        <f>smena</f>
        <v/>
      </c>
      <c r="B4">
        <f>"смена"</f>
        <v/>
      </c>
      <c r="D4">
        <f>"значение"</f>
        <v/>
      </c>
      <c r="E4">
        <f>".Value;1"</f>
        <v/>
      </c>
      <c r="I4">
        <f>IF($A$2&gt;I5, true, false)</f>
        <v/>
      </c>
      <c r="J4">
        <f>IF($A$2&gt;J5, true, false)</f>
        <v/>
      </c>
      <c r="K4">
        <f>IF($A$2&gt;K5, true, false)</f>
        <v/>
      </c>
      <c r="L4">
        <f>IF($A$2&gt;L5, true, false)</f>
        <v/>
      </c>
      <c r="M4">
        <f>IF($A$2&gt;M5, true, false)</f>
        <v/>
      </c>
      <c r="N4">
        <f>IF($A$2&gt;N5, true, false)</f>
        <v/>
      </c>
      <c r="O4">
        <f>IF($A$2&gt;O5, true, false)</f>
        <v/>
      </c>
      <c r="P4">
        <f>IF($A$2&gt;P5, true, false)</f>
        <v/>
      </c>
      <c r="Q4">
        <f>IF($A$2&gt;Q5, true, false)</f>
        <v/>
      </c>
      <c r="R4">
        <f>IF($A$2&gt;R5, true, false)</f>
        <v/>
      </c>
      <c r="S4">
        <f>IF($A$2&gt;S5, true, false)</f>
        <v/>
      </c>
      <c r="T4">
        <f>IF($A$2&gt;T5, true, false)</f>
        <v/>
      </c>
    </row>
    <row r="5" hidden="1">
      <c r="A5">
        <f>"smena=1"</f>
        <v/>
      </c>
      <c r="B5">
        <f>"дневная"</f>
        <v/>
      </c>
      <c r="E5">
        <f>".Value.100;1"</f>
        <v/>
      </c>
      <c r="I5" s="1">
        <f>A12+A14</f>
        <v/>
      </c>
      <c r="J5" s="1">
        <f>I5+1/24</f>
        <v/>
      </c>
      <c r="K5" s="1">
        <f>J5+1/24</f>
        <v/>
      </c>
      <c r="L5" s="1">
        <f>K5+1/24</f>
        <v/>
      </c>
      <c r="M5" s="1">
        <f>L5+1/24</f>
        <v/>
      </c>
      <c r="N5" s="1">
        <f>M5+1/24</f>
        <v/>
      </c>
      <c r="O5" s="1">
        <f>N5+1/24</f>
        <v/>
      </c>
      <c r="P5" s="1">
        <f>O5+1/24</f>
        <v/>
      </c>
      <c r="Q5" s="1">
        <f>P5+1/24</f>
        <v/>
      </c>
      <c r="R5" s="1">
        <f>Q5+1/24</f>
        <v/>
      </c>
      <c r="S5" s="1">
        <f>R5+1/24</f>
        <v/>
      </c>
      <c r="T5" s="1">
        <f>S5+1/24</f>
        <v/>
      </c>
      <c r="V5">
        <f>"текущие значения"</f>
        <v/>
      </c>
      <c r="W5" s="1">
        <f>I7</f>
        <v/>
      </c>
      <c r="X5" s="1">
        <f>J7</f>
        <v/>
      </c>
      <c r="Y5" s="1">
        <f>K7</f>
        <v/>
      </c>
      <c r="Z5" s="1">
        <f>L7</f>
        <v/>
      </c>
      <c r="AA5" s="1">
        <f>M7</f>
        <v/>
      </c>
      <c r="AB5" s="1">
        <f>N7</f>
        <v/>
      </c>
      <c r="AC5" s="1">
        <f>O7</f>
        <v/>
      </c>
      <c r="AD5" s="1">
        <f>P7</f>
        <v/>
      </c>
      <c r="AE5" s="1">
        <f>Q7</f>
        <v/>
      </c>
      <c r="AF5" s="1">
        <f>R7</f>
        <v/>
      </c>
      <c r="AG5" s="1">
        <f>S7</f>
        <v/>
      </c>
      <c r="AH5" s="1">
        <f>T7</f>
        <v/>
      </c>
    </row>
    <row r="6" hidden="1">
      <c r="A6">
        <f>"smena=2"</f>
        <v/>
      </c>
      <c r="B6">
        <f>"ночная"</f>
        <v/>
      </c>
      <c r="I6" s="1">
        <f>I5+$A$15</f>
        <v/>
      </c>
      <c r="J6" s="1">
        <f>J5+$A$15</f>
        <v/>
      </c>
      <c r="K6" s="1">
        <f>K5+$A$15</f>
        <v/>
      </c>
      <c r="L6" s="1">
        <f>L5+$A$15</f>
        <v/>
      </c>
      <c r="M6" s="1">
        <f>M5+$A$15</f>
        <v/>
      </c>
      <c r="N6" s="1">
        <f>N5+$A$15</f>
        <v/>
      </c>
      <c r="O6" s="1">
        <f>O5+$A$15</f>
        <v/>
      </c>
      <c r="P6" s="1">
        <f>P5+$A$15</f>
        <v/>
      </c>
      <c r="Q6" s="1">
        <f>Q5+$A$15</f>
        <v/>
      </c>
      <c r="R6" s="1">
        <f>R5+$A$15</f>
        <v/>
      </c>
      <c r="S6" s="1">
        <f>S5+$A$15</f>
        <v/>
      </c>
      <c r="T6" s="1">
        <f>T5+$A$15</f>
        <v/>
      </c>
    </row>
    <row r="7">
      <c r="C7">
        <f>"узел"</f>
        <v/>
      </c>
      <c r="D7">
        <f>"ед.изм"</f>
        <v/>
      </c>
      <c r="E7">
        <f>"значение"</f>
        <v/>
      </c>
      <c r="F7" s="4">
        <f>"№"</f>
        <v/>
      </c>
      <c r="G7" s="4">
        <f>"Наименование  "</f>
        <v/>
      </c>
      <c r="H7" s="4">
        <f>"ед.изм"</f>
        <v/>
      </c>
      <c r="I7" s="5">
        <f>TIME(HOUR(I5), 0, 0)</f>
        <v/>
      </c>
      <c r="J7" s="5">
        <f>TIME(HOUR(J5), 0, 0)</f>
        <v/>
      </c>
      <c r="K7" s="5">
        <f>TIME(HOUR(K5), 0, 0)</f>
        <v/>
      </c>
      <c r="L7" s="5">
        <f>TIME(HOUR(L5), 0, 0)</f>
        <v/>
      </c>
      <c r="M7" s="5">
        <f>TIME(HOUR(M5), 0, 0)</f>
        <v/>
      </c>
      <c r="N7" s="5">
        <f>TIME(HOUR(N5), 0, 0)</f>
        <v/>
      </c>
      <c r="O7" s="5">
        <f>TIME(HOUR(O5), 0, 0)</f>
        <v/>
      </c>
      <c r="P7" s="5">
        <f>TIME(HOUR(P5), 0, 0)</f>
        <v/>
      </c>
      <c r="Q7" s="5">
        <f>TIME(HOUR(Q5), 0, 0)</f>
        <v/>
      </c>
      <c r="R7" s="5">
        <f>TIME(HOUR(R5), 0, 0)</f>
        <v/>
      </c>
      <c r="S7" s="5">
        <f>TIME(HOUR(S5), 0, 0)</f>
        <v/>
      </c>
      <c r="T7" s="5">
        <f>TIME(HOUR(T5), 0, 0)</f>
        <v/>
      </c>
    </row>
    <row r="8" ht="20" customHeight="1">
      <c r="C8">
        <f>"AI.AI_Tm_inGTU"</f>
        <v/>
      </c>
      <c r="D8">
        <f>CONCATENATE($E$3, $E$2, $C8, $E$5)</f>
        <v/>
      </c>
      <c r="E8">
        <f>CONCATENATE($E$3, $E$2, $C8, $E$4)</f>
        <v/>
      </c>
      <c r="F8" s="6">
        <f>"1"</f>
        <v/>
      </c>
      <c r="G8" s="7">
        <f>"Температура масла на входе в Д  "</f>
        <v/>
      </c>
      <c r="H8" s="6">
        <f>CurrAttrValue(D8, 0)</f>
        <v/>
      </c>
      <c r="I8" s="8">
        <f>IF(I$4, IF(ISNUMBER(W8), W8, $V8), "-")</f>
        <v/>
      </c>
      <c r="J8" s="8">
        <f>IF(J$4, IF(ISNUMBER(X8), X8, $V8), "-")</f>
        <v/>
      </c>
      <c r="K8" s="8">
        <f>IF(K$4, IF(ISNUMBER(Y8), Y8, $V8), "-")</f>
        <v/>
      </c>
      <c r="L8" s="8">
        <f>IF(L$4, IF(ISNUMBER(Z8), Z8, $V8), "-")</f>
        <v/>
      </c>
      <c r="M8" s="8">
        <f>IF(M$4, IF(ISNUMBER(AA8), AA8, $V8), "-")</f>
        <v/>
      </c>
      <c r="N8" s="8">
        <f>IF(N$4, IF(ISNUMBER(AB8), AB8, $V8), "-")</f>
        <v/>
      </c>
      <c r="O8" s="8">
        <f>IF(O$4, IF(ISNUMBER(AC8), AC8, $V8), "-")</f>
        <v/>
      </c>
      <c r="P8" s="8">
        <f>IF(P$4, IF(ISNUMBER(AD8), AD8, $V8), "-")</f>
        <v/>
      </c>
      <c r="Q8" s="8">
        <f>IF(Q$4, IF(ISNUMBER(AE8), AE8, $V8), "-")</f>
        <v/>
      </c>
      <c r="R8" s="8">
        <f>IF(R$4, IF(ISNUMBER(AF8), AF8, $V8), "-")</f>
        <v/>
      </c>
      <c r="S8" s="9">
        <f>IF(S$4, IF(ISNUMBER(AG8), AG8, $V8), "-")</f>
        <v/>
      </c>
      <c r="T8" s="8">
        <f>IF(T$4, IF(ISNUMBER(AH8), AH8, $V8), "-")</f>
        <v/>
      </c>
      <c r="V8">
        <f>CurrAttrValue(E8, 0)</f>
        <v/>
      </c>
      <c r="W8">
        <f>ArchiveAttributeValue($E8, 0, I$5, I$6, 1)</f>
        <v/>
      </c>
      <c r="X8">
        <f>ArchiveAttributeValue($E8, 0, J$5, J$6, 1)</f>
        <v/>
      </c>
      <c r="Y8">
        <f>ArchiveAttributeValue($E8, 0, K$5, K$6, 1)</f>
        <v/>
      </c>
      <c r="Z8">
        <f>ArchiveAttributeValue($E8, 0, L$5, L$6, 1)</f>
        <v/>
      </c>
      <c r="AA8">
        <f>ArchiveAttributeValue($E8, 0, M$5, M$6, 1)</f>
        <v/>
      </c>
      <c r="AB8">
        <f>ArchiveAttributeValue($E8, 0, N$5, N$6, 1)</f>
        <v/>
      </c>
      <c r="AC8">
        <f>ArchiveAttributeValue($E8, 0, O$5, O$6, 1)</f>
        <v/>
      </c>
      <c r="AD8">
        <f>ArchiveAttributeValue($E8, 0, P$5, P$6, 1)</f>
        <v/>
      </c>
      <c r="AE8">
        <f>ArchiveAttributeValue($E8, 0, Q$5, Q$6, 1)</f>
        <v/>
      </c>
      <c r="AF8">
        <f>ArchiveAttributeValue($E8, 0, R$5, R$6, 1)</f>
        <v/>
      </c>
      <c r="AG8">
        <f>ArchiveAttributeValue($E8, 0, S$5, S$6, 1)</f>
        <v/>
      </c>
      <c r="AH8">
        <f>ArchiveAttributeValue($E8, 0, T$5, T$6, 1)</f>
        <v/>
      </c>
    </row>
    <row r="9" ht="20" customHeight="1">
      <c r="A9">
        <f>YEAR(A3)</f>
        <v/>
      </c>
      <c r="B9">
        <f>"год"</f>
        <v/>
      </c>
      <c r="C9">
        <f>"AI.AI_Tm_outSPK"</f>
        <v/>
      </c>
      <c r="D9">
        <f>CONCATENATE($E$3, $E$2, $C9, $E$5)</f>
        <v/>
      </c>
      <c r="E9">
        <f>CONCATENATE($E$3, $E$2, $C9, $E$4)</f>
        <v/>
      </c>
      <c r="F9" s="6">
        <f>"2"</f>
        <v/>
      </c>
      <c r="G9" s="7">
        <f>"Температура масла на выходе из опоры ш/п КВД  "</f>
        <v/>
      </c>
      <c r="H9" s="6">
        <f>CurrAttrValue(D9, 0)</f>
        <v/>
      </c>
      <c r="I9" s="8">
        <f>IF(I$4, IF(ISNUMBER(W9), W9, $V9), "-")</f>
        <v/>
      </c>
      <c r="J9" s="8">
        <f>IF(J$4, IF(ISNUMBER(X9), X9, $V9), "-")</f>
        <v/>
      </c>
      <c r="K9" s="8">
        <f>IF(K$4, IF(ISNUMBER(Y9), Y9, $V9), "-")</f>
        <v/>
      </c>
      <c r="L9" s="8">
        <f>IF(L$4, IF(ISNUMBER(Z9), Z9, $V9), "-")</f>
        <v/>
      </c>
      <c r="M9" s="8">
        <f>IF(M$4, IF(ISNUMBER(AA9), AA9, $V9), "-")</f>
        <v/>
      </c>
      <c r="N9" s="8">
        <f>IF(N$4, IF(ISNUMBER(AB9), AB9, $V9), "-")</f>
        <v/>
      </c>
      <c r="O9" s="8">
        <f>IF(O$4, IF(ISNUMBER(AC9), AC9, $V9), "-")</f>
        <v/>
      </c>
      <c r="P9" s="8">
        <f>IF(P$4, IF(ISNUMBER(AD9), AD9, $V9), "-")</f>
        <v/>
      </c>
      <c r="Q9" s="8">
        <f>IF(Q$4, IF(ISNUMBER(AE9), AE9, $V9), "-")</f>
        <v/>
      </c>
      <c r="R9" s="8">
        <f>IF(R$4, IF(ISNUMBER(AF9), AF9, $V9), "-")</f>
        <v/>
      </c>
      <c r="S9" s="9">
        <f>IF(S$4, IF(ISNUMBER(AG9), AG9, $V9), "-")</f>
        <v/>
      </c>
      <c r="T9" s="8">
        <f>IF(T$4, IF(ISNUMBER(AH9), AH9, $V9), "-")</f>
        <v/>
      </c>
      <c r="V9">
        <f>CurrAttrValue(E9, 0)</f>
        <v/>
      </c>
      <c r="W9">
        <f>ArchiveAttributeValue($E9, 0, I$5, I$6, 1)</f>
        <v/>
      </c>
      <c r="X9">
        <f>ArchiveAttributeValue($E9, 0, J$5, J$6, 1)</f>
        <v/>
      </c>
      <c r="Y9">
        <f>ArchiveAttributeValue($E9, 0, K$5, K$6, 1)</f>
        <v/>
      </c>
      <c r="Z9">
        <f>ArchiveAttributeValue($E9, 0, L$5, L$6, 1)</f>
        <v/>
      </c>
      <c r="AA9">
        <f>ArchiveAttributeValue($E9, 0, M$5, M$6, 1)</f>
        <v/>
      </c>
      <c r="AB9">
        <f>ArchiveAttributeValue($E9, 0, N$5, N$6, 1)</f>
        <v/>
      </c>
      <c r="AC9">
        <f>ArchiveAttributeValue($E9, 0, O$5, O$6, 1)</f>
        <v/>
      </c>
      <c r="AD9">
        <f>ArchiveAttributeValue($E9, 0, P$5, P$6, 1)</f>
        <v/>
      </c>
      <c r="AE9">
        <f>ArchiveAttributeValue($E9, 0, Q$5, Q$6, 1)</f>
        <v/>
      </c>
      <c r="AF9">
        <f>ArchiveAttributeValue($E9, 0, R$5, R$6, 1)</f>
        <v/>
      </c>
      <c r="AG9">
        <f>ArchiveAttributeValue($E9, 0, S$5, S$6, 1)</f>
        <v/>
      </c>
      <c r="AH9">
        <f>ArchiveAttributeValue($E9, 0, T$5, T$6, 1)</f>
        <v/>
      </c>
    </row>
    <row r="10" ht="20" customHeight="1">
      <c r="A10">
        <f>MONTH(A3)</f>
        <v/>
      </c>
      <c r="B10">
        <f>"месяц"</f>
        <v/>
      </c>
      <c r="C10">
        <f>"AI.AI_Tm_outRPTvd"</f>
        <v/>
      </c>
      <c r="D10">
        <f>CONCATENATE($E$3, $E$2, $C10, $E$5)</f>
        <v/>
      </c>
      <c r="E10">
        <f>CONCATENATE($E$3, $E$2, $C10, $E$4)</f>
        <v/>
      </c>
      <c r="F10" s="6">
        <f>"3"</f>
        <v/>
      </c>
      <c r="G10" s="7">
        <f>"Температура масла на выходе из опоры р/п ТВД  "</f>
        <v/>
      </c>
      <c r="H10" s="6">
        <f>CurrAttrValue(D10, 0)</f>
        <v/>
      </c>
      <c r="I10" s="8">
        <f>IF(I$4, IF(ISNUMBER(W10), W10, $V10), "-")</f>
        <v/>
      </c>
      <c r="J10" s="8">
        <f>IF(J$4, IF(ISNUMBER(X10), X10, $V10), "-")</f>
        <v/>
      </c>
      <c r="K10" s="8">
        <f>IF(K$4, IF(ISNUMBER(Y10), Y10, $V10), "-")</f>
        <v/>
      </c>
      <c r="L10" s="8">
        <f>IF(L$4, IF(ISNUMBER(Z10), Z10, $V10), "-")</f>
        <v/>
      </c>
      <c r="M10" s="8">
        <f>IF(M$4, IF(ISNUMBER(AA10), AA10, $V10), "-")</f>
        <v/>
      </c>
      <c r="N10" s="8">
        <f>IF(N$4, IF(ISNUMBER(AB10), AB10, $V10), "-")</f>
        <v/>
      </c>
      <c r="O10" s="8">
        <f>IF(O$4, IF(ISNUMBER(AC10), AC10, $V10), "-")</f>
        <v/>
      </c>
      <c r="P10" s="8">
        <f>IF(P$4, IF(ISNUMBER(AD10), AD10, $V10), "-")</f>
        <v/>
      </c>
      <c r="Q10" s="8">
        <f>IF(Q$4, IF(ISNUMBER(AE10), AE10, $V10), "-")</f>
        <v/>
      </c>
      <c r="R10" s="8">
        <f>IF(R$4, IF(ISNUMBER(AF10), AF10, $V10), "-")</f>
        <v/>
      </c>
      <c r="S10" s="9">
        <f>IF(S$4, IF(ISNUMBER(AG10), AG10, $V10), "-")</f>
        <v/>
      </c>
      <c r="T10" s="8">
        <f>IF(T$4, IF(ISNUMBER(AH10), AH10, $V10), "-")</f>
        <v/>
      </c>
      <c r="V10">
        <f>CurrAttrValue(E10, 0)</f>
        <v/>
      </c>
      <c r="W10">
        <f>ArchiveAttributeValue($E10, 0, I$5, I$6, 1)</f>
        <v/>
      </c>
      <c r="X10">
        <f>ArchiveAttributeValue($E10, 0, J$5, J$6, 1)</f>
        <v/>
      </c>
      <c r="Y10">
        <f>ArchiveAttributeValue($E10, 0, K$5, K$6, 1)</f>
        <v/>
      </c>
      <c r="Z10">
        <f>ArchiveAttributeValue($E10, 0, L$5, L$6, 1)</f>
        <v/>
      </c>
      <c r="AA10">
        <f>ArchiveAttributeValue($E10, 0, M$5, M$6, 1)</f>
        <v/>
      </c>
      <c r="AB10">
        <f>ArchiveAttributeValue($E10, 0, N$5, N$6, 1)</f>
        <v/>
      </c>
      <c r="AC10">
        <f>ArchiveAttributeValue($E10, 0, O$5, O$6, 1)</f>
        <v/>
      </c>
      <c r="AD10">
        <f>ArchiveAttributeValue($E10, 0, P$5, P$6, 1)</f>
        <v/>
      </c>
      <c r="AE10">
        <f>ArchiveAttributeValue($E10, 0, Q$5, Q$6, 1)</f>
        <v/>
      </c>
      <c r="AF10">
        <f>ArchiveAttributeValue($E10, 0, R$5, R$6, 1)</f>
        <v/>
      </c>
      <c r="AG10">
        <f>ArchiveAttributeValue($E10, 0, S$5, S$6, 1)</f>
        <v/>
      </c>
      <c r="AH10">
        <f>ArchiveAttributeValue($E10, 0, T$5, T$6, 1)</f>
        <v/>
      </c>
    </row>
    <row r="11" ht="20" customHeight="1">
      <c r="A11">
        <f>DAY(A3)</f>
        <v/>
      </c>
      <c r="B11">
        <f>"день"</f>
        <v/>
      </c>
      <c r="C11">
        <f>"AI.AI_Tm_outRPTnd"</f>
        <v/>
      </c>
      <c r="D11">
        <f>CONCATENATE($E$3, $E$2, $C11, $E$5)</f>
        <v/>
      </c>
      <c r="E11">
        <f>CONCATENATE($E$3, $E$2, $C11, $E$4)</f>
        <v/>
      </c>
      <c r="F11" s="6">
        <f>"4"</f>
        <v/>
      </c>
      <c r="G11" s="7">
        <f>"Температура масла на выходе из опоры р/п ТНД  "</f>
        <v/>
      </c>
      <c r="H11" s="6">
        <f>CurrAttrValue(D11, 0)</f>
        <v/>
      </c>
      <c r="I11" s="8">
        <f>IF(I$4, IF(ISNUMBER(W11), W11, $V11), "-")</f>
        <v/>
      </c>
      <c r="J11" s="8">
        <f>IF(J$4, IF(ISNUMBER(X11), X11, $V11), "-")</f>
        <v/>
      </c>
      <c r="K11" s="8">
        <f>IF(K$4, IF(ISNUMBER(Y11), Y11, $V11), "-")</f>
        <v/>
      </c>
      <c r="L11" s="8">
        <f>IF(L$4, IF(ISNUMBER(Z11), Z11, $V11), "-")</f>
        <v/>
      </c>
      <c r="M11" s="8">
        <f>IF(M$4, IF(ISNUMBER(AA11), AA11, $V11), "-")</f>
        <v/>
      </c>
      <c r="N11" s="8">
        <f>IF(N$4, IF(ISNUMBER(AB11), AB11, $V11), "-")</f>
        <v/>
      </c>
      <c r="O11" s="8">
        <f>IF(O$4, IF(ISNUMBER(AC11), AC11, $V11), "-")</f>
        <v/>
      </c>
      <c r="P11" s="8">
        <f>IF(P$4, IF(ISNUMBER(AD11), AD11, $V11), "-")</f>
        <v/>
      </c>
      <c r="Q11" s="8">
        <f>IF(Q$4, IF(ISNUMBER(AE11), AE11, $V11), "-")</f>
        <v/>
      </c>
      <c r="R11" s="8">
        <f>IF(R$4, IF(ISNUMBER(AF11), AF11, $V11), "-")</f>
        <v/>
      </c>
      <c r="S11" s="9">
        <f>IF(S$4, IF(ISNUMBER(AG11), AG11, $V11), "-")</f>
        <v/>
      </c>
      <c r="T11" s="8">
        <f>IF(T$4, IF(ISNUMBER(AH11), AH11, $V11), "-")</f>
        <v/>
      </c>
      <c r="V11">
        <f>CurrAttrValue(E11, 0)</f>
        <v/>
      </c>
      <c r="W11">
        <f>ArchiveAttributeValue($E11, 0, I$5, I$6, 1)</f>
        <v/>
      </c>
      <c r="X11">
        <f>ArchiveAttributeValue($E11, 0, J$5, J$6, 1)</f>
        <v/>
      </c>
      <c r="Y11">
        <f>ArchiveAttributeValue($E11, 0, K$5, K$6, 1)</f>
        <v/>
      </c>
      <c r="Z11">
        <f>ArchiveAttributeValue($E11, 0, L$5, L$6, 1)</f>
        <v/>
      </c>
      <c r="AA11">
        <f>ArchiveAttributeValue($E11, 0, M$5, M$6, 1)</f>
        <v/>
      </c>
      <c r="AB11">
        <f>ArchiveAttributeValue($E11, 0, N$5, N$6, 1)</f>
        <v/>
      </c>
      <c r="AC11">
        <f>ArchiveAttributeValue($E11, 0, O$5, O$6, 1)</f>
        <v/>
      </c>
      <c r="AD11">
        <f>ArchiveAttributeValue($E11, 0, P$5, P$6, 1)</f>
        <v/>
      </c>
      <c r="AE11">
        <f>ArchiveAttributeValue($E11, 0, Q$5, Q$6, 1)</f>
        <v/>
      </c>
      <c r="AF11">
        <f>ArchiveAttributeValue($E11, 0, R$5, R$6, 1)</f>
        <v/>
      </c>
      <c r="AG11">
        <f>ArchiveAttributeValue($E11, 0, S$5, S$6, 1)</f>
        <v/>
      </c>
      <c r="AH11">
        <f>ArchiveAttributeValue($E11, 0, T$5, T$6, 1)</f>
        <v/>
      </c>
    </row>
    <row r="12" ht="20" customHeight="1">
      <c r="A12" s="1">
        <f>DATE(A9, A10, A11)</f>
        <v/>
      </c>
      <c r="C12">
        <f>"AI.AI_Tm_outST"</f>
        <v/>
      </c>
      <c r="D12">
        <f>CONCATENATE($E$3, $E$2, $C12, $E$5)</f>
        <v/>
      </c>
      <c r="E12">
        <f>CONCATENATE($E$3, $E$2, $C12, $E$4)</f>
        <v/>
      </c>
      <c r="F12" s="6">
        <f>"5"</f>
        <v/>
      </c>
      <c r="G12" s="7">
        <f>"Температура масла на выходе из опор СТ  "</f>
        <v/>
      </c>
      <c r="H12" s="6">
        <f>CurrAttrValue(D12, 0)</f>
        <v/>
      </c>
      <c r="I12" s="8">
        <f>IF(I$4, IF(ISNUMBER(W12), W12, $V12), "-")</f>
        <v/>
      </c>
      <c r="J12" s="8">
        <f>IF(J$4, IF(ISNUMBER(X12), X12, $V12), "-")</f>
        <v/>
      </c>
      <c r="K12" s="8">
        <f>IF(K$4, IF(ISNUMBER(Y12), Y12, $V12), "-")</f>
        <v/>
      </c>
      <c r="L12" s="8">
        <f>IF(L$4, IF(ISNUMBER(Z12), Z12, $V12), "-")</f>
        <v/>
      </c>
      <c r="M12" s="8">
        <f>IF(M$4, IF(ISNUMBER(AA12), AA12, $V12), "-")</f>
        <v/>
      </c>
      <c r="N12" s="8">
        <f>IF(N$4, IF(ISNUMBER(AB12), AB12, $V12), "-")</f>
        <v/>
      </c>
      <c r="O12" s="8">
        <f>IF(O$4, IF(ISNUMBER(AC12), AC12, $V12), "-")</f>
        <v/>
      </c>
      <c r="P12" s="8">
        <f>IF(P$4, IF(ISNUMBER(AD12), AD12, $V12), "-")</f>
        <v/>
      </c>
      <c r="Q12" s="8">
        <f>IF(Q$4, IF(ISNUMBER(AE12), AE12, $V12), "-")</f>
        <v/>
      </c>
      <c r="R12" s="8">
        <f>IF(R$4, IF(ISNUMBER(AF12), AF12, $V12), "-")</f>
        <v/>
      </c>
      <c r="S12" s="9">
        <f>IF(S$4, IF(ISNUMBER(AG12), AG12, $V12), "-")</f>
        <v/>
      </c>
      <c r="T12" s="8">
        <f>IF(T$4, IF(ISNUMBER(AH12), AH12, $V12), "-")</f>
        <v/>
      </c>
      <c r="V12">
        <f>CurrAttrValue(E12, 0)</f>
        <v/>
      </c>
      <c r="W12">
        <f>ArchiveAttributeValue($E12, 0, I$5, I$6, 1)</f>
        <v/>
      </c>
      <c r="X12">
        <f>ArchiveAttributeValue($E12, 0, J$5, J$6, 1)</f>
        <v/>
      </c>
      <c r="Y12">
        <f>ArchiveAttributeValue($E12, 0, K$5, K$6, 1)</f>
        <v/>
      </c>
      <c r="Z12">
        <f>ArchiveAttributeValue($E12, 0, L$5, L$6, 1)</f>
        <v/>
      </c>
      <c r="AA12">
        <f>ArchiveAttributeValue($E12, 0, M$5, M$6, 1)</f>
        <v/>
      </c>
      <c r="AB12">
        <f>ArchiveAttributeValue($E12, 0, N$5, N$6, 1)</f>
        <v/>
      </c>
      <c r="AC12">
        <f>ArchiveAttributeValue($E12, 0, O$5, O$6, 1)</f>
        <v/>
      </c>
      <c r="AD12">
        <f>ArchiveAttributeValue($E12, 0, P$5, P$6, 1)</f>
        <v/>
      </c>
      <c r="AE12">
        <f>ArchiveAttributeValue($E12, 0, Q$5, Q$6, 1)</f>
        <v/>
      </c>
      <c r="AF12">
        <f>ArchiveAttributeValue($E12, 0, R$5, R$6, 1)</f>
        <v/>
      </c>
      <c r="AG12">
        <f>ArchiveAttributeValue($E12, 0, S$5, S$6, 1)</f>
        <v/>
      </c>
      <c r="AH12">
        <f>ArchiveAttributeValue($E12, 0, T$5, T$6, 1)</f>
        <v/>
      </c>
    </row>
    <row r="13" ht="20" customHeight="1">
      <c r="C13">
        <f>"AI.AI_Pv_outKnd"</f>
        <v/>
      </c>
      <c r="D13">
        <f>CONCATENATE($E$3, $E$2, $C13, $E$5)</f>
        <v/>
      </c>
      <c r="E13">
        <f>CONCATENATE($E$3, $E$2, $C13, $E$4)</f>
        <v/>
      </c>
      <c r="F13" s="6">
        <f>"6"</f>
        <v/>
      </c>
      <c r="G13" s="7">
        <f>"Полное давление воздуха за КНД  "</f>
        <v/>
      </c>
      <c r="H13" s="6">
        <f>CurrAttrValue(D13, 0)</f>
        <v/>
      </c>
      <c r="I13" s="8">
        <f>IF(I$4, IF(ISNUMBER(W13), W13, $V13), "-")</f>
        <v/>
      </c>
      <c r="J13" s="8">
        <f>IF(J$4, IF(ISNUMBER(X13), X13, $V13), "-")</f>
        <v/>
      </c>
      <c r="K13" s="8">
        <f>IF(K$4, IF(ISNUMBER(Y13), Y13, $V13), "-")</f>
        <v/>
      </c>
      <c r="L13" s="8">
        <f>IF(L$4, IF(ISNUMBER(Z13), Z13, $V13), "-")</f>
        <v/>
      </c>
      <c r="M13" s="8">
        <f>IF(M$4, IF(ISNUMBER(AA13), AA13, $V13), "-")</f>
        <v/>
      </c>
      <c r="N13" s="8">
        <f>IF(N$4, IF(ISNUMBER(AB13), AB13, $V13), "-")</f>
        <v/>
      </c>
      <c r="O13" s="8">
        <f>IF(O$4, IF(ISNUMBER(AC13), AC13, $V13), "-")</f>
        <v/>
      </c>
      <c r="P13" s="8">
        <f>IF(P$4, IF(ISNUMBER(AD13), AD13, $V13), "-")</f>
        <v/>
      </c>
      <c r="Q13" s="8">
        <f>IF(Q$4, IF(ISNUMBER(AE13), AE13, $V13), "-")</f>
        <v/>
      </c>
      <c r="R13" s="8">
        <f>IF(R$4, IF(ISNUMBER(AF13), AF13, $V13), "-")</f>
        <v/>
      </c>
      <c r="S13" s="9">
        <f>IF(S$4, IF(ISNUMBER(AG13), AG13, $V13), "-")</f>
        <v/>
      </c>
      <c r="T13" s="8">
        <f>IF(T$4, IF(ISNUMBER(AH13), AH13, $V13), "-")</f>
        <v/>
      </c>
      <c r="V13">
        <f>CurrAttrValue(E13, 0)</f>
        <v/>
      </c>
      <c r="W13">
        <f>ArchiveAttributeValue($E13, 0, I$5, I$6, 1)</f>
        <v/>
      </c>
      <c r="X13">
        <f>ArchiveAttributeValue($E13, 0, J$5, J$6, 1)</f>
        <v/>
      </c>
      <c r="Y13">
        <f>ArchiveAttributeValue($E13, 0, K$5, K$6, 1)</f>
        <v/>
      </c>
      <c r="Z13">
        <f>ArchiveAttributeValue($E13, 0, L$5, L$6, 1)</f>
        <v/>
      </c>
      <c r="AA13">
        <f>ArchiveAttributeValue($E13, 0, M$5, M$6, 1)</f>
        <v/>
      </c>
      <c r="AB13">
        <f>ArchiveAttributeValue($E13, 0, N$5, N$6, 1)</f>
        <v/>
      </c>
      <c r="AC13">
        <f>ArchiveAttributeValue($E13, 0, O$5, O$6, 1)</f>
        <v/>
      </c>
      <c r="AD13">
        <f>ArchiveAttributeValue($E13, 0, P$5, P$6, 1)</f>
        <v/>
      </c>
      <c r="AE13">
        <f>ArchiveAttributeValue($E13, 0, Q$5, Q$6, 1)</f>
        <v/>
      </c>
      <c r="AF13">
        <f>ArchiveAttributeValue($E13, 0, R$5, R$6, 1)</f>
        <v/>
      </c>
      <c r="AG13">
        <f>ArchiveAttributeValue($E13, 0, S$5, S$6, 1)</f>
        <v/>
      </c>
      <c r="AH13">
        <f>ArchiveAttributeValue($E13, 0, T$5, T$6, 1)</f>
        <v/>
      </c>
    </row>
    <row r="14" ht="20" customHeight="1">
      <c r="A14" s="10">
        <f>IF(A4=1, TIME(8, 0, 0), TIME(20, 0, 0))</f>
        <v/>
      </c>
      <c r="B14">
        <f>"выбор смены"</f>
        <v/>
      </c>
      <c r="C14">
        <f>"AI.AI_Pv_outKvd"</f>
        <v/>
      </c>
      <c r="D14">
        <f>CONCATENATE($E$3, $E$2, $C14, $E$5)</f>
        <v/>
      </c>
      <c r="E14">
        <f>CONCATENATE($E$3, $E$2, $C14, $E$4)</f>
        <v/>
      </c>
      <c r="F14" s="6">
        <f>"7"</f>
        <v/>
      </c>
      <c r="G14" s="7">
        <f>"Давление воздуха за КВД  "</f>
        <v/>
      </c>
      <c r="H14" s="6">
        <f>CurrAttrValue(D14, 0)</f>
        <v/>
      </c>
      <c r="I14" s="8">
        <f>IF(I$4, IF(ISNUMBER(W14), W14, $V14), "-")</f>
        <v/>
      </c>
      <c r="J14" s="8">
        <f>IF(J$4, IF(ISNUMBER(X14), X14, $V14), "-")</f>
        <v/>
      </c>
      <c r="K14" s="8">
        <f>IF(K$4, IF(ISNUMBER(Y14), Y14, $V14), "-")</f>
        <v/>
      </c>
      <c r="L14" s="8">
        <f>IF(L$4, IF(ISNUMBER(Z14), Z14, $V14), "-")</f>
        <v/>
      </c>
      <c r="M14" s="8">
        <f>IF(M$4, IF(ISNUMBER(AA14), AA14, $V14), "-")</f>
        <v/>
      </c>
      <c r="N14" s="8">
        <f>IF(N$4, IF(ISNUMBER(AB14), AB14, $V14), "-")</f>
        <v/>
      </c>
      <c r="O14" s="8">
        <f>IF(O$4, IF(ISNUMBER(AC14), AC14, $V14), "-")</f>
        <v/>
      </c>
      <c r="P14" s="8">
        <f>IF(P$4, IF(ISNUMBER(AD14), AD14, $V14), "-")</f>
        <v/>
      </c>
      <c r="Q14" s="8">
        <f>IF(Q$4, IF(ISNUMBER(AE14), AE14, $V14), "-")</f>
        <v/>
      </c>
      <c r="R14" s="8">
        <f>IF(R$4, IF(ISNUMBER(AF14), AF14, $V14), "-")</f>
        <v/>
      </c>
      <c r="S14" s="9">
        <f>IF(S$4, IF(ISNUMBER(AG14), AG14, $V14), "-")</f>
        <v/>
      </c>
      <c r="T14" s="8">
        <f>IF(T$4, IF(ISNUMBER(AH14), AH14, $V14), "-")</f>
        <v/>
      </c>
      <c r="V14">
        <f>CurrAttrValue(E14, 0)</f>
        <v/>
      </c>
      <c r="W14">
        <f>ArchiveAttributeValue($E14, 0, I$5, I$6, 1)</f>
        <v/>
      </c>
      <c r="X14">
        <f>ArchiveAttributeValue($E14, 0, J$5, J$6, 1)</f>
        <v/>
      </c>
      <c r="Y14">
        <f>ArchiveAttributeValue($E14, 0, K$5, K$6, 1)</f>
        <v/>
      </c>
      <c r="Z14">
        <f>ArchiveAttributeValue($E14, 0, L$5, L$6, 1)</f>
        <v/>
      </c>
      <c r="AA14">
        <f>ArchiveAttributeValue($E14, 0, M$5, M$6, 1)</f>
        <v/>
      </c>
      <c r="AB14">
        <f>ArchiveAttributeValue($E14, 0, N$5, N$6, 1)</f>
        <v/>
      </c>
      <c r="AC14">
        <f>ArchiveAttributeValue($E14, 0, O$5, O$6, 1)</f>
        <v/>
      </c>
      <c r="AD14">
        <f>ArchiveAttributeValue($E14, 0, P$5, P$6, 1)</f>
        <v/>
      </c>
      <c r="AE14">
        <f>ArchiveAttributeValue($E14, 0, Q$5, Q$6, 1)</f>
        <v/>
      </c>
      <c r="AF14">
        <f>ArchiveAttributeValue($E14, 0, R$5, R$6, 1)</f>
        <v/>
      </c>
      <c r="AG14">
        <f>ArchiveAttributeValue($E14, 0, S$5, S$6, 1)</f>
        <v/>
      </c>
      <c r="AH14">
        <f>ArchiveAttributeValue($E14, 0, T$5, T$6, 1)</f>
        <v/>
      </c>
    </row>
    <row r="15" ht="20" customHeight="1">
      <c r="A15" s="10">
        <f>TIME(0, 3, 0)</f>
        <v/>
      </c>
      <c r="B15">
        <f>"диапазон"</f>
        <v/>
      </c>
      <c r="C15">
        <f>"AI.AI_Pm_inGTU"</f>
        <v/>
      </c>
      <c r="D15">
        <f>CONCATENATE($E$3, $E$2, $C15, $E$5)</f>
        <v/>
      </c>
      <c r="E15">
        <f>CONCATENATE($E$3, $E$2, $C15, $E$4)</f>
        <v/>
      </c>
      <c r="F15" s="6">
        <f>"8"</f>
        <v/>
      </c>
      <c r="G15" s="7">
        <f>"Давление масла на входе в Д  "</f>
        <v/>
      </c>
      <c r="H15" s="6">
        <f>CurrAttrValue(D15, 0)</f>
        <v/>
      </c>
      <c r="I15" s="8">
        <f>IF(I$4, IF(ISNUMBER(W15), W15, $V15), "-")</f>
        <v/>
      </c>
      <c r="J15" s="8">
        <f>IF(J$4, IF(ISNUMBER(X15), X15, $V15), "-")</f>
        <v/>
      </c>
      <c r="K15" s="8">
        <f>IF(K$4, IF(ISNUMBER(Y15), Y15, $V15), "-")</f>
        <v/>
      </c>
      <c r="L15" s="8">
        <f>IF(L$4, IF(ISNUMBER(Z15), Z15, $V15), "-")</f>
        <v/>
      </c>
      <c r="M15" s="8">
        <f>IF(M$4, IF(ISNUMBER(AA15), AA15, $V15), "-")</f>
        <v/>
      </c>
      <c r="N15" s="8">
        <f>IF(N$4, IF(ISNUMBER(AB15), AB15, $V15), "-")</f>
        <v/>
      </c>
      <c r="O15" s="8">
        <f>IF(O$4, IF(ISNUMBER(AC15), AC15, $V15), "-")</f>
        <v/>
      </c>
      <c r="P15" s="8">
        <f>IF(P$4, IF(ISNUMBER(AD15), AD15, $V15), "-")</f>
        <v/>
      </c>
      <c r="Q15" s="8">
        <f>IF(Q$4, IF(ISNUMBER(AE15), AE15, $V15), "-")</f>
        <v/>
      </c>
      <c r="R15" s="8">
        <f>IF(R$4, IF(ISNUMBER(AF15), AF15, $V15), "-")</f>
        <v/>
      </c>
      <c r="S15" s="9">
        <f>IF(S$4, IF(ISNUMBER(AG15), AG15, $V15), "-")</f>
        <v/>
      </c>
      <c r="T15" s="8">
        <f>IF(T$4, IF(ISNUMBER(AH15), AH15, $V15), "-")</f>
        <v/>
      </c>
      <c r="V15">
        <f>CurrAttrValue(E15, 0)</f>
        <v/>
      </c>
      <c r="W15">
        <f>ArchiveAttributeValue($E15, 0, I$5, I$6, 1)</f>
        <v/>
      </c>
      <c r="X15">
        <f>ArchiveAttributeValue($E15, 0, J$5, J$6, 1)</f>
        <v/>
      </c>
      <c r="Y15">
        <f>ArchiveAttributeValue($E15, 0, K$5, K$6, 1)</f>
        <v/>
      </c>
      <c r="Z15">
        <f>ArchiveAttributeValue($E15, 0, L$5, L$6, 1)</f>
        <v/>
      </c>
      <c r="AA15">
        <f>ArchiveAttributeValue($E15, 0, M$5, M$6, 1)</f>
        <v/>
      </c>
      <c r="AB15">
        <f>ArchiveAttributeValue($E15, 0, N$5, N$6, 1)</f>
        <v/>
      </c>
      <c r="AC15">
        <f>ArchiveAttributeValue($E15, 0, O$5, O$6, 1)</f>
        <v/>
      </c>
      <c r="AD15">
        <f>ArchiveAttributeValue($E15, 0, P$5, P$6, 1)</f>
        <v/>
      </c>
      <c r="AE15">
        <f>ArchiveAttributeValue($E15, 0, Q$5, Q$6, 1)</f>
        <v/>
      </c>
      <c r="AF15">
        <f>ArchiveAttributeValue($E15, 0, R$5, R$6, 1)</f>
        <v/>
      </c>
      <c r="AG15">
        <f>ArchiveAttributeValue($E15, 0, S$5, S$6, 1)</f>
        <v/>
      </c>
      <c r="AH15">
        <f>ArchiveAttributeValue($E15, 0, T$5, T$6, 1)</f>
        <v/>
      </c>
    </row>
    <row r="16" ht="20" customHeight="1">
      <c r="C16">
        <f>"AI.AI_PinSK"</f>
        <v/>
      </c>
      <c r="D16">
        <f>CONCATENATE($E$3, $E$2, $C16, $E$5)</f>
        <v/>
      </c>
      <c r="E16">
        <f>CONCATENATE($E$3, $E$2, $C16, $E$4)</f>
        <v/>
      </c>
      <c r="F16" s="6">
        <f>"9"</f>
        <v/>
      </c>
      <c r="G16" s="7">
        <f>"Давление топливного газа на входе в СК0  "</f>
        <v/>
      </c>
      <c r="H16" s="6">
        <f>CurrAttrValue(D16, 0)</f>
        <v/>
      </c>
      <c r="I16" s="8">
        <f>IF(I$4, IF(ISNUMBER(W16), W16, $V16), "-")</f>
        <v/>
      </c>
      <c r="J16" s="8">
        <f>IF(J$4, IF(ISNUMBER(X16), X16, $V16), "-")</f>
        <v/>
      </c>
      <c r="K16" s="8">
        <f>IF(K$4, IF(ISNUMBER(Y16), Y16, $V16), "-")</f>
        <v/>
      </c>
      <c r="L16" s="8">
        <f>IF(L$4, IF(ISNUMBER(Z16), Z16, $V16), "-")</f>
        <v/>
      </c>
      <c r="M16" s="8">
        <f>IF(M$4, IF(ISNUMBER(AA16), AA16, $V16), "-")</f>
        <v/>
      </c>
      <c r="N16" s="8">
        <f>IF(N$4, IF(ISNUMBER(AB16), AB16, $V16), "-")</f>
        <v/>
      </c>
      <c r="O16" s="8">
        <f>IF(O$4, IF(ISNUMBER(AC16), AC16, $V16), "-")</f>
        <v/>
      </c>
      <c r="P16" s="8">
        <f>IF(P$4, IF(ISNUMBER(AD16), AD16, $V16), "-")</f>
        <v/>
      </c>
      <c r="Q16" s="8">
        <f>IF(Q$4, IF(ISNUMBER(AE16), AE16, $V16), "-")</f>
        <v/>
      </c>
      <c r="R16" s="8">
        <f>IF(R$4, IF(ISNUMBER(AF16), AF16, $V16), "-")</f>
        <v/>
      </c>
      <c r="S16" s="9">
        <f>IF(S$4, IF(ISNUMBER(AG16), AG16, $V16), "-")</f>
        <v/>
      </c>
      <c r="T16" s="8">
        <f>IF(T$4, IF(ISNUMBER(AH16), AH16, $V16), "-")</f>
        <v/>
      </c>
      <c r="V16">
        <f>CurrAttrValue(E16, 0)</f>
        <v/>
      </c>
      <c r="W16">
        <f>ArchiveAttributeValue($E16, 0, I$5, I$6, 1)</f>
        <v/>
      </c>
      <c r="X16">
        <f>ArchiveAttributeValue($E16, 0, J$5, J$6, 1)</f>
        <v/>
      </c>
      <c r="Y16">
        <f>ArchiveAttributeValue($E16, 0, K$5, K$6, 1)</f>
        <v/>
      </c>
      <c r="Z16">
        <f>ArchiveAttributeValue($E16, 0, L$5, L$6, 1)</f>
        <v/>
      </c>
      <c r="AA16">
        <f>ArchiveAttributeValue($E16, 0, M$5, M$6, 1)</f>
        <v/>
      </c>
      <c r="AB16">
        <f>ArchiveAttributeValue($E16, 0, N$5, N$6, 1)</f>
        <v/>
      </c>
      <c r="AC16">
        <f>ArchiveAttributeValue($E16, 0, O$5, O$6, 1)</f>
        <v/>
      </c>
      <c r="AD16">
        <f>ArchiveAttributeValue($E16, 0, P$5, P$6, 1)</f>
        <v/>
      </c>
      <c r="AE16">
        <f>ArchiveAttributeValue($E16, 0, Q$5, Q$6, 1)</f>
        <v/>
      </c>
      <c r="AF16">
        <f>ArchiveAttributeValue($E16, 0, R$5, R$6, 1)</f>
        <v/>
      </c>
      <c r="AG16">
        <f>ArchiveAttributeValue($E16, 0, S$5, S$6, 1)</f>
        <v/>
      </c>
      <c r="AH16">
        <f>ArchiveAttributeValue($E16, 0, T$5, T$6, 1)</f>
        <v/>
      </c>
    </row>
    <row r="17" ht="20" customHeight="1">
      <c r="C17">
        <f>"AI.AI_Pg_outN"</f>
        <v/>
      </c>
      <c r="D17">
        <f>CONCATENATE($E$3, $E$2, $C17, $E$5)</f>
        <v/>
      </c>
      <c r="E17">
        <f>CONCATENATE($E$3, $E$2, $C17, $E$4)</f>
        <v/>
      </c>
      <c r="F17" s="6">
        <f>"10"</f>
        <v/>
      </c>
      <c r="G17" s="7">
        <f>"Давление газа после Н  "</f>
        <v/>
      </c>
      <c r="H17" s="6">
        <f>CurrAttrValue(D17, 0)</f>
        <v/>
      </c>
      <c r="I17" s="8">
        <f>IF(I$4, IF(ISNUMBER(W17), W17, $V17), "-")</f>
        <v/>
      </c>
      <c r="J17" s="8">
        <f>IF(J$4, IF(ISNUMBER(X17), X17, $V17), "-")</f>
        <v/>
      </c>
      <c r="K17" s="8">
        <f>IF(K$4, IF(ISNUMBER(Y17), Y17, $V17), "-")</f>
        <v/>
      </c>
      <c r="L17" s="8">
        <f>IF(L$4, IF(ISNUMBER(Z17), Z17, $V17), "-")</f>
        <v/>
      </c>
      <c r="M17" s="8">
        <f>IF(M$4, IF(ISNUMBER(AA17), AA17, $V17), "-")</f>
        <v/>
      </c>
      <c r="N17" s="8">
        <f>IF(N$4, IF(ISNUMBER(AB17), AB17, $V17), "-")</f>
        <v/>
      </c>
      <c r="O17" s="8">
        <f>IF(O$4, IF(ISNUMBER(AC17), AC17, $V17), "-")</f>
        <v/>
      </c>
      <c r="P17" s="8">
        <f>IF(P$4, IF(ISNUMBER(AD17), AD17, $V17), "-")</f>
        <v/>
      </c>
      <c r="Q17" s="8">
        <f>IF(Q$4, IF(ISNUMBER(AE17), AE17, $V17), "-")</f>
        <v/>
      </c>
      <c r="R17" s="8">
        <f>IF(R$4, IF(ISNUMBER(AF17), AF17, $V17), "-")</f>
        <v/>
      </c>
      <c r="S17" s="9">
        <f>IF(S$4, IF(ISNUMBER(AG17), AG17, $V17), "-")</f>
        <v/>
      </c>
      <c r="T17" s="8">
        <f>IF(T$4, IF(ISNUMBER(AH17), AH17, $V17), "-")</f>
        <v/>
      </c>
      <c r="V17">
        <f>CurrAttrValue(E17, 0)</f>
        <v/>
      </c>
      <c r="W17">
        <f>ArchiveAttributeValue($E17, 0, I$5, I$6, 1)</f>
        <v/>
      </c>
      <c r="X17">
        <f>ArchiveAttributeValue($E17, 0, J$5, J$6, 1)</f>
        <v/>
      </c>
      <c r="Y17">
        <f>ArchiveAttributeValue($E17, 0, K$5, K$6, 1)</f>
        <v/>
      </c>
      <c r="Z17">
        <f>ArchiveAttributeValue($E17, 0, L$5, L$6, 1)</f>
        <v/>
      </c>
      <c r="AA17">
        <f>ArchiveAttributeValue($E17, 0, M$5, M$6, 1)</f>
        <v/>
      </c>
      <c r="AB17">
        <f>ArchiveAttributeValue($E17, 0, N$5, N$6, 1)</f>
        <v/>
      </c>
      <c r="AC17">
        <f>ArchiveAttributeValue($E17, 0, O$5, O$6, 1)</f>
        <v/>
      </c>
      <c r="AD17">
        <f>ArchiveAttributeValue($E17, 0, P$5, P$6, 1)</f>
        <v/>
      </c>
      <c r="AE17">
        <f>ArchiveAttributeValue($E17, 0, Q$5, Q$6, 1)</f>
        <v/>
      </c>
      <c r="AF17">
        <f>ArchiveAttributeValue($E17, 0, R$5, R$6, 1)</f>
        <v/>
      </c>
      <c r="AG17">
        <f>ArchiveAttributeValue($E17, 0, S$5, S$6, 1)</f>
        <v/>
      </c>
      <c r="AH17">
        <f>ArchiveAttributeValue($E17, 0, T$5, T$6, 1)</f>
        <v/>
      </c>
    </row>
    <row r="18" ht="20" customHeight="1">
      <c r="C18">
        <f>"AE.AE_Ngg"</f>
        <v/>
      </c>
      <c r="D18">
        <f>CONCATENATE($E$3, $E$2, $C18, $E$5)</f>
        <v/>
      </c>
      <c r="E18">
        <f>CONCATENATE($E$3, $E$2, $C18, $E$4)</f>
        <v/>
      </c>
      <c r="F18" s="6">
        <f>"11"</f>
        <v/>
      </c>
      <c r="G18" s="7">
        <f>"Частота вращения ротора КВД  "</f>
        <v/>
      </c>
      <c r="H18" s="6">
        <f>CurrAttrValue(D18, 0)</f>
        <v/>
      </c>
      <c r="I18" s="8">
        <f>IF(I$4, IF(ISNUMBER(W18), W18, $V18), "-")</f>
        <v/>
      </c>
      <c r="J18" s="8">
        <f>IF(J$4, IF(ISNUMBER(X18), X18, $V18), "-")</f>
        <v/>
      </c>
      <c r="K18" s="8">
        <f>IF(K$4, IF(ISNUMBER(Y18), Y18, $V18), "-")</f>
        <v/>
      </c>
      <c r="L18" s="8">
        <f>IF(L$4, IF(ISNUMBER(Z18), Z18, $V18), "-")</f>
        <v/>
      </c>
      <c r="M18" s="8">
        <f>IF(M$4, IF(ISNUMBER(AA18), AA18, $V18), "-")</f>
        <v/>
      </c>
      <c r="N18" s="8">
        <f>IF(N$4, IF(ISNUMBER(AB18), AB18, $V18), "-")</f>
        <v/>
      </c>
      <c r="O18" s="8">
        <f>IF(O$4, IF(ISNUMBER(AC18), AC18, $V18), "-")</f>
        <v/>
      </c>
      <c r="P18" s="8">
        <f>IF(P$4, IF(ISNUMBER(AD18), AD18, $V18), "-")</f>
        <v/>
      </c>
      <c r="Q18" s="8">
        <f>IF(Q$4, IF(ISNUMBER(AE18), AE18, $V18), "-")</f>
        <v/>
      </c>
      <c r="R18" s="8">
        <f>IF(R$4, IF(ISNUMBER(AF18), AF18, $V18), "-")</f>
        <v/>
      </c>
      <c r="S18" s="9">
        <f>IF(S$4, IF(ISNUMBER(AG18), AG18, $V18), "-")</f>
        <v/>
      </c>
      <c r="T18" s="8">
        <f>IF(T$4, IF(ISNUMBER(AH18), AH18, $V18), "-")</f>
        <v/>
      </c>
      <c r="V18">
        <f>CurrAttrValue(E18, 0)</f>
        <v/>
      </c>
      <c r="W18">
        <f>ArchiveAttributeValue($E18, 0, I$5, I$6, 1)</f>
        <v/>
      </c>
      <c r="X18">
        <f>ArchiveAttributeValue($E18, 0, J$5, J$6, 1)</f>
        <v/>
      </c>
      <c r="Y18">
        <f>ArchiveAttributeValue($E18, 0, K$5, K$6, 1)</f>
        <v/>
      </c>
      <c r="Z18">
        <f>ArchiveAttributeValue($E18, 0, L$5, L$6, 1)</f>
        <v/>
      </c>
      <c r="AA18">
        <f>ArchiveAttributeValue($E18, 0, M$5, M$6, 1)</f>
        <v/>
      </c>
      <c r="AB18">
        <f>ArchiveAttributeValue($E18, 0, N$5, N$6, 1)</f>
        <v/>
      </c>
      <c r="AC18">
        <f>ArchiveAttributeValue($E18, 0, O$5, O$6, 1)</f>
        <v/>
      </c>
      <c r="AD18">
        <f>ArchiveAttributeValue($E18, 0, P$5, P$6, 1)</f>
        <v/>
      </c>
      <c r="AE18">
        <f>ArchiveAttributeValue($E18, 0, Q$5, Q$6, 1)</f>
        <v/>
      </c>
      <c r="AF18">
        <f>ArchiveAttributeValue($E18, 0, R$5, R$6, 1)</f>
        <v/>
      </c>
      <c r="AG18">
        <f>ArchiveAttributeValue($E18, 0, S$5, S$6, 1)</f>
        <v/>
      </c>
      <c r="AH18">
        <f>ArchiveAttributeValue($E18, 0, T$5, T$6, 1)</f>
        <v/>
      </c>
    </row>
    <row r="19" ht="20" customHeight="1">
      <c r="C19">
        <f>"AE.AE_Nknd"</f>
        <v/>
      </c>
      <c r="D19">
        <f>CONCATENATE($E$3, $E$2, $C19, $E$5)</f>
        <v/>
      </c>
      <c r="E19">
        <f>CONCATENATE($E$3, $E$2, $C19, $E$4)</f>
        <v/>
      </c>
      <c r="F19" s="6">
        <f>"12"</f>
        <v/>
      </c>
      <c r="G19" s="7">
        <f>"Частота вращения ротора КНД  "</f>
        <v/>
      </c>
      <c r="H19" s="6">
        <f>CurrAttrValue(D19, 0)</f>
        <v/>
      </c>
      <c r="I19" s="8">
        <f>IF(I$4, IF(ISNUMBER(W19), W19, $V19), "-")</f>
        <v/>
      </c>
      <c r="J19" s="8">
        <f>IF(J$4, IF(ISNUMBER(X19), X19, $V19), "-")</f>
        <v/>
      </c>
      <c r="K19" s="8">
        <f>IF(K$4, IF(ISNUMBER(Y19), Y19, $V19), "-")</f>
        <v/>
      </c>
      <c r="L19" s="8">
        <f>IF(L$4, IF(ISNUMBER(Z19), Z19, $V19), "-")</f>
        <v/>
      </c>
      <c r="M19" s="8">
        <f>IF(M$4, IF(ISNUMBER(AA19), AA19, $V19), "-")</f>
        <v/>
      </c>
      <c r="N19" s="8">
        <f>IF(N$4, IF(ISNUMBER(AB19), AB19, $V19), "-")</f>
        <v/>
      </c>
      <c r="O19" s="8">
        <f>IF(O$4, IF(ISNUMBER(AC19), AC19, $V19), "-")</f>
        <v/>
      </c>
      <c r="P19" s="8">
        <f>IF(P$4, IF(ISNUMBER(AD19), AD19, $V19), "-")</f>
        <v/>
      </c>
      <c r="Q19" s="8">
        <f>IF(Q$4, IF(ISNUMBER(AE19), AE19, $V19), "-")</f>
        <v/>
      </c>
      <c r="R19" s="8">
        <f>IF(R$4, IF(ISNUMBER(AF19), AF19, $V19), "-")</f>
        <v/>
      </c>
      <c r="S19" s="9">
        <f>IF(S$4, IF(ISNUMBER(AG19), AG19, $V19), "-")</f>
        <v/>
      </c>
      <c r="T19" s="8">
        <f>IF(T$4, IF(ISNUMBER(AH19), AH19, $V19), "-")</f>
        <v/>
      </c>
      <c r="V19">
        <f>CurrAttrValue(E19, 0)</f>
        <v/>
      </c>
      <c r="W19">
        <f>ArchiveAttributeValue($E19, 0, I$5, I$6, 1)</f>
        <v/>
      </c>
      <c r="X19">
        <f>ArchiveAttributeValue($E19, 0, J$5, J$6, 1)</f>
        <v/>
      </c>
      <c r="Y19">
        <f>ArchiveAttributeValue($E19, 0, K$5, K$6, 1)</f>
        <v/>
      </c>
      <c r="Z19">
        <f>ArchiveAttributeValue($E19, 0, L$5, L$6, 1)</f>
        <v/>
      </c>
      <c r="AA19">
        <f>ArchiveAttributeValue($E19, 0, M$5, M$6, 1)</f>
        <v/>
      </c>
      <c r="AB19">
        <f>ArchiveAttributeValue($E19, 0, N$5, N$6, 1)</f>
        <v/>
      </c>
      <c r="AC19">
        <f>ArchiveAttributeValue($E19, 0, O$5, O$6, 1)</f>
        <v/>
      </c>
      <c r="AD19">
        <f>ArchiveAttributeValue($E19, 0, P$5, P$6, 1)</f>
        <v/>
      </c>
      <c r="AE19">
        <f>ArchiveAttributeValue($E19, 0, Q$5, Q$6, 1)</f>
        <v/>
      </c>
      <c r="AF19">
        <f>ArchiveAttributeValue($E19, 0, R$5, R$6, 1)</f>
        <v/>
      </c>
      <c r="AG19">
        <f>ArchiveAttributeValue($E19, 0, S$5, S$6, 1)</f>
        <v/>
      </c>
      <c r="AH19">
        <f>ArchiveAttributeValue($E19, 0, T$5, T$6, 1)</f>
        <v/>
      </c>
    </row>
    <row r="20" ht="20" customHeight="1">
      <c r="C20">
        <f>"AE.AE_Nst"</f>
        <v/>
      </c>
      <c r="D20">
        <f>CONCATENATE($E$3, $E$2, $C20, $E$5)</f>
        <v/>
      </c>
      <c r="E20">
        <f>CONCATENATE($E$3, $E$2, $C20, $E$4)</f>
        <v/>
      </c>
      <c r="F20" s="6">
        <f>"13"</f>
        <v/>
      </c>
      <c r="G20" s="7">
        <f>"Частота вращения СТ  "</f>
        <v/>
      </c>
      <c r="H20" s="6">
        <f>CurrAttrValue(D20, 0)</f>
        <v/>
      </c>
      <c r="I20" s="8">
        <f>IF(I$4, IF(ISNUMBER(W20), W20, $V20), "-")</f>
        <v/>
      </c>
      <c r="J20" s="8">
        <f>IF(J$4, IF(ISNUMBER(X20), X20, $V20), "-")</f>
        <v/>
      </c>
      <c r="K20" s="8">
        <f>IF(K$4, IF(ISNUMBER(Y20), Y20, $V20), "-")</f>
        <v/>
      </c>
      <c r="L20" s="8">
        <f>IF(L$4, IF(ISNUMBER(Z20), Z20, $V20), "-")</f>
        <v/>
      </c>
      <c r="M20" s="8">
        <f>IF(M$4, IF(ISNUMBER(AA20), AA20, $V20), "-")</f>
        <v/>
      </c>
      <c r="N20" s="8">
        <f>IF(N$4, IF(ISNUMBER(AB20), AB20, $V20), "-")</f>
        <v/>
      </c>
      <c r="O20" s="8">
        <f>IF(O$4, IF(ISNUMBER(AC20), AC20, $V20), "-")</f>
        <v/>
      </c>
      <c r="P20" s="8">
        <f>IF(P$4, IF(ISNUMBER(AD20), AD20, $V20), "-")</f>
        <v/>
      </c>
      <c r="Q20" s="8">
        <f>IF(Q$4, IF(ISNUMBER(AE20), AE20, $V20), "-")</f>
        <v/>
      </c>
      <c r="R20" s="8">
        <f>IF(R$4, IF(ISNUMBER(AF20), AF20, $V20), "-")</f>
        <v/>
      </c>
      <c r="S20" s="9">
        <f>IF(S$4, IF(ISNUMBER(AG20), AG20, $V20), "-")</f>
        <v/>
      </c>
      <c r="T20" s="8">
        <f>IF(T$4, IF(ISNUMBER(AH20), AH20, $V20), "-")</f>
        <v/>
      </c>
      <c r="V20">
        <f>CurrAttrValue(E20, 0)</f>
        <v/>
      </c>
      <c r="W20">
        <f>ArchiveAttributeValue($E20, 0, I$5, I$6, 1)</f>
        <v/>
      </c>
      <c r="X20">
        <f>ArchiveAttributeValue($E20, 0, J$5, J$6, 1)</f>
        <v/>
      </c>
      <c r="Y20">
        <f>ArchiveAttributeValue($E20, 0, K$5, K$6, 1)</f>
        <v/>
      </c>
      <c r="Z20">
        <f>ArchiveAttributeValue($E20, 0, L$5, L$6, 1)</f>
        <v/>
      </c>
      <c r="AA20">
        <f>ArchiveAttributeValue($E20, 0, M$5, M$6, 1)</f>
        <v/>
      </c>
      <c r="AB20">
        <f>ArchiveAttributeValue($E20, 0, N$5, N$6, 1)</f>
        <v/>
      </c>
      <c r="AC20">
        <f>ArchiveAttributeValue($E20, 0, O$5, O$6, 1)</f>
        <v/>
      </c>
      <c r="AD20">
        <f>ArchiveAttributeValue($E20, 0, P$5, P$6, 1)</f>
        <v/>
      </c>
      <c r="AE20">
        <f>ArchiveAttributeValue($E20, 0, Q$5, Q$6, 1)</f>
        <v/>
      </c>
      <c r="AF20">
        <f>ArchiveAttributeValue($E20, 0, R$5, R$6, 1)</f>
        <v/>
      </c>
      <c r="AG20">
        <f>ArchiveAttributeValue($E20, 0, S$5, S$6, 1)</f>
        <v/>
      </c>
      <c r="AH20">
        <f>ArchiveAttributeValue($E20, 0, T$5, T$6, 1)</f>
        <v/>
      </c>
    </row>
    <row r="21" ht="20" customHeight="1">
      <c r="C21">
        <f>"AE.AE_Tt"</f>
        <v/>
      </c>
      <c r="D21">
        <f>CONCATENATE($E$3, $E$2, $C21, $E$5)</f>
        <v/>
      </c>
      <c r="E21">
        <f>CONCATENATE($E$3, $E$2, $C21, $E$4)</f>
        <v/>
      </c>
      <c r="F21" s="6">
        <f>"14"</f>
        <v/>
      </c>
      <c r="G21" s="7">
        <f>"Температура за турбиной  "</f>
        <v/>
      </c>
      <c r="H21" s="6">
        <f>CurrAttrValue(D21, 0)</f>
        <v/>
      </c>
      <c r="I21" s="8">
        <f>IF(I$4, IF(ISNUMBER(W21), W21, $V21), "-")</f>
        <v/>
      </c>
      <c r="J21" s="8">
        <f>IF(J$4, IF(ISNUMBER(X21), X21, $V21), "-")</f>
        <v/>
      </c>
      <c r="K21" s="8">
        <f>IF(K$4, IF(ISNUMBER(Y21), Y21, $V21), "-")</f>
        <v/>
      </c>
      <c r="L21" s="8">
        <f>IF(L$4, IF(ISNUMBER(Z21), Z21, $V21), "-")</f>
        <v/>
      </c>
      <c r="M21" s="8">
        <f>IF(M$4, IF(ISNUMBER(AA21), AA21, $V21), "-")</f>
        <v/>
      </c>
      <c r="N21" s="8">
        <f>IF(N$4, IF(ISNUMBER(AB21), AB21, $V21), "-")</f>
        <v/>
      </c>
      <c r="O21" s="8">
        <f>IF(O$4, IF(ISNUMBER(AC21), AC21, $V21), "-")</f>
        <v/>
      </c>
      <c r="P21" s="8">
        <f>IF(P$4, IF(ISNUMBER(AD21), AD21, $V21), "-")</f>
        <v/>
      </c>
      <c r="Q21" s="8">
        <f>IF(Q$4, IF(ISNUMBER(AE21), AE21, $V21), "-")</f>
        <v/>
      </c>
      <c r="R21" s="8">
        <f>IF(R$4, IF(ISNUMBER(AF21), AF21, $V21), "-")</f>
        <v/>
      </c>
      <c r="S21" s="9">
        <f>IF(S$4, IF(ISNUMBER(AG21), AG21, $V21), "-")</f>
        <v/>
      </c>
      <c r="T21" s="8">
        <f>IF(T$4, IF(ISNUMBER(AH21), AH21, $V21), "-")</f>
        <v/>
      </c>
      <c r="V21">
        <f>CurrAttrValue(E21, 0)</f>
        <v/>
      </c>
      <c r="W21">
        <f>ArchiveAttributeValue($E21, 0, I$5, I$6, 1)</f>
        <v/>
      </c>
      <c r="X21">
        <f>ArchiveAttributeValue($E21, 0, J$5, J$6, 1)</f>
        <v/>
      </c>
      <c r="Y21">
        <f>ArchiveAttributeValue($E21, 0, K$5, K$6, 1)</f>
        <v/>
      </c>
      <c r="Z21">
        <f>ArchiveAttributeValue($E21, 0, L$5, L$6, 1)</f>
        <v/>
      </c>
      <c r="AA21">
        <f>ArchiveAttributeValue($E21, 0, M$5, M$6, 1)</f>
        <v/>
      </c>
      <c r="AB21">
        <f>ArchiveAttributeValue($E21, 0, N$5, N$6, 1)</f>
        <v/>
      </c>
      <c r="AC21">
        <f>ArchiveAttributeValue($E21, 0, O$5, O$6, 1)</f>
        <v/>
      </c>
      <c r="AD21">
        <f>ArchiveAttributeValue($E21, 0, P$5, P$6, 1)</f>
        <v/>
      </c>
      <c r="AE21">
        <f>ArchiveAttributeValue($E21, 0, Q$5, Q$6, 1)</f>
        <v/>
      </c>
      <c r="AF21">
        <f>ArchiveAttributeValue($E21, 0, R$5, R$6, 1)</f>
        <v/>
      </c>
      <c r="AG21">
        <f>ArchiveAttributeValue($E21, 0, S$5, S$6, 1)</f>
        <v/>
      </c>
      <c r="AH21">
        <f>ArchiveAttributeValue($E21, 0, T$5, T$6, 1)</f>
        <v/>
      </c>
    </row>
    <row r="22" ht="20" customHeight="1">
      <c r="C22">
        <f>"AE.AE_PressRatio"</f>
        <v/>
      </c>
      <c r="D22">
        <f>CONCATENATE($E$3, $E$2, $C22, $E$5)</f>
        <v/>
      </c>
      <c r="E22">
        <f>CONCATENATE($E$3, $E$2, $C22, $E$4)</f>
        <v/>
      </c>
      <c r="F22" s="6">
        <f>"15"</f>
        <v/>
      </c>
      <c r="G22" s="7">
        <f>"Степень сжатия  "</f>
        <v/>
      </c>
      <c r="H22" s="6">
        <f>CurrAttrValue(D22, 0)</f>
        <v/>
      </c>
      <c r="I22" s="8">
        <f>IF(I$4, IF(ISNUMBER(W22), W22, $V22), "-")</f>
        <v/>
      </c>
      <c r="J22" s="8">
        <f>IF(J$4, IF(ISNUMBER(X22), X22, $V22), "-")</f>
        <v/>
      </c>
      <c r="K22" s="8">
        <f>IF(K$4, IF(ISNUMBER(Y22), Y22, $V22), "-")</f>
        <v/>
      </c>
      <c r="L22" s="8">
        <f>IF(L$4, IF(ISNUMBER(Z22), Z22, $V22), "-")</f>
        <v/>
      </c>
      <c r="M22" s="8">
        <f>IF(M$4, IF(ISNUMBER(AA22), AA22, $V22), "-")</f>
        <v/>
      </c>
      <c r="N22" s="8">
        <f>IF(N$4, IF(ISNUMBER(AB22), AB22, $V22), "-")</f>
        <v/>
      </c>
      <c r="O22" s="8">
        <f>IF(O$4, IF(ISNUMBER(AC22), AC22, $V22), "-")</f>
        <v/>
      </c>
      <c r="P22" s="8">
        <f>IF(P$4, IF(ISNUMBER(AD22), AD22, $V22), "-")</f>
        <v/>
      </c>
      <c r="Q22" s="8">
        <f>IF(Q$4, IF(ISNUMBER(AE22), AE22, $V22), "-")</f>
        <v/>
      </c>
      <c r="R22" s="8">
        <f>IF(R$4, IF(ISNUMBER(AF22), AF22, $V22), "-")</f>
        <v/>
      </c>
      <c r="S22" s="9">
        <f>IF(S$4, IF(ISNUMBER(AG22), AG22, $V22), "-")</f>
        <v/>
      </c>
      <c r="T22" s="8">
        <f>IF(T$4, IF(ISNUMBER(AH22), AH22, $V22), "-")</f>
        <v/>
      </c>
      <c r="V22">
        <f>CurrAttrValue(E22, 0)</f>
        <v/>
      </c>
      <c r="W22">
        <f>ArchiveAttributeValue($E22, 0, I$5, I$6, 1)</f>
        <v/>
      </c>
      <c r="X22">
        <f>ArchiveAttributeValue($E22, 0, J$5, J$6, 1)</f>
        <v/>
      </c>
      <c r="Y22">
        <f>ArchiveAttributeValue($E22, 0, K$5, K$6, 1)</f>
        <v/>
      </c>
      <c r="Z22">
        <f>ArchiveAttributeValue($E22, 0, L$5, L$6, 1)</f>
        <v/>
      </c>
      <c r="AA22">
        <f>ArchiveAttributeValue($E22, 0, M$5, M$6, 1)</f>
        <v/>
      </c>
      <c r="AB22">
        <f>ArchiveAttributeValue($E22, 0, N$5, N$6, 1)</f>
        <v/>
      </c>
      <c r="AC22">
        <f>ArchiveAttributeValue($E22, 0, O$5, O$6, 1)</f>
        <v/>
      </c>
      <c r="AD22">
        <f>ArchiveAttributeValue($E22, 0, P$5, P$6, 1)</f>
        <v/>
      </c>
      <c r="AE22">
        <f>ArchiveAttributeValue($E22, 0, Q$5, Q$6, 1)</f>
        <v/>
      </c>
      <c r="AF22">
        <f>ArchiveAttributeValue($E22, 0, R$5, R$6, 1)</f>
        <v/>
      </c>
      <c r="AG22">
        <f>ArchiveAttributeValue($E22, 0, S$5, S$6, 1)</f>
        <v/>
      </c>
      <c r="AH22">
        <f>ArchiveAttributeValue($E22, 0, T$5, T$6, 1)</f>
        <v/>
      </c>
    </row>
    <row r="23" ht="20" customHeight="1">
      <c r="C23">
        <f>"AE.AE_Tst"</f>
        <v/>
      </c>
      <c r="D23">
        <f>CONCATENATE($E$3, $E$2, $C23, $E$5)</f>
        <v/>
      </c>
      <c r="E23">
        <f>CONCATENATE($E$3, $E$2, $C23, $E$4)</f>
        <v/>
      </c>
      <c r="F23" s="6">
        <f>"16"</f>
        <v/>
      </c>
      <c r="G23" s="7">
        <f>"Температура за СТ  "</f>
        <v/>
      </c>
      <c r="H23" s="6">
        <f>CurrAttrValue(D23, 0)</f>
        <v/>
      </c>
      <c r="I23" s="8">
        <f>IF(I$4, IF(ISNUMBER(W23), W23, $V23), "-")</f>
        <v/>
      </c>
      <c r="J23" s="8">
        <f>IF(J$4, IF(ISNUMBER(X23), X23, $V23), "-")</f>
        <v/>
      </c>
      <c r="K23" s="8">
        <f>IF(K$4, IF(ISNUMBER(Y23), Y23, $V23), "-")</f>
        <v/>
      </c>
      <c r="L23" s="8">
        <f>IF(L$4, IF(ISNUMBER(Z23), Z23, $V23), "-")</f>
        <v/>
      </c>
      <c r="M23" s="8">
        <f>IF(M$4, IF(ISNUMBER(AA23), AA23, $V23), "-")</f>
        <v/>
      </c>
      <c r="N23" s="8">
        <f>IF(N$4, IF(ISNUMBER(AB23), AB23, $V23), "-")</f>
        <v/>
      </c>
      <c r="O23" s="8">
        <f>IF(O$4, IF(ISNUMBER(AC23), AC23, $V23), "-")</f>
        <v/>
      </c>
      <c r="P23" s="8">
        <f>IF(P$4, IF(ISNUMBER(AD23), AD23, $V23), "-")</f>
        <v/>
      </c>
      <c r="Q23" s="8">
        <f>IF(Q$4, IF(ISNUMBER(AE23), AE23, $V23), "-")</f>
        <v/>
      </c>
      <c r="R23" s="8">
        <f>IF(R$4, IF(ISNUMBER(AF23), AF23, $V23), "-")</f>
        <v/>
      </c>
      <c r="S23" s="9">
        <f>IF(S$4, IF(ISNUMBER(AG23), AG23, $V23), "-")</f>
        <v/>
      </c>
      <c r="T23" s="8">
        <f>IF(T$4, IF(ISNUMBER(AH23), AH23, $V23), "-")</f>
        <v/>
      </c>
      <c r="V23">
        <f>CurrAttrValue(E23, 0)</f>
        <v/>
      </c>
      <c r="W23">
        <f>ArchiveAttributeValue($E23, 0, I$5, I$6, 1)</f>
        <v/>
      </c>
      <c r="X23">
        <f>ArchiveAttributeValue($E23, 0, J$5, J$6, 1)</f>
        <v/>
      </c>
      <c r="Y23">
        <f>ArchiveAttributeValue($E23, 0, K$5, K$6, 1)</f>
        <v/>
      </c>
      <c r="Z23">
        <f>ArchiveAttributeValue($E23, 0, L$5, L$6, 1)</f>
        <v/>
      </c>
      <c r="AA23">
        <f>ArchiveAttributeValue($E23, 0, M$5, M$6, 1)</f>
        <v/>
      </c>
      <c r="AB23">
        <f>ArchiveAttributeValue($E23, 0, N$5, N$6, 1)</f>
        <v/>
      </c>
      <c r="AC23">
        <f>ArchiveAttributeValue($E23, 0, O$5, O$6, 1)</f>
        <v/>
      </c>
      <c r="AD23">
        <f>ArchiveAttributeValue($E23, 0, P$5, P$6, 1)</f>
        <v/>
      </c>
      <c r="AE23">
        <f>ArchiveAttributeValue($E23, 0, Q$5, Q$6, 1)</f>
        <v/>
      </c>
      <c r="AF23">
        <f>ArchiveAttributeValue($E23, 0, R$5, R$6, 1)</f>
        <v/>
      </c>
      <c r="AG23">
        <f>ArchiveAttributeValue($E23, 0, S$5, S$6, 1)</f>
        <v/>
      </c>
      <c r="AH23">
        <f>ArchiveAttributeValue($E23, 0, T$5, T$6, 1)</f>
        <v/>
      </c>
    </row>
    <row r="24" ht="20" customHeight="1">
      <c r="C24">
        <f>"AI.AI_TpopN"</f>
        <v/>
      </c>
      <c r="D24">
        <f>CONCATENATE($E$3, $E$2, $C24, $E$5)</f>
        <v/>
      </c>
      <c r="E24">
        <f>CONCATENATE($E$3, $E$2, $C24, $E$4)</f>
        <v/>
      </c>
      <c r="F24" s="6">
        <f>"17"</f>
        <v/>
      </c>
      <c r="G24" s="7">
        <f>"Температура переднего опорного подшипника Н  "</f>
        <v/>
      </c>
      <c r="H24" s="6">
        <f>CurrAttrValue(D24, 0)</f>
        <v/>
      </c>
      <c r="I24" s="8">
        <f>IF(I$4, IF(ISNUMBER(W24), W24, $V24), "-")</f>
        <v/>
      </c>
      <c r="J24" s="8">
        <f>IF(J$4, IF(ISNUMBER(X24), X24, $V24), "-")</f>
        <v/>
      </c>
      <c r="K24" s="8">
        <f>IF(K$4, IF(ISNUMBER(Y24), Y24, $V24), "-")</f>
        <v/>
      </c>
      <c r="L24" s="8">
        <f>IF(L$4, IF(ISNUMBER(Z24), Z24, $V24), "-")</f>
        <v/>
      </c>
      <c r="M24" s="8">
        <f>IF(M$4, IF(ISNUMBER(AA24), AA24, $V24), "-")</f>
        <v/>
      </c>
      <c r="N24" s="8">
        <f>IF(N$4, IF(ISNUMBER(AB24), AB24, $V24), "-")</f>
        <v/>
      </c>
      <c r="O24" s="8">
        <f>IF(O$4, IF(ISNUMBER(AC24), AC24, $V24), "-")</f>
        <v/>
      </c>
      <c r="P24" s="8">
        <f>IF(P$4, IF(ISNUMBER(AD24), AD24, $V24), "-")</f>
        <v/>
      </c>
      <c r="Q24" s="8">
        <f>IF(Q$4, IF(ISNUMBER(AE24), AE24, $V24), "-")</f>
        <v/>
      </c>
      <c r="R24" s="8">
        <f>IF(R$4, IF(ISNUMBER(AF24), AF24, $V24), "-")</f>
        <v/>
      </c>
      <c r="S24" s="9">
        <f>IF(S$4, IF(ISNUMBER(AG24), AG24, $V24), "-")</f>
        <v/>
      </c>
      <c r="T24" s="8">
        <f>IF(T$4, IF(ISNUMBER(AH24), AH24, $V24), "-")</f>
        <v/>
      </c>
      <c r="V24">
        <f>CurrAttrValue(E24, 0)</f>
        <v/>
      </c>
      <c r="W24">
        <f>ArchiveAttributeValue($E24, 0, I$5, I$6, 1)</f>
        <v/>
      </c>
      <c r="X24">
        <f>ArchiveAttributeValue($E24, 0, J$5, J$6, 1)</f>
        <v/>
      </c>
      <c r="Y24">
        <f>ArchiveAttributeValue($E24, 0, K$5, K$6, 1)</f>
        <v/>
      </c>
      <c r="Z24">
        <f>ArchiveAttributeValue($E24, 0, L$5, L$6, 1)</f>
        <v/>
      </c>
      <c r="AA24">
        <f>ArchiveAttributeValue($E24, 0, M$5, M$6, 1)</f>
        <v/>
      </c>
      <c r="AB24">
        <f>ArchiveAttributeValue($E24, 0, N$5, N$6, 1)</f>
        <v/>
      </c>
      <c r="AC24">
        <f>ArchiveAttributeValue($E24, 0, O$5, O$6, 1)</f>
        <v/>
      </c>
      <c r="AD24">
        <f>ArchiveAttributeValue($E24, 0, P$5, P$6, 1)</f>
        <v/>
      </c>
      <c r="AE24">
        <f>ArchiveAttributeValue($E24, 0, Q$5, Q$6, 1)</f>
        <v/>
      </c>
      <c r="AF24">
        <f>ArchiveAttributeValue($E24, 0, R$5, R$6, 1)</f>
        <v/>
      </c>
      <c r="AG24">
        <f>ArchiveAttributeValue($E24, 0, S$5, S$6, 1)</f>
        <v/>
      </c>
      <c r="AH24">
        <f>ArchiveAttributeValue($E24, 0, T$5, T$6, 1)</f>
        <v/>
      </c>
    </row>
    <row r="25" ht="20" customHeight="1">
      <c r="C25">
        <f>"AI.AI_TzopN"</f>
        <v/>
      </c>
      <c r="D25">
        <f>CONCATENATE($E$3, $E$2, $C25, $E$5)</f>
        <v/>
      </c>
      <c r="E25">
        <f>CONCATENATE($E$3, $E$2, $C25, $E$4)</f>
        <v/>
      </c>
      <c r="F25" s="6">
        <f>"18"</f>
        <v/>
      </c>
      <c r="G25" s="7">
        <f>"Температура заднего опорного подшипника Н  "</f>
        <v/>
      </c>
      <c r="H25" s="6">
        <f>CurrAttrValue(D25, 0)</f>
        <v/>
      </c>
      <c r="I25" s="8">
        <f>IF(I$4, IF(ISNUMBER(W25), W25, $V25), "-")</f>
        <v/>
      </c>
      <c r="J25" s="8">
        <f>IF(J$4, IF(ISNUMBER(X25), X25, $V25), "-")</f>
        <v/>
      </c>
      <c r="K25" s="8">
        <f>IF(K$4, IF(ISNUMBER(Y25), Y25, $V25), "-")</f>
        <v/>
      </c>
      <c r="L25" s="8">
        <f>IF(L$4, IF(ISNUMBER(Z25), Z25, $V25), "-")</f>
        <v/>
      </c>
      <c r="M25" s="8">
        <f>IF(M$4, IF(ISNUMBER(AA25), AA25, $V25), "-")</f>
        <v/>
      </c>
      <c r="N25" s="8">
        <f>IF(N$4, IF(ISNUMBER(AB25), AB25, $V25), "-")</f>
        <v/>
      </c>
      <c r="O25" s="8">
        <f>IF(O$4, IF(ISNUMBER(AC25), AC25, $V25), "-")</f>
        <v/>
      </c>
      <c r="P25" s="8">
        <f>IF(P$4, IF(ISNUMBER(AD25), AD25, $V25), "-")</f>
        <v/>
      </c>
      <c r="Q25" s="8">
        <f>IF(Q$4, IF(ISNUMBER(AE25), AE25, $V25), "-")</f>
        <v/>
      </c>
      <c r="R25" s="8">
        <f>IF(R$4, IF(ISNUMBER(AF25), AF25, $V25), "-")</f>
        <v/>
      </c>
      <c r="S25" s="9">
        <f>IF(S$4, IF(ISNUMBER(AG25), AG25, $V25), "-")</f>
        <v/>
      </c>
      <c r="T25" s="8">
        <f>IF(T$4, IF(ISNUMBER(AH25), AH25, $V25), "-")</f>
        <v/>
      </c>
      <c r="V25">
        <f>CurrAttrValue(E25, 0)</f>
        <v/>
      </c>
      <c r="W25">
        <f>ArchiveAttributeValue($E25, 0, I$5, I$6, 1)</f>
        <v/>
      </c>
      <c r="X25">
        <f>ArchiveAttributeValue($E25, 0, J$5, J$6, 1)</f>
        <v/>
      </c>
      <c r="Y25">
        <f>ArchiveAttributeValue($E25, 0, K$5, K$6, 1)</f>
        <v/>
      </c>
      <c r="Z25">
        <f>ArchiveAttributeValue($E25, 0, L$5, L$6, 1)</f>
        <v/>
      </c>
      <c r="AA25">
        <f>ArchiveAttributeValue($E25, 0, M$5, M$6, 1)</f>
        <v/>
      </c>
      <c r="AB25">
        <f>ArchiveAttributeValue($E25, 0, N$5, N$6, 1)</f>
        <v/>
      </c>
      <c r="AC25">
        <f>ArchiveAttributeValue($E25, 0, O$5, O$6, 1)</f>
        <v/>
      </c>
      <c r="AD25">
        <f>ArchiveAttributeValue($E25, 0, P$5, P$6, 1)</f>
        <v/>
      </c>
      <c r="AE25">
        <f>ArchiveAttributeValue($E25, 0, Q$5, Q$6, 1)</f>
        <v/>
      </c>
      <c r="AF25">
        <f>ArchiveAttributeValue($E25, 0, R$5, R$6, 1)</f>
        <v/>
      </c>
      <c r="AG25">
        <f>ArchiveAttributeValue($E25, 0, S$5, S$6, 1)</f>
        <v/>
      </c>
      <c r="AH25">
        <f>ArchiveAttributeValue($E25, 0, T$5, T$6, 1)</f>
        <v/>
      </c>
    </row>
    <row r="26" ht="20" customHeight="1">
      <c r="C26">
        <f>"AI.AI_TpupN"</f>
        <v/>
      </c>
      <c r="D26">
        <f>CONCATENATE($E$3, $E$2, $C26, $E$5)</f>
        <v/>
      </c>
      <c r="E26">
        <f>CONCATENATE($E$3, $E$2, $C26, $E$4)</f>
        <v/>
      </c>
      <c r="F26" s="6">
        <f>"19"</f>
        <v/>
      </c>
      <c r="G26" s="7">
        <f>"Температура передней колодки упорного подшипника Н  "</f>
        <v/>
      </c>
      <c r="H26" s="6">
        <f>CurrAttrValue(D26, 0)</f>
        <v/>
      </c>
      <c r="I26" s="8">
        <f>IF(I$4, IF(ISNUMBER(W26), W26, $V26), "-")</f>
        <v/>
      </c>
      <c r="J26" s="8">
        <f>IF(J$4, IF(ISNUMBER(X26), X26, $V26), "-")</f>
        <v/>
      </c>
      <c r="K26" s="8">
        <f>IF(K$4, IF(ISNUMBER(Y26), Y26, $V26), "-")</f>
        <v/>
      </c>
      <c r="L26" s="8">
        <f>IF(L$4, IF(ISNUMBER(Z26), Z26, $V26), "-")</f>
        <v/>
      </c>
      <c r="M26" s="8">
        <f>IF(M$4, IF(ISNUMBER(AA26), AA26, $V26), "-")</f>
        <v/>
      </c>
      <c r="N26" s="8">
        <f>IF(N$4, IF(ISNUMBER(AB26), AB26, $V26), "-")</f>
        <v/>
      </c>
      <c r="O26" s="8">
        <f>IF(O$4, IF(ISNUMBER(AC26), AC26, $V26), "-")</f>
        <v/>
      </c>
      <c r="P26" s="8">
        <f>IF(P$4, IF(ISNUMBER(AD26), AD26, $V26), "-")</f>
        <v/>
      </c>
      <c r="Q26" s="8">
        <f>IF(Q$4, IF(ISNUMBER(AE26), AE26, $V26), "-")</f>
        <v/>
      </c>
      <c r="R26" s="8">
        <f>IF(R$4, IF(ISNUMBER(AF26), AF26, $V26), "-")</f>
        <v/>
      </c>
      <c r="S26" s="9">
        <f>IF(S$4, IF(ISNUMBER(AG26), AG26, $V26), "-")</f>
        <v/>
      </c>
      <c r="T26" s="8">
        <f>IF(T$4, IF(ISNUMBER(AH26), AH26, $V26), "-")</f>
        <v/>
      </c>
      <c r="V26">
        <f>CurrAttrValue(E26, 0)</f>
        <v/>
      </c>
      <c r="W26">
        <f>ArchiveAttributeValue($E26, 0, I$5, I$6, 1)</f>
        <v/>
      </c>
      <c r="X26">
        <f>ArchiveAttributeValue($E26, 0, J$5, J$6, 1)</f>
        <v/>
      </c>
      <c r="Y26">
        <f>ArchiveAttributeValue($E26, 0, K$5, K$6, 1)</f>
        <v/>
      </c>
      <c r="Z26">
        <f>ArchiveAttributeValue($E26, 0, L$5, L$6, 1)</f>
        <v/>
      </c>
      <c r="AA26">
        <f>ArchiveAttributeValue($E26, 0, M$5, M$6, 1)</f>
        <v/>
      </c>
      <c r="AB26">
        <f>ArchiveAttributeValue($E26, 0, N$5, N$6, 1)</f>
        <v/>
      </c>
      <c r="AC26">
        <f>ArchiveAttributeValue($E26, 0, O$5, O$6, 1)</f>
        <v/>
      </c>
      <c r="AD26">
        <f>ArchiveAttributeValue($E26, 0, P$5, P$6, 1)</f>
        <v/>
      </c>
      <c r="AE26">
        <f>ArchiveAttributeValue($E26, 0, Q$5, Q$6, 1)</f>
        <v/>
      </c>
      <c r="AF26">
        <f>ArchiveAttributeValue($E26, 0, R$5, R$6, 1)</f>
        <v/>
      </c>
      <c r="AG26">
        <f>ArchiveAttributeValue($E26, 0, S$5, S$6, 1)</f>
        <v/>
      </c>
      <c r="AH26">
        <f>ArchiveAttributeValue($E26, 0, T$5, T$6, 1)</f>
        <v/>
      </c>
    </row>
    <row r="27" ht="20" customHeight="1">
      <c r="C27">
        <f>"AI.AI_TzupN"</f>
        <v/>
      </c>
      <c r="D27">
        <f>CONCATENATE($E$3, $E$2, $C27, $E$5)</f>
        <v/>
      </c>
      <c r="E27">
        <f>CONCATENATE($E$3, $E$2, $C27, $E$4)</f>
        <v/>
      </c>
      <c r="F27" s="6">
        <f>"20"</f>
        <v/>
      </c>
      <c r="G27" s="7">
        <f>"Температура задней колодки упорного подшипника Н  "</f>
        <v/>
      </c>
      <c r="H27" s="6">
        <f>CurrAttrValue(D27, 0)</f>
        <v/>
      </c>
      <c r="I27" s="8">
        <f>IF(I$4, IF(ISNUMBER(W27), W27, $V27), "-")</f>
        <v/>
      </c>
      <c r="J27" s="8">
        <f>IF(J$4, IF(ISNUMBER(X27), X27, $V27), "-")</f>
        <v/>
      </c>
      <c r="K27" s="8">
        <f>IF(K$4, IF(ISNUMBER(Y27), Y27, $V27), "-")</f>
        <v/>
      </c>
      <c r="L27" s="8">
        <f>IF(L$4, IF(ISNUMBER(Z27), Z27, $V27), "-")</f>
        <v/>
      </c>
      <c r="M27" s="8">
        <f>IF(M$4, IF(ISNUMBER(AA27), AA27, $V27), "-")</f>
        <v/>
      </c>
      <c r="N27" s="8">
        <f>IF(N$4, IF(ISNUMBER(AB27), AB27, $V27), "-")</f>
        <v/>
      </c>
      <c r="O27" s="8">
        <f>IF(O$4, IF(ISNUMBER(AC27), AC27, $V27), "-")</f>
        <v/>
      </c>
      <c r="P27" s="8">
        <f>IF(P$4, IF(ISNUMBER(AD27), AD27, $V27), "-")</f>
        <v/>
      </c>
      <c r="Q27" s="8">
        <f>IF(Q$4, IF(ISNUMBER(AE27), AE27, $V27), "-")</f>
        <v/>
      </c>
      <c r="R27" s="8">
        <f>IF(R$4, IF(ISNUMBER(AF27), AF27, $V27), "-")</f>
        <v/>
      </c>
      <c r="S27" s="9">
        <f>IF(S$4, IF(ISNUMBER(AG27), AG27, $V27), "-")</f>
        <v/>
      </c>
      <c r="T27" s="8">
        <f>IF(T$4, IF(ISNUMBER(AH27), AH27, $V27), "-")</f>
        <v/>
      </c>
      <c r="V27">
        <f>CurrAttrValue(E27, 0)</f>
        <v/>
      </c>
      <c r="W27">
        <f>ArchiveAttributeValue($E27, 0, I$5, I$6, 1)</f>
        <v/>
      </c>
      <c r="X27">
        <f>ArchiveAttributeValue($E27, 0, J$5, J$6, 1)</f>
        <v/>
      </c>
      <c r="Y27">
        <f>ArchiveAttributeValue($E27, 0, K$5, K$6, 1)</f>
        <v/>
      </c>
      <c r="Z27">
        <f>ArchiveAttributeValue($E27, 0, L$5, L$6, 1)</f>
        <v/>
      </c>
      <c r="AA27">
        <f>ArchiveAttributeValue($E27, 0, M$5, M$6, 1)</f>
        <v/>
      </c>
      <c r="AB27">
        <f>ArchiveAttributeValue($E27, 0, N$5, N$6, 1)</f>
        <v/>
      </c>
      <c r="AC27">
        <f>ArchiveAttributeValue($E27, 0, O$5, O$6, 1)</f>
        <v/>
      </c>
      <c r="AD27">
        <f>ArchiveAttributeValue($E27, 0, P$5, P$6, 1)</f>
        <v/>
      </c>
      <c r="AE27">
        <f>ArchiveAttributeValue($E27, 0, Q$5, Q$6, 1)</f>
        <v/>
      </c>
      <c r="AF27">
        <f>ArchiveAttributeValue($E27, 0, R$5, R$6, 1)</f>
        <v/>
      </c>
      <c r="AG27">
        <f>ArchiveAttributeValue($E27, 0, S$5, S$6, 1)</f>
        <v/>
      </c>
      <c r="AH27">
        <f>ArchiveAttributeValue($E27, 0, T$5, T$6, 1)</f>
        <v/>
      </c>
    </row>
    <row r="28" ht="20" customHeight="1">
      <c r="C28">
        <f>"AI.AI_Tg_inN"</f>
        <v/>
      </c>
      <c r="D28">
        <f>CONCATENATE($E$3, $E$2, $C28, $E$5)</f>
        <v/>
      </c>
      <c r="E28">
        <f>CONCATENATE($E$3, $E$2, $C28, $E$4)</f>
        <v/>
      </c>
      <c r="F28" s="6">
        <f>"21"</f>
        <v/>
      </c>
      <c r="G28" s="7">
        <f>"Температура газа на входе Н   "</f>
        <v/>
      </c>
      <c r="H28" s="6">
        <f>CurrAttrValue(D28, 0)</f>
        <v/>
      </c>
      <c r="I28" s="8">
        <f>IF(I$4, IF(ISNUMBER(W28), W28, $V28), "-")</f>
        <v/>
      </c>
      <c r="J28" s="8">
        <f>IF(J$4, IF(ISNUMBER(X28), X28, $V28), "-")</f>
        <v/>
      </c>
      <c r="K28" s="8">
        <f>IF(K$4, IF(ISNUMBER(Y28), Y28, $V28), "-")</f>
        <v/>
      </c>
      <c r="L28" s="8">
        <f>IF(L$4, IF(ISNUMBER(Z28), Z28, $V28), "-")</f>
        <v/>
      </c>
      <c r="M28" s="8">
        <f>IF(M$4, IF(ISNUMBER(AA28), AA28, $V28), "-")</f>
        <v/>
      </c>
      <c r="N28" s="8">
        <f>IF(N$4, IF(ISNUMBER(AB28), AB28, $V28), "-")</f>
        <v/>
      </c>
      <c r="O28" s="8">
        <f>IF(O$4, IF(ISNUMBER(AC28), AC28, $V28), "-")</f>
        <v/>
      </c>
      <c r="P28" s="8">
        <f>IF(P$4, IF(ISNUMBER(AD28), AD28, $V28), "-")</f>
        <v/>
      </c>
      <c r="Q28" s="8">
        <f>IF(Q$4, IF(ISNUMBER(AE28), AE28, $V28), "-")</f>
        <v/>
      </c>
      <c r="R28" s="8">
        <f>IF(R$4, IF(ISNUMBER(AF28), AF28, $V28), "-")</f>
        <v/>
      </c>
      <c r="S28" s="9">
        <f>IF(S$4, IF(ISNUMBER(AG28), AG28, $V28), "-")</f>
        <v/>
      </c>
      <c r="T28" s="8">
        <f>IF(T$4, IF(ISNUMBER(AH28), AH28, $V28), "-")</f>
        <v/>
      </c>
      <c r="V28">
        <f>CurrAttrValue(E28, 0)</f>
        <v/>
      </c>
      <c r="W28">
        <f>ArchiveAttributeValue($E28, 0, I$5, I$6, 1)</f>
        <v/>
      </c>
      <c r="X28">
        <f>ArchiveAttributeValue($E28, 0, J$5, J$6, 1)</f>
        <v/>
      </c>
      <c r="Y28">
        <f>ArchiveAttributeValue($E28, 0, K$5, K$6, 1)</f>
        <v/>
      </c>
      <c r="Z28">
        <f>ArchiveAttributeValue($E28, 0, L$5, L$6, 1)</f>
        <v/>
      </c>
      <c r="AA28">
        <f>ArchiveAttributeValue($E28, 0, M$5, M$6, 1)</f>
        <v/>
      </c>
      <c r="AB28">
        <f>ArchiveAttributeValue($E28, 0, N$5, N$6, 1)</f>
        <v/>
      </c>
      <c r="AC28">
        <f>ArchiveAttributeValue($E28, 0, O$5, O$6, 1)</f>
        <v/>
      </c>
      <c r="AD28">
        <f>ArchiveAttributeValue($E28, 0, P$5, P$6, 1)</f>
        <v/>
      </c>
      <c r="AE28">
        <f>ArchiveAttributeValue($E28, 0, Q$5, Q$6, 1)</f>
        <v/>
      </c>
      <c r="AF28">
        <f>ArchiveAttributeValue($E28, 0, R$5, R$6, 1)</f>
        <v/>
      </c>
      <c r="AG28">
        <f>ArchiveAttributeValue($E28, 0, S$5, S$6, 1)</f>
        <v/>
      </c>
      <c r="AH28">
        <f>ArchiveAttributeValue($E28, 0, T$5, T$6, 1)</f>
        <v/>
      </c>
    </row>
    <row r="29" ht="20" customHeight="1">
      <c r="C29">
        <f>"AI.AI_Tg_outN"</f>
        <v/>
      </c>
      <c r="D29">
        <f>CONCATENATE($E$3, $E$2, $C29, $E$5)</f>
        <v/>
      </c>
      <c r="E29">
        <f>CONCATENATE($E$3, $E$2, $C29, $E$4)</f>
        <v/>
      </c>
      <c r="F29" s="6">
        <f>"22"</f>
        <v/>
      </c>
      <c r="G29" s="7">
        <f>"Температура газа на выходе Н   "</f>
        <v/>
      </c>
      <c r="H29" s="6">
        <f>CurrAttrValue(D29, 0)</f>
        <v/>
      </c>
      <c r="I29" s="8">
        <f>IF(I$4, IF(ISNUMBER(W29), W29, $V29), "-")</f>
        <v/>
      </c>
      <c r="J29" s="8">
        <f>IF(J$4, IF(ISNUMBER(X29), X29, $V29), "-")</f>
        <v/>
      </c>
      <c r="K29" s="8">
        <f>IF(K$4, IF(ISNUMBER(Y29), Y29, $V29), "-")</f>
        <v/>
      </c>
      <c r="L29" s="8">
        <f>IF(L$4, IF(ISNUMBER(Z29), Z29, $V29), "-")</f>
        <v/>
      </c>
      <c r="M29" s="8">
        <f>IF(M$4, IF(ISNUMBER(AA29), AA29, $V29), "-")</f>
        <v/>
      </c>
      <c r="N29" s="8">
        <f>IF(N$4, IF(ISNUMBER(AB29), AB29, $V29), "-")</f>
        <v/>
      </c>
      <c r="O29" s="8">
        <f>IF(O$4, IF(ISNUMBER(AC29), AC29, $V29), "-")</f>
        <v/>
      </c>
      <c r="P29" s="8">
        <f>IF(P$4, IF(ISNUMBER(AD29), AD29, $V29), "-")</f>
        <v/>
      </c>
      <c r="Q29" s="8">
        <f>IF(Q$4, IF(ISNUMBER(AE29), AE29, $V29), "-")</f>
        <v/>
      </c>
      <c r="R29" s="8">
        <f>IF(R$4, IF(ISNUMBER(AF29), AF29, $V29), "-")</f>
        <v/>
      </c>
      <c r="S29" s="9">
        <f>IF(S$4, IF(ISNUMBER(AG29), AG29, $V29), "-")</f>
        <v/>
      </c>
      <c r="T29" s="8">
        <f>IF(T$4, IF(ISNUMBER(AH29), AH29, $V29), "-")</f>
        <v/>
      </c>
      <c r="V29">
        <f>CurrAttrValue(E29, 0)</f>
        <v/>
      </c>
      <c r="W29">
        <f>ArchiveAttributeValue($E29, 0, I$5, I$6, 1)</f>
        <v/>
      </c>
      <c r="X29">
        <f>ArchiveAttributeValue($E29, 0, J$5, J$6, 1)</f>
        <v/>
      </c>
      <c r="Y29">
        <f>ArchiveAttributeValue($E29, 0, K$5, K$6, 1)</f>
        <v/>
      </c>
      <c r="Z29">
        <f>ArchiveAttributeValue($E29, 0, L$5, L$6, 1)</f>
        <v/>
      </c>
      <c r="AA29">
        <f>ArchiveAttributeValue($E29, 0, M$5, M$6, 1)</f>
        <v/>
      </c>
      <c r="AB29">
        <f>ArchiveAttributeValue($E29, 0, N$5, N$6, 1)</f>
        <v/>
      </c>
      <c r="AC29">
        <f>ArchiveAttributeValue($E29, 0, O$5, O$6, 1)</f>
        <v/>
      </c>
      <c r="AD29">
        <f>ArchiveAttributeValue($E29, 0, P$5, P$6, 1)</f>
        <v/>
      </c>
      <c r="AE29">
        <f>ArchiveAttributeValue($E29, 0, Q$5, Q$6, 1)</f>
        <v/>
      </c>
      <c r="AF29">
        <f>ArchiveAttributeValue($E29, 0, R$5, R$6, 1)</f>
        <v/>
      </c>
      <c r="AG29">
        <f>ArchiveAttributeValue($E29, 0, S$5, S$6, 1)</f>
        <v/>
      </c>
      <c r="AH29">
        <f>ArchiveAttributeValue($E29, 0, T$5, T$6, 1)</f>
        <v/>
      </c>
    </row>
    <row r="30" ht="20" customHeight="1">
      <c r="C30">
        <f>"AI.AI_Tm_inAVOMN"</f>
        <v/>
      </c>
      <c r="D30">
        <f>CONCATENATE($E$3, $E$2, $C30, $E$5)</f>
        <v/>
      </c>
      <c r="E30">
        <f>CONCATENATE($E$3, $E$2, $C30, $E$4)</f>
        <v/>
      </c>
      <c r="F30" s="6">
        <f>"23"</f>
        <v/>
      </c>
      <c r="G30" s="7">
        <f>"Температура масла на входе АВОМ Н  "</f>
        <v/>
      </c>
      <c r="H30" s="6">
        <f>CurrAttrValue(D30, 0)</f>
        <v/>
      </c>
      <c r="I30" s="8">
        <f>IF(I$4, IF(ISNUMBER(W30), W30, $V30), "-")</f>
        <v/>
      </c>
      <c r="J30" s="8">
        <f>IF(J$4, IF(ISNUMBER(X30), X30, $V30), "-")</f>
        <v/>
      </c>
      <c r="K30" s="8">
        <f>IF(K$4, IF(ISNUMBER(Y30), Y30, $V30), "-")</f>
        <v/>
      </c>
      <c r="L30" s="8">
        <f>IF(L$4, IF(ISNUMBER(Z30), Z30, $V30), "-")</f>
        <v/>
      </c>
      <c r="M30" s="8">
        <f>IF(M$4, IF(ISNUMBER(AA30), AA30, $V30), "-")</f>
        <v/>
      </c>
      <c r="N30" s="8">
        <f>IF(N$4, IF(ISNUMBER(AB30), AB30, $V30), "-")</f>
        <v/>
      </c>
      <c r="O30" s="8">
        <f>IF(O$4, IF(ISNUMBER(AC30), AC30, $V30), "-")</f>
        <v/>
      </c>
      <c r="P30" s="8">
        <f>IF(P$4, IF(ISNUMBER(AD30), AD30, $V30), "-")</f>
        <v/>
      </c>
      <c r="Q30" s="8">
        <f>IF(Q$4, IF(ISNUMBER(AE30), AE30, $V30), "-")</f>
        <v/>
      </c>
      <c r="R30" s="8">
        <f>IF(R$4, IF(ISNUMBER(AF30), AF30, $V30), "-")</f>
        <v/>
      </c>
      <c r="S30" s="9">
        <f>IF(S$4, IF(ISNUMBER(AG30), AG30, $V30), "-")</f>
        <v/>
      </c>
      <c r="T30" s="8">
        <f>IF(T$4, IF(ISNUMBER(AH30), AH30, $V30), "-")</f>
        <v/>
      </c>
      <c r="V30">
        <f>CurrAttrValue(E30, 0)</f>
        <v/>
      </c>
      <c r="W30">
        <f>ArchiveAttributeValue($E30, 0, I$5, I$6, 1)</f>
        <v/>
      </c>
      <c r="X30">
        <f>ArchiveAttributeValue($E30, 0, J$5, J$6, 1)</f>
        <v/>
      </c>
      <c r="Y30">
        <f>ArchiveAttributeValue($E30, 0, K$5, K$6, 1)</f>
        <v/>
      </c>
      <c r="Z30">
        <f>ArchiveAttributeValue($E30, 0, L$5, L$6, 1)</f>
        <v/>
      </c>
      <c r="AA30">
        <f>ArchiveAttributeValue($E30, 0, M$5, M$6, 1)</f>
        <v/>
      </c>
      <c r="AB30">
        <f>ArchiveAttributeValue($E30, 0, N$5, N$6, 1)</f>
        <v/>
      </c>
      <c r="AC30">
        <f>ArchiveAttributeValue($E30, 0, O$5, O$6, 1)</f>
        <v/>
      </c>
      <c r="AD30">
        <f>ArchiveAttributeValue($E30, 0, P$5, P$6, 1)</f>
        <v/>
      </c>
      <c r="AE30">
        <f>ArchiveAttributeValue($E30, 0, Q$5, Q$6, 1)</f>
        <v/>
      </c>
      <c r="AF30">
        <f>ArchiveAttributeValue($E30, 0, R$5, R$6, 1)</f>
        <v/>
      </c>
      <c r="AG30">
        <f>ArchiveAttributeValue($E30, 0, S$5, S$6, 1)</f>
        <v/>
      </c>
      <c r="AH30">
        <f>ArchiveAttributeValue($E30, 0, T$5, T$6, 1)</f>
        <v/>
      </c>
    </row>
    <row r="31" ht="20" customHeight="1">
      <c r="C31">
        <f>"AI.AI_Tm_outAVOMN"</f>
        <v/>
      </c>
      <c r="D31">
        <f>CONCATENATE($E$3, $E$2, $C31, $E$5)</f>
        <v/>
      </c>
      <c r="E31">
        <f>CONCATENATE($E$3, $E$2, $C31, $E$4)</f>
        <v/>
      </c>
      <c r="F31" s="6">
        <f>"24"</f>
        <v/>
      </c>
      <c r="G31" s="7">
        <f>"Температура масла на выходе АВОМ Н  "</f>
        <v/>
      </c>
      <c r="H31" s="6">
        <f>CurrAttrValue(D31, 0)</f>
        <v/>
      </c>
      <c r="I31" s="8">
        <f>IF(I$4, IF(ISNUMBER(W31), W31, $V31), "-")</f>
        <v/>
      </c>
      <c r="J31" s="8">
        <f>IF(J$4, IF(ISNUMBER(X31), X31, $V31), "-")</f>
        <v/>
      </c>
      <c r="K31" s="8">
        <f>IF(K$4, IF(ISNUMBER(Y31), Y31, $V31), "-")</f>
        <v/>
      </c>
      <c r="L31" s="8">
        <f>IF(L$4, IF(ISNUMBER(Z31), Z31, $V31), "-")</f>
        <v/>
      </c>
      <c r="M31" s="8">
        <f>IF(M$4, IF(ISNUMBER(AA31), AA31, $V31), "-")</f>
        <v/>
      </c>
      <c r="N31" s="8">
        <f>IF(N$4, IF(ISNUMBER(AB31), AB31, $V31), "-")</f>
        <v/>
      </c>
      <c r="O31" s="8">
        <f>IF(O$4, IF(ISNUMBER(AC31), AC31, $V31), "-")</f>
        <v/>
      </c>
      <c r="P31" s="8">
        <f>IF(P$4, IF(ISNUMBER(AD31), AD31, $V31), "-")</f>
        <v/>
      </c>
      <c r="Q31" s="8">
        <f>IF(Q$4, IF(ISNUMBER(AE31), AE31, $V31), "-")</f>
        <v/>
      </c>
      <c r="R31" s="8">
        <f>IF(R$4, IF(ISNUMBER(AF31), AF31, $V31), "-")</f>
        <v/>
      </c>
      <c r="S31" s="9">
        <f>IF(S$4, IF(ISNUMBER(AG31), AG31, $V31), "-")</f>
        <v/>
      </c>
      <c r="T31" s="8">
        <f>IF(T$4, IF(ISNUMBER(AH31), AH31, $V31), "-")</f>
        <v/>
      </c>
      <c r="V31">
        <f>CurrAttrValue(E31, 0)</f>
        <v/>
      </c>
      <c r="W31">
        <f>ArchiveAttributeValue($E31, 0, I$5, I$6, 1)</f>
        <v/>
      </c>
      <c r="X31">
        <f>ArchiveAttributeValue($E31, 0, J$5, J$6, 1)</f>
        <v/>
      </c>
      <c r="Y31">
        <f>ArchiveAttributeValue($E31, 0, K$5, K$6, 1)</f>
        <v/>
      </c>
      <c r="Z31">
        <f>ArchiveAttributeValue($E31, 0, L$5, L$6, 1)</f>
        <v/>
      </c>
      <c r="AA31">
        <f>ArchiveAttributeValue($E31, 0, M$5, M$6, 1)</f>
        <v/>
      </c>
      <c r="AB31">
        <f>ArchiveAttributeValue($E31, 0, N$5, N$6, 1)</f>
        <v/>
      </c>
      <c r="AC31">
        <f>ArchiveAttributeValue($E31, 0, O$5, O$6, 1)</f>
        <v/>
      </c>
      <c r="AD31">
        <f>ArchiveAttributeValue($E31, 0, P$5, P$6, 1)</f>
        <v/>
      </c>
      <c r="AE31">
        <f>ArchiveAttributeValue($E31, 0, Q$5, Q$6, 1)</f>
        <v/>
      </c>
      <c r="AF31">
        <f>ArchiveAttributeValue($E31, 0, R$5, R$6, 1)</f>
        <v/>
      </c>
      <c r="AG31">
        <f>ArchiveAttributeValue($E31, 0, S$5, S$6, 1)</f>
        <v/>
      </c>
      <c r="AH31">
        <f>ArchiveAttributeValue($E31, 0, T$5, T$6, 1)</f>
        <v/>
      </c>
    </row>
    <row r="32" ht="20" customHeight="1">
      <c r="C32">
        <f>"AI.AI_Tm_inAVOMD"</f>
        <v/>
      </c>
      <c r="D32">
        <f>CONCATENATE($E$3, $E$2, $C32, $E$5)</f>
        <v/>
      </c>
      <c r="E32">
        <f>CONCATENATE($E$3, $E$2, $C32, $E$4)</f>
        <v/>
      </c>
      <c r="F32" s="6">
        <f>"25"</f>
        <v/>
      </c>
      <c r="G32" s="7">
        <f>"Температура масла на входе АВОМ ГТУ  "</f>
        <v/>
      </c>
      <c r="H32" s="6">
        <f>CurrAttrValue(D32, 0)</f>
        <v/>
      </c>
      <c r="I32" s="8">
        <f>IF(I$4, IF(ISNUMBER(W32), W32, $V32), "-")</f>
        <v/>
      </c>
      <c r="J32" s="8">
        <f>IF(J$4, IF(ISNUMBER(X32), X32, $V32), "-")</f>
        <v/>
      </c>
      <c r="K32" s="8">
        <f>IF(K$4, IF(ISNUMBER(Y32), Y32, $V32), "-")</f>
        <v/>
      </c>
      <c r="L32" s="8">
        <f>IF(L$4, IF(ISNUMBER(Z32), Z32, $V32), "-")</f>
        <v/>
      </c>
      <c r="M32" s="8">
        <f>IF(M$4, IF(ISNUMBER(AA32), AA32, $V32), "-")</f>
        <v/>
      </c>
      <c r="N32" s="8">
        <f>IF(N$4, IF(ISNUMBER(AB32), AB32, $V32), "-")</f>
        <v/>
      </c>
      <c r="O32" s="8">
        <f>IF(O$4, IF(ISNUMBER(AC32), AC32, $V32), "-")</f>
        <v/>
      </c>
      <c r="P32" s="8">
        <f>IF(P$4, IF(ISNUMBER(AD32), AD32, $V32), "-")</f>
        <v/>
      </c>
      <c r="Q32" s="8">
        <f>IF(Q$4, IF(ISNUMBER(AE32), AE32, $V32), "-")</f>
        <v/>
      </c>
      <c r="R32" s="8">
        <f>IF(R$4, IF(ISNUMBER(AF32), AF32, $V32), "-")</f>
        <v/>
      </c>
      <c r="S32" s="9">
        <f>IF(S$4, IF(ISNUMBER(AG32), AG32, $V32), "-")</f>
        <v/>
      </c>
      <c r="T32" s="8">
        <f>IF(T$4, IF(ISNUMBER(AH32), AH32, $V32), "-")</f>
        <v/>
      </c>
      <c r="V32">
        <f>CurrAttrValue(E32, 0)</f>
        <v/>
      </c>
      <c r="W32">
        <f>ArchiveAttributeValue($E32, 0, I$5, I$6, 1)</f>
        <v/>
      </c>
      <c r="X32">
        <f>ArchiveAttributeValue($E32, 0, J$5, J$6, 1)</f>
        <v/>
      </c>
      <c r="Y32">
        <f>ArchiveAttributeValue($E32, 0, K$5, K$6, 1)</f>
        <v/>
      </c>
      <c r="Z32">
        <f>ArchiveAttributeValue($E32, 0, L$5, L$6, 1)</f>
        <v/>
      </c>
      <c r="AA32">
        <f>ArchiveAttributeValue($E32, 0, M$5, M$6, 1)</f>
        <v/>
      </c>
      <c r="AB32">
        <f>ArchiveAttributeValue($E32, 0, N$5, N$6, 1)</f>
        <v/>
      </c>
      <c r="AC32">
        <f>ArchiveAttributeValue($E32, 0, O$5, O$6, 1)</f>
        <v/>
      </c>
      <c r="AD32">
        <f>ArchiveAttributeValue($E32, 0, P$5, P$6, 1)</f>
        <v/>
      </c>
      <c r="AE32">
        <f>ArchiveAttributeValue($E32, 0, Q$5, Q$6, 1)</f>
        <v/>
      </c>
      <c r="AF32">
        <f>ArchiveAttributeValue($E32, 0, R$5, R$6, 1)</f>
        <v/>
      </c>
      <c r="AG32">
        <f>ArchiveAttributeValue($E32, 0, S$5, S$6, 1)</f>
        <v/>
      </c>
      <c r="AH32">
        <f>ArchiveAttributeValue($E32, 0, T$5, T$6, 1)</f>
        <v/>
      </c>
    </row>
    <row r="33" ht="20" customHeight="1">
      <c r="C33">
        <f>"AI.AI_Tm_outAVOMD"</f>
        <v/>
      </c>
      <c r="D33">
        <f>CONCATENATE($E$3, $E$2, $C33, $E$5)</f>
        <v/>
      </c>
      <c r="E33">
        <f>CONCATENATE($E$3, $E$2, $C33, $E$4)</f>
        <v/>
      </c>
      <c r="F33" s="6">
        <f>"26"</f>
        <v/>
      </c>
      <c r="G33" s="7">
        <f>"Температура масла на выходе АВОМ ГТУ  "</f>
        <v/>
      </c>
      <c r="H33" s="6">
        <f>CurrAttrValue(D33, 0)</f>
        <v/>
      </c>
      <c r="I33" s="8">
        <f>IF(I$4, IF(ISNUMBER(W33), W33, $V33), "-")</f>
        <v/>
      </c>
      <c r="J33" s="8">
        <f>IF(J$4, IF(ISNUMBER(X33), X33, $V33), "-")</f>
        <v/>
      </c>
      <c r="K33" s="8">
        <f>IF(K$4, IF(ISNUMBER(Y33), Y33, $V33), "-")</f>
        <v/>
      </c>
      <c r="L33" s="8">
        <f>IF(L$4, IF(ISNUMBER(Z33), Z33, $V33), "-")</f>
        <v/>
      </c>
      <c r="M33" s="8">
        <f>IF(M$4, IF(ISNUMBER(AA33), AA33, $V33), "-")</f>
        <v/>
      </c>
      <c r="N33" s="8">
        <f>IF(N$4, IF(ISNUMBER(AB33), AB33, $V33), "-")</f>
        <v/>
      </c>
      <c r="O33" s="8">
        <f>IF(O$4, IF(ISNUMBER(AC33), AC33, $V33), "-")</f>
        <v/>
      </c>
      <c r="P33" s="8">
        <f>IF(P$4, IF(ISNUMBER(AD33), AD33, $V33), "-")</f>
        <v/>
      </c>
      <c r="Q33" s="8">
        <f>IF(Q$4, IF(ISNUMBER(AE33), AE33, $V33), "-")</f>
        <v/>
      </c>
      <c r="R33" s="8">
        <f>IF(R$4, IF(ISNUMBER(AF33), AF33, $V33), "-")</f>
        <v/>
      </c>
      <c r="S33" s="9">
        <f>IF(S$4, IF(ISNUMBER(AG33), AG33, $V33), "-")</f>
        <v/>
      </c>
      <c r="T33" s="8">
        <f>IF(T$4, IF(ISNUMBER(AH33), AH33, $V33), "-")</f>
        <v/>
      </c>
      <c r="V33">
        <f>CurrAttrValue(E33, 0)</f>
        <v/>
      </c>
      <c r="W33">
        <f>ArchiveAttributeValue($E33, 0, I$5, I$6, 1)</f>
        <v/>
      </c>
      <c r="X33">
        <f>ArchiveAttributeValue($E33, 0, J$5, J$6, 1)</f>
        <v/>
      </c>
      <c r="Y33">
        <f>ArchiveAttributeValue($E33, 0, K$5, K$6, 1)</f>
        <v/>
      </c>
      <c r="Z33">
        <f>ArchiveAttributeValue($E33, 0, L$5, L$6, 1)</f>
        <v/>
      </c>
      <c r="AA33">
        <f>ArchiveAttributeValue($E33, 0, M$5, M$6, 1)</f>
        <v/>
      </c>
      <c r="AB33">
        <f>ArchiveAttributeValue($E33, 0, N$5, N$6, 1)</f>
        <v/>
      </c>
      <c r="AC33">
        <f>ArchiveAttributeValue($E33, 0, O$5, O$6, 1)</f>
        <v/>
      </c>
      <c r="AD33">
        <f>ArchiveAttributeValue($E33, 0, P$5, P$6, 1)</f>
        <v/>
      </c>
      <c r="AE33">
        <f>ArchiveAttributeValue($E33, 0, Q$5, Q$6, 1)</f>
        <v/>
      </c>
      <c r="AF33">
        <f>ArchiveAttributeValue($E33, 0, R$5, R$6, 1)</f>
        <v/>
      </c>
      <c r="AG33">
        <f>ArchiveAttributeValue($E33, 0, S$5, S$6, 1)</f>
        <v/>
      </c>
      <c r="AH33">
        <f>ArchiveAttributeValue($E33, 0, T$5, T$6, 1)</f>
        <v/>
      </c>
    </row>
    <row r="36" ht="35" customHeight="1">
      <c r="G36" s="11">
        <f>"должность"</f>
        <v/>
      </c>
      <c r="H36" s="12" t="n"/>
      <c r="I36" s="12" t="n"/>
      <c r="J36" s="11">
        <f>"ФИО"</f>
        <v/>
      </c>
      <c r="K36" s="12" t="n"/>
      <c r="L36" s="12" t="n"/>
      <c r="M36" s="11">
        <f>"подпись"</f>
        <v/>
      </c>
      <c r="N36" s="12" t="n"/>
    </row>
    <row r="37" ht="35" customHeight="1">
      <c r="G37" s="11">
        <f>"должность"</f>
        <v/>
      </c>
      <c r="H37" s="12" t="n"/>
      <c r="I37" s="12" t="n"/>
      <c r="J37" s="11">
        <f>"ФИО"</f>
        <v/>
      </c>
      <c r="K37" s="12" t="n"/>
      <c r="L37" s="12" t="n"/>
      <c r="M37" s="11">
        <f>"подпись"</f>
        <v/>
      </c>
      <c r="N37" s="12" t="n"/>
    </row>
    <row r="38" ht="35" customHeight="1">
      <c r="G38" s="11">
        <f>"должность"</f>
        <v/>
      </c>
      <c r="H38" s="12" t="n"/>
      <c r="I38" s="12" t="n"/>
      <c r="J38" s="11">
        <f>"ФИО"</f>
        <v/>
      </c>
      <c r="K38" s="12" t="n"/>
      <c r="L38" s="12" t="n"/>
      <c r="M38" s="11">
        <f>"подпись"</f>
        <v/>
      </c>
      <c r="N38" s="12" t="n"/>
    </row>
    <row r="40" ht="25" customHeight="1">
      <c r="G40" s="2">
        <f>"Сменная ведомость ГПА3 на "</f>
        <v/>
      </c>
      <c r="H40" s="3">
        <f>H2</f>
        <v/>
      </c>
    </row>
    <row r="42" ht="20" customHeight="1">
      <c r="F42" s="4">
        <f>"№"</f>
        <v/>
      </c>
      <c r="G42" s="4">
        <f>"Наименование  "</f>
        <v/>
      </c>
      <c r="H42" s="4">
        <f>"ед.изм"</f>
        <v/>
      </c>
      <c r="I42" s="5">
        <f>I7</f>
        <v/>
      </c>
      <c r="J42" s="5">
        <f>J7</f>
        <v/>
      </c>
      <c r="K42" s="5">
        <f>K7</f>
        <v/>
      </c>
      <c r="L42" s="5">
        <f>L7</f>
        <v/>
      </c>
      <c r="M42" s="5">
        <f>M7</f>
        <v/>
      </c>
      <c r="N42" s="5">
        <f>N7</f>
        <v/>
      </c>
      <c r="O42" s="5">
        <f>O7</f>
        <v/>
      </c>
      <c r="P42" s="5">
        <f>P7</f>
        <v/>
      </c>
      <c r="Q42" s="5">
        <f>Q7</f>
        <v/>
      </c>
      <c r="R42" s="5">
        <f>R7</f>
        <v/>
      </c>
      <c r="S42" s="5">
        <f>S7</f>
        <v/>
      </c>
      <c r="T42" s="5">
        <f>T7</f>
        <v/>
      </c>
    </row>
    <row r="43" ht="20" customHeight="1">
      <c r="C43">
        <f>"AI.AI_Lmbd"</f>
        <v/>
      </c>
      <c r="D43">
        <f>CONCATENATE($E$3, $E$2, $C43, $E$5)</f>
        <v/>
      </c>
      <c r="E43">
        <f>CONCATENATE($E$3, $E$2, $C43, $E$4)</f>
        <v/>
      </c>
      <c r="F43" s="6">
        <f>"27"</f>
        <v/>
      </c>
      <c r="G43" s="7">
        <f>"Уровень масла в маслобаке ГТУ  "</f>
        <v/>
      </c>
      <c r="H43" s="6">
        <f>CurrAttrValue(D43, 0)</f>
        <v/>
      </c>
      <c r="I43" s="8">
        <f>IF(I$4, IF(ISNUMBER(W43), W43, $V43), "-")</f>
        <v/>
      </c>
      <c r="J43" s="8">
        <f>IF(J$4, IF(ISNUMBER(X43), X43, $V43), "-")</f>
        <v/>
      </c>
      <c r="K43" s="8">
        <f>IF(K$4, IF(ISNUMBER(Y43), Y43, $V43), "-")</f>
        <v/>
      </c>
      <c r="L43" s="8">
        <f>IF(L$4, IF(ISNUMBER(Z43), Z43, $V43), "-")</f>
        <v/>
      </c>
      <c r="M43" s="8">
        <f>IF(M$4, IF(ISNUMBER(AA43), AA43, $V43), "-")</f>
        <v/>
      </c>
      <c r="N43" s="8">
        <f>IF(N$4, IF(ISNUMBER(AB43), AB43, $V43), "-")</f>
        <v/>
      </c>
      <c r="O43" s="8">
        <f>IF(O$4, IF(ISNUMBER(AC43), AC43, $V43), "-")</f>
        <v/>
      </c>
      <c r="P43" s="8">
        <f>IF(P$4, IF(ISNUMBER(AD43), AD43, $V43), "-")</f>
        <v/>
      </c>
      <c r="Q43" s="8">
        <f>IF(Q$4, IF(ISNUMBER(AE43), AE43, $V43), "-")</f>
        <v/>
      </c>
      <c r="R43" s="8">
        <f>IF(R$4, IF(ISNUMBER(AF43), AF43, $V43), "-")</f>
        <v/>
      </c>
      <c r="S43" s="9">
        <f>IF(S$4, IF(ISNUMBER(AG43), AG43, $V43), "-")</f>
        <v/>
      </c>
      <c r="T43" s="8">
        <f>IF(T$4, IF(ISNUMBER(AH43), AH43, $V43), "-")</f>
        <v/>
      </c>
      <c r="V43">
        <f>CurrAttrValue(E43, 0)</f>
        <v/>
      </c>
      <c r="W43">
        <f>ArchiveAttributeValue($E43, 0, I$5, I$6, 1)</f>
        <v/>
      </c>
      <c r="X43">
        <f>ArchiveAttributeValue($E43, 0, J$5, J$6, 1)</f>
        <v/>
      </c>
      <c r="Y43">
        <f>ArchiveAttributeValue($E43, 0, K$5, K$6, 1)</f>
        <v/>
      </c>
      <c r="Z43">
        <f>ArchiveAttributeValue($E43, 0, L$5, L$6, 1)</f>
        <v/>
      </c>
      <c r="AA43">
        <f>ArchiveAttributeValue($E43, 0, M$5, M$6, 1)</f>
        <v/>
      </c>
      <c r="AB43">
        <f>ArchiveAttributeValue($E43, 0, N$5, N$6, 1)</f>
        <v/>
      </c>
      <c r="AC43">
        <f>ArchiveAttributeValue($E43, 0, O$5, O$6, 1)</f>
        <v/>
      </c>
      <c r="AD43">
        <f>ArchiveAttributeValue($E43, 0, P$5, P$6, 1)</f>
        <v/>
      </c>
      <c r="AE43">
        <f>ArchiveAttributeValue($E43, 0, Q$5, Q$6, 1)</f>
        <v/>
      </c>
      <c r="AF43">
        <f>ArchiveAttributeValue($E43, 0, R$5, R$6, 1)</f>
        <v/>
      </c>
      <c r="AG43">
        <f>ArchiveAttributeValue($E43, 0, S$5, S$6, 1)</f>
        <v/>
      </c>
      <c r="AH43">
        <f>ArchiveAttributeValue($E43, 0, T$5, T$6, 1)</f>
        <v/>
      </c>
    </row>
    <row r="44" ht="20" customHeight="1">
      <c r="C44">
        <f>"AI.AI_Vpon"</f>
        <v/>
      </c>
      <c r="D44">
        <f>CONCATENATE($E$3, $E$2, $C44, $E$5)</f>
        <v/>
      </c>
      <c r="E44">
        <f>CONCATENATE($E$3, $E$2, $C44, $E$4)</f>
        <v/>
      </c>
      <c r="F44" s="6">
        <f>"28"</f>
        <v/>
      </c>
      <c r="G44" s="7">
        <f>"Векторная сумма виброперемещений передней опоры Н  "</f>
        <v/>
      </c>
      <c r="H44" s="6">
        <f>CurrAttrValue(D44, 0)</f>
        <v/>
      </c>
      <c r="I44" s="8">
        <f>IF(I$4, IF(ISNUMBER(W44), W44, $V44), "-")</f>
        <v/>
      </c>
      <c r="J44" s="8">
        <f>IF(J$4, IF(ISNUMBER(X44), X44, $V44), "-")</f>
        <v/>
      </c>
      <c r="K44" s="8">
        <f>IF(K$4, IF(ISNUMBER(Y44), Y44, $V44), "-")</f>
        <v/>
      </c>
      <c r="L44" s="8">
        <f>IF(L$4, IF(ISNUMBER(Z44), Z44, $V44), "-")</f>
        <v/>
      </c>
      <c r="M44" s="8">
        <f>IF(M$4, IF(ISNUMBER(AA44), AA44, $V44), "-")</f>
        <v/>
      </c>
      <c r="N44" s="8">
        <f>IF(N$4, IF(ISNUMBER(AB44), AB44, $V44), "-")</f>
        <v/>
      </c>
      <c r="O44" s="8">
        <f>IF(O$4, IF(ISNUMBER(AC44), AC44, $V44), "-")</f>
        <v/>
      </c>
      <c r="P44" s="8">
        <f>IF(P$4, IF(ISNUMBER(AD44), AD44, $V44), "-")</f>
        <v/>
      </c>
      <c r="Q44" s="8">
        <f>IF(Q$4, IF(ISNUMBER(AE44), AE44, $V44), "-")</f>
        <v/>
      </c>
      <c r="R44" s="8">
        <f>IF(R$4, IF(ISNUMBER(AF44), AF44, $V44), "-")</f>
        <v/>
      </c>
      <c r="S44" s="9">
        <f>IF(S$4, IF(ISNUMBER(AG44), AG44, $V44), "-")</f>
        <v/>
      </c>
      <c r="T44" s="8">
        <f>IF(T$4, IF(ISNUMBER(AH44), AH44, $V44), "-")</f>
        <v/>
      </c>
      <c r="V44">
        <f>CurrAttrValue(E44, 0)</f>
        <v/>
      </c>
      <c r="W44">
        <f>ArchiveAttributeValue($E44, 0, I$5, I$6, 1)</f>
        <v/>
      </c>
      <c r="X44">
        <f>ArchiveAttributeValue($E44, 0, J$5, J$6, 1)</f>
        <v/>
      </c>
      <c r="Y44">
        <f>ArchiveAttributeValue($E44, 0, K$5, K$6, 1)</f>
        <v/>
      </c>
      <c r="Z44">
        <f>ArchiveAttributeValue($E44, 0, L$5, L$6, 1)</f>
        <v/>
      </c>
      <c r="AA44">
        <f>ArchiveAttributeValue($E44, 0, M$5, M$6, 1)</f>
        <v/>
      </c>
      <c r="AB44">
        <f>ArchiveAttributeValue($E44, 0, N$5, N$6, 1)</f>
        <v/>
      </c>
      <c r="AC44">
        <f>ArchiveAttributeValue($E44, 0, O$5, O$6, 1)</f>
        <v/>
      </c>
      <c r="AD44">
        <f>ArchiveAttributeValue($E44, 0, P$5, P$6, 1)</f>
        <v/>
      </c>
      <c r="AE44">
        <f>ArchiveAttributeValue($E44, 0, Q$5, Q$6, 1)</f>
        <v/>
      </c>
      <c r="AF44">
        <f>ArchiveAttributeValue($E44, 0, R$5, R$6, 1)</f>
        <v/>
      </c>
      <c r="AG44">
        <f>ArchiveAttributeValue($E44, 0, S$5, S$6, 1)</f>
        <v/>
      </c>
      <c r="AH44">
        <f>ArchiveAttributeValue($E44, 0, T$5, T$6, 1)</f>
        <v/>
      </c>
    </row>
    <row r="45" ht="20" customHeight="1">
      <c r="C45">
        <f>"AI.AI_Vzon"</f>
        <v/>
      </c>
      <c r="D45">
        <f>CONCATENATE($E$3, $E$2, $C45, $E$5)</f>
        <v/>
      </c>
      <c r="E45">
        <f>CONCATENATE($E$3, $E$2, $C45, $E$4)</f>
        <v/>
      </c>
      <c r="F45" s="6">
        <f>"29"</f>
        <v/>
      </c>
      <c r="G45" s="7">
        <f>"Векторная сумма виброперемещений задней опоры Н  "</f>
        <v/>
      </c>
      <c r="H45" s="6">
        <f>CurrAttrValue(D45, 0)</f>
        <v/>
      </c>
      <c r="I45" s="8">
        <f>IF(I$4, IF(ISNUMBER(W45), W45, $V45), "-")</f>
        <v/>
      </c>
      <c r="J45" s="8">
        <f>IF(J$4, IF(ISNUMBER(X45), X45, $V45), "-")</f>
        <v/>
      </c>
      <c r="K45" s="8">
        <f>IF(K$4, IF(ISNUMBER(Y45), Y45, $V45), "-")</f>
        <v/>
      </c>
      <c r="L45" s="8">
        <f>IF(L$4, IF(ISNUMBER(Z45), Z45, $V45), "-")</f>
        <v/>
      </c>
      <c r="M45" s="8">
        <f>IF(M$4, IF(ISNUMBER(AA45), AA45, $V45), "-")</f>
        <v/>
      </c>
      <c r="N45" s="8">
        <f>IF(N$4, IF(ISNUMBER(AB45), AB45, $V45), "-")</f>
        <v/>
      </c>
      <c r="O45" s="8">
        <f>IF(O$4, IF(ISNUMBER(AC45), AC45, $V45), "-")</f>
        <v/>
      </c>
      <c r="P45" s="8">
        <f>IF(P$4, IF(ISNUMBER(AD45), AD45, $V45), "-")</f>
        <v/>
      </c>
      <c r="Q45" s="8">
        <f>IF(Q$4, IF(ISNUMBER(AE45), AE45, $V45), "-")</f>
        <v/>
      </c>
      <c r="R45" s="8">
        <f>IF(R$4, IF(ISNUMBER(AF45), AF45, $V45), "-")</f>
        <v/>
      </c>
      <c r="S45" s="9">
        <f>IF(S$4, IF(ISNUMBER(AG45), AG45, $V45), "-")</f>
        <v/>
      </c>
      <c r="T45" s="8">
        <f>IF(T$4, IF(ISNUMBER(AH45), AH45, $V45), "-")</f>
        <v/>
      </c>
      <c r="V45">
        <f>CurrAttrValue(E45, 0)</f>
        <v/>
      </c>
      <c r="W45">
        <f>ArchiveAttributeValue($E45, 0, I$5, I$6, 1)</f>
        <v/>
      </c>
      <c r="X45">
        <f>ArchiveAttributeValue($E45, 0, J$5, J$6, 1)</f>
        <v/>
      </c>
      <c r="Y45">
        <f>ArchiveAttributeValue($E45, 0, K$5, K$6, 1)</f>
        <v/>
      </c>
      <c r="Z45">
        <f>ArchiveAttributeValue($E45, 0, L$5, L$6, 1)</f>
        <v/>
      </c>
      <c r="AA45">
        <f>ArchiveAttributeValue($E45, 0, M$5, M$6, 1)</f>
        <v/>
      </c>
      <c r="AB45">
        <f>ArchiveAttributeValue($E45, 0, N$5, N$6, 1)</f>
        <v/>
      </c>
      <c r="AC45">
        <f>ArchiveAttributeValue($E45, 0, O$5, O$6, 1)</f>
        <v/>
      </c>
      <c r="AD45">
        <f>ArchiveAttributeValue($E45, 0, P$5, P$6, 1)</f>
        <v/>
      </c>
      <c r="AE45">
        <f>ArchiveAttributeValue($E45, 0, Q$5, Q$6, 1)</f>
        <v/>
      </c>
      <c r="AF45">
        <f>ArchiveAttributeValue($E45, 0, R$5, R$6, 1)</f>
        <v/>
      </c>
      <c r="AG45">
        <f>ArchiveAttributeValue($E45, 0, S$5, S$6, 1)</f>
        <v/>
      </c>
      <c r="AH45">
        <f>ArchiveAttributeValue($E45, 0, T$5, T$6, 1)</f>
        <v/>
      </c>
    </row>
    <row r="46" ht="20" customHeight="1">
      <c r="C46">
        <f>"AI.AI_Lmbn"</f>
        <v/>
      </c>
      <c r="D46">
        <f>CONCATENATE($E$3, $E$2, $C46, $E$5)</f>
        <v/>
      </c>
      <c r="E46">
        <f>CONCATENATE($E$3, $E$2, $C46, $E$4)</f>
        <v/>
      </c>
      <c r="F46" s="6">
        <f>"30"</f>
        <v/>
      </c>
      <c r="G46" s="7">
        <f>"Уровень масла в маслобаке Н  "</f>
        <v/>
      </c>
      <c r="H46" s="6">
        <f>CurrAttrValue(D46, 0)</f>
        <v/>
      </c>
      <c r="I46" s="8">
        <f>IF(I$4, IF(ISNUMBER(W46), W46, $V46), "-")</f>
        <v/>
      </c>
      <c r="J46" s="8">
        <f>IF(J$4, IF(ISNUMBER(X46), X46, $V46), "-")</f>
        <v/>
      </c>
      <c r="K46" s="8">
        <f>IF(K$4, IF(ISNUMBER(Y46), Y46, $V46), "-")</f>
        <v/>
      </c>
      <c r="L46" s="8">
        <f>IF(L$4, IF(ISNUMBER(Z46), Z46, $V46), "-")</f>
        <v/>
      </c>
      <c r="M46" s="8">
        <f>IF(M$4, IF(ISNUMBER(AA46), AA46, $V46), "-")</f>
        <v/>
      </c>
      <c r="N46" s="8">
        <f>IF(N$4, IF(ISNUMBER(AB46), AB46, $V46), "-")</f>
        <v/>
      </c>
      <c r="O46" s="8">
        <f>IF(O$4, IF(ISNUMBER(AC46), AC46, $V46), "-")</f>
        <v/>
      </c>
      <c r="P46" s="8">
        <f>IF(P$4, IF(ISNUMBER(AD46), AD46, $V46), "-")</f>
        <v/>
      </c>
      <c r="Q46" s="8">
        <f>IF(Q$4, IF(ISNUMBER(AE46), AE46, $V46), "-")</f>
        <v/>
      </c>
      <c r="R46" s="8">
        <f>IF(R$4, IF(ISNUMBER(AF46), AF46, $V46), "-")</f>
        <v/>
      </c>
      <c r="S46" s="9">
        <f>IF(S$4, IF(ISNUMBER(AG46), AG46, $V46), "-")</f>
        <v/>
      </c>
      <c r="T46" s="8">
        <f>IF(T$4, IF(ISNUMBER(AH46), AH46, $V46), "-")</f>
        <v/>
      </c>
      <c r="V46">
        <f>CurrAttrValue(E46, 0)</f>
        <v/>
      </c>
      <c r="W46">
        <f>ArchiveAttributeValue($E46, 0, I$5, I$6, 1)</f>
        <v/>
      </c>
      <c r="X46">
        <f>ArchiveAttributeValue($E46, 0, J$5, J$6, 1)</f>
        <v/>
      </c>
      <c r="Y46">
        <f>ArchiveAttributeValue($E46, 0, K$5, K$6, 1)</f>
        <v/>
      </c>
      <c r="Z46">
        <f>ArchiveAttributeValue($E46, 0, L$5, L$6, 1)</f>
        <v/>
      </c>
      <c r="AA46">
        <f>ArchiveAttributeValue($E46, 0, M$5, M$6, 1)</f>
        <v/>
      </c>
      <c r="AB46">
        <f>ArchiveAttributeValue($E46, 0, N$5, N$6, 1)</f>
        <v/>
      </c>
      <c r="AC46">
        <f>ArchiveAttributeValue($E46, 0, O$5, O$6, 1)</f>
        <v/>
      </c>
      <c r="AD46">
        <f>ArchiveAttributeValue($E46, 0, P$5, P$6, 1)</f>
        <v/>
      </c>
      <c r="AE46">
        <f>ArchiveAttributeValue($E46, 0, Q$5, Q$6, 1)</f>
        <v/>
      </c>
      <c r="AF46">
        <f>ArchiveAttributeValue($E46, 0, R$5, R$6, 1)</f>
        <v/>
      </c>
      <c r="AG46">
        <f>ArchiveAttributeValue($E46, 0, S$5, S$6, 1)</f>
        <v/>
      </c>
      <c r="AH46">
        <f>ArchiveAttributeValue($E46, 0, T$5, T$6, 1)</f>
        <v/>
      </c>
    </row>
    <row r="47" ht="20" customHeight="1">
      <c r="C47">
        <f>"AI.AI_Tair"</f>
        <v/>
      </c>
      <c r="D47">
        <f>CONCATENATE($E$3, $E$2, $C47, $E$5)</f>
        <v/>
      </c>
      <c r="E47">
        <f>CONCATENATE($E$3, $E$2, $C47, $E$4)</f>
        <v/>
      </c>
      <c r="F47" s="6">
        <f>"31"</f>
        <v/>
      </c>
      <c r="G47" s="7">
        <f>"Температура наружного воздуха   "</f>
        <v/>
      </c>
      <c r="H47" s="6">
        <f>CurrAttrValue(D47, 0)</f>
        <v/>
      </c>
      <c r="I47" s="8">
        <f>IF(I$4, IF(ISNUMBER(W47), W47, $V47), "-")</f>
        <v/>
      </c>
      <c r="J47" s="8">
        <f>IF(J$4, IF(ISNUMBER(X47), X47, $V47), "-")</f>
        <v/>
      </c>
      <c r="K47" s="8">
        <f>IF(K$4, IF(ISNUMBER(Y47), Y47, $V47), "-")</f>
        <v/>
      </c>
      <c r="L47" s="8">
        <f>IF(L$4, IF(ISNUMBER(Z47), Z47, $V47), "-")</f>
        <v/>
      </c>
      <c r="M47" s="8">
        <f>IF(M$4, IF(ISNUMBER(AA47), AA47, $V47), "-")</f>
        <v/>
      </c>
      <c r="N47" s="8">
        <f>IF(N$4, IF(ISNUMBER(AB47), AB47, $V47), "-")</f>
        <v/>
      </c>
      <c r="O47" s="8">
        <f>IF(O$4, IF(ISNUMBER(AC47), AC47, $V47), "-")</f>
        <v/>
      </c>
      <c r="P47" s="8">
        <f>IF(P$4, IF(ISNUMBER(AD47), AD47, $V47), "-")</f>
        <v/>
      </c>
      <c r="Q47" s="8">
        <f>IF(Q$4, IF(ISNUMBER(AE47), AE47, $V47), "-")</f>
        <v/>
      </c>
      <c r="R47" s="8">
        <f>IF(R$4, IF(ISNUMBER(AF47), AF47, $V47), "-")</f>
        <v/>
      </c>
      <c r="S47" s="9">
        <f>IF(S$4, IF(ISNUMBER(AG47), AG47, $V47), "-")</f>
        <v/>
      </c>
      <c r="T47" s="8">
        <f>IF(T$4, IF(ISNUMBER(AH47), AH47, $V47), "-")</f>
        <v/>
      </c>
      <c r="V47">
        <f>CurrAttrValue(E47, 0)</f>
        <v/>
      </c>
      <c r="W47">
        <f>ArchiveAttributeValue($E47, 0, I$5, I$6, 1)</f>
        <v/>
      </c>
      <c r="X47">
        <f>ArchiveAttributeValue($E47, 0, J$5, J$6, 1)</f>
        <v/>
      </c>
      <c r="Y47">
        <f>ArchiveAttributeValue($E47, 0, K$5, K$6, 1)</f>
        <v/>
      </c>
      <c r="Z47">
        <f>ArchiveAttributeValue($E47, 0, L$5, L$6, 1)</f>
        <v/>
      </c>
      <c r="AA47">
        <f>ArchiveAttributeValue($E47, 0, M$5, M$6, 1)</f>
        <v/>
      </c>
      <c r="AB47">
        <f>ArchiveAttributeValue($E47, 0, N$5, N$6, 1)</f>
        <v/>
      </c>
      <c r="AC47">
        <f>ArchiveAttributeValue($E47, 0, O$5, O$6, 1)</f>
        <v/>
      </c>
      <c r="AD47">
        <f>ArchiveAttributeValue($E47, 0, P$5, P$6, 1)</f>
        <v/>
      </c>
      <c r="AE47">
        <f>ArchiveAttributeValue($E47, 0, Q$5, Q$6, 1)</f>
        <v/>
      </c>
      <c r="AF47">
        <f>ArchiveAttributeValue($E47, 0, R$5, R$6, 1)</f>
        <v/>
      </c>
      <c r="AG47">
        <f>ArchiveAttributeValue($E47, 0, S$5, S$6, 1)</f>
        <v/>
      </c>
      <c r="AH47">
        <f>ArchiveAttributeValue($E47, 0, T$5, T$6, 1)</f>
        <v/>
      </c>
    </row>
    <row r="48" ht="20" customHeight="1">
      <c r="C48">
        <f>"AI.AI_Pg_outTnd"</f>
        <v/>
      </c>
      <c r="D48">
        <f>CONCATENATE($E$3, $E$2, $C48, $E$5)</f>
        <v/>
      </c>
      <c r="E48">
        <f>CONCATENATE($E$3, $E$2, $C48, $E$4)</f>
        <v/>
      </c>
      <c r="F48" s="6">
        <f>"32"</f>
        <v/>
      </c>
      <c r="G48" s="7">
        <f>"Полное давление газа за ТНД  "</f>
        <v/>
      </c>
      <c r="H48" s="6">
        <f>CurrAttrValue(D48, 0)</f>
        <v/>
      </c>
      <c r="I48" s="8">
        <f>IF(I$4, IF(ISNUMBER(W48), W48, $V48), "-")</f>
        <v/>
      </c>
      <c r="J48" s="8">
        <f>IF(J$4, IF(ISNUMBER(X48), X48, $V48), "-")</f>
        <v/>
      </c>
      <c r="K48" s="8">
        <f>IF(K$4, IF(ISNUMBER(Y48), Y48, $V48), "-")</f>
        <v/>
      </c>
      <c r="L48" s="8">
        <f>IF(L$4, IF(ISNUMBER(Z48), Z48, $V48), "-")</f>
        <v/>
      </c>
      <c r="M48" s="8">
        <f>IF(M$4, IF(ISNUMBER(AA48), AA48, $V48), "-")</f>
        <v/>
      </c>
      <c r="N48" s="8">
        <f>IF(N$4, IF(ISNUMBER(AB48), AB48, $V48), "-")</f>
        <v/>
      </c>
      <c r="O48" s="8">
        <f>IF(O$4, IF(ISNUMBER(AC48), AC48, $V48), "-")</f>
        <v/>
      </c>
      <c r="P48" s="8">
        <f>IF(P$4, IF(ISNUMBER(AD48), AD48, $V48), "-")</f>
        <v/>
      </c>
      <c r="Q48" s="8">
        <f>IF(Q$4, IF(ISNUMBER(AE48), AE48, $V48), "-")</f>
        <v/>
      </c>
      <c r="R48" s="8">
        <f>IF(R$4, IF(ISNUMBER(AF48), AF48, $V48), "-")</f>
        <v/>
      </c>
      <c r="S48" s="9">
        <f>IF(S$4, IF(ISNUMBER(AG48), AG48, $V48), "-")</f>
        <v/>
      </c>
      <c r="T48" s="8">
        <f>IF(T$4, IF(ISNUMBER(AH48), AH48, $V48), "-")</f>
        <v/>
      </c>
      <c r="V48">
        <f>CurrAttrValue(E48, 0)</f>
        <v/>
      </c>
      <c r="W48">
        <f>ArchiveAttributeValue($E48, 0, I$5, I$6, 1)</f>
        <v/>
      </c>
      <c r="X48">
        <f>ArchiveAttributeValue($E48, 0, J$5, J$6, 1)</f>
        <v/>
      </c>
      <c r="Y48">
        <f>ArchiveAttributeValue($E48, 0, K$5, K$6, 1)</f>
        <v/>
      </c>
      <c r="Z48">
        <f>ArchiveAttributeValue($E48, 0, L$5, L$6, 1)</f>
        <v/>
      </c>
      <c r="AA48">
        <f>ArchiveAttributeValue($E48, 0, M$5, M$6, 1)</f>
        <v/>
      </c>
      <c r="AB48">
        <f>ArchiveAttributeValue($E48, 0, N$5, N$6, 1)</f>
        <v/>
      </c>
      <c r="AC48">
        <f>ArchiveAttributeValue($E48, 0, O$5, O$6, 1)</f>
        <v/>
      </c>
      <c r="AD48">
        <f>ArchiveAttributeValue($E48, 0, P$5, P$6, 1)</f>
        <v/>
      </c>
      <c r="AE48">
        <f>ArchiveAttributeValue($E48, 0, Q$5, Q$6, 1)</f>
        <v/>
      </c>
      <c r="AF48">
        <f>ArchiveAttributeValue($E48, 0, R$5, R$6, 1)</f>
        <v/>
      </c>
      <c r="AG48">
        <f>ArchiveAttributeValue($E48, 0, S$5, S$6, 1)</f>
        <v/>
      </c>
      <c r="AH48">
        <f>ArchiveAttributeValue($E48, 0, T$5, T$6, 1)</f>
        <v/>
      </c>
    </row>
    <row r="49" ht="20" customHeight="1">
      <c r="C49">
        <f>"AI.AI_Pg_inN"</f>
        <v/>
      </c>
      <c r="D49">
        <f>CONCATENATE($E$3, $E$2, $C49, $E$5)</f>
        <v/>
      </c>
      <c r="E49">
        <f>CONCATENATE($E$3, $E$2, $C49, $E$4)</f>
        <v/>
      </c>
      <c r="F49" s="6">
        <f>"33"</f>
        <v/>
      </c>
      <c r="G49" s="7">
        <f>"Давление газа перед Н  "</f>
        <v/>
      </c>
      <c r="H49" s="6">
        <f>CurrAttrValue(D49, 0)</f>
        <v/>
      </c>
      <c r="I49" s="8">
        <f>IF(I$4, IF(ISNUMBER(W49), W49, $V49), "-")</f>
        <v/>
      </c>
      <c r="J49" s="8">
        <f>IF(J$4, IF(ISNUMBER(X49), X49, $V49), "-")</f>
        <v/>
      </c>
      <c r="K49" s="8">
        <f>IF(K$4, IF(ISNUMBER(Y49), Y49, $V49), "-")</f>
        <v/>
      </c>
      <c r="L49" s="8">
        <f>IF(L$4, IF(ISNUMBER(Z49), Z49, $V49), "-")</f>
        <v/>
      </c>
      <c r="M49" s="8">
        <f>IF(M$4, IF(ISNUMBER(AA49), AA49, $V49), "-")</f>
        <v/>
      </c>
      <c r="N49" s="8">
        <f>IF(N$4, IF(ISNUMBER(AB49), AB49, $V49), "-")</f>
        <v/>
      </c>
      <c r="O49" s="8">
        <f>IF(O$4, IF(ISNUMBER(AC49), AC49, $V49), "-")</f>
        <v/>
      </c>
      <c r="P49" s="8">
        <f>IF(P$4, IF(ISNUMBER(AD49), AD49, $V49), "-")</f>
        <v/>
      </c>
      <c r="Q49" s="8">
        <f>IF(Q$4, IF(ISNUMBER(AE49), AE49, $V49), "-")</f>
        <v/>
      </c>
      <c r="R49" s="8">
        <f>IF(R$4, IF(ISNUMBER(AF49), AF49, $V49), "-")</f>
        <v/>
      </c>
      <c r="S49" s="9">
        <f>IF(S$4, IF(ISNUMBER(AG49), AG49, $V49), "-")</f>
        <v/>
      </c>
      <c r="T49" s="8">
        <f>IF(T$4, IF(ISNUMBER(AH49), AH49, $V49), "-")</f>
        <v/>
      </c>
      <c r="V49">
        <f>CurrAttrValue(E49, 0)</f>
        <v/>
      </c>
      <c r="W49">
        <f>ArchiveAttributeValue($E49, 0, I$5, I$6, 1)</f>
        <v/>
      </c>
      <c r="X49">
        <f>ArchiveAttributeValue($E49, 0, J$5, J$6, 1)</f>
        <v/>
      </c>
      <c r="Y49">
        <f>ArchiveAttributeValue($E49, 0, K$5, K$6, 1)</f>
        <v/>
      </c>
      <c r="Z49">
        <f>ArchiveAttributeValue($E49, 0, L$5, L$6, 1)</f>
        <v/>
      </c>
      <c r="AA49">
        <f>ArchiveAttributeValue($E49, 0, M$5, M$6, 1)</f>
        <v/>
      </c>
      <c r="AB49">
        <f>ArchiveAttributeValue($E49, 0, N$5, N$6, 1)</f>
        <v/>
      </c>
      <c r="AC49">
        <f>ArchiveAttributeValue($E49, 0, O$5, O$6, 1)</f>
        <v/>
      </c>
      <c r="AD49">
        <f>ArchiveAttributeValue($E49, 0, P$5, P$6, 1)</f>
        <v/>
      </c>
      <c r="AE49">
        <f>ArchiveAttributeValue($E49, 0, Q$5, Q$6, 1)</f>
        <v/>
      </c>
      <c r="AF49">
        <f>ArchiveAttributeValue($E49, 0, R$5, R$6, 1)</f>
        <v/>
      </c>
      <c r="AG49">
        <f>ArchiveAttributeValue($E49, 0, S$5, S$6, 1)</f>
        <v/>
      </c>
      <c r="AH49">
        <f>ArchiveAttributeValue($E49, 0, T$5, T$6, 1)</f>
        <v/>
      </c>
    </row>
    <row r="50" ht="20" customHeight="1">
      <c r="C50">
        <f>"AI.AI_Pmsn"</f>
        <v/>
      </c>
      <c r="D50">
        <f>CONCATENATE($E$3, $E$2, $C50, $E$5)</f>
        <v/>
      </c>
      <c r="E50">
        <f>CONCATENATE($E$3, $E$2, $C50, $E$4)</f>
        <v/>
      </c>
      <c r="F50" s="6">
        <f>"34"</f>
        <v/>
      </c>
      <c r="G50" s="7">
        <f>"Давление масла на смазку подшипников нагнетателя  "</f>
        <v/>
      </c>
      <c r="H50" s="6">
        <f>CurrAttrValue(D50, 0)</f>
        <v/>
      </c>
      <c r="I50" s="8">
        <f>IF(I$4, IF(ISNUMBER(W50), W50, $V50), "-")</f>
        <v/>
      </c>
      <c r="J50" s="8">
        <f>IF(J$4, IF(ISNUMBER(X50), X50, $V50), "-")</f>
        <v/>
      </c>
      <c r="K50" s="8">
        <f>IF(K$4, IF(ISNUMBER(Y50), Y50, $V50), "-")</f>
        <v/>
      </c>
      <c r="L50" s="8">
        <f>IF(L$4, IF(ISNUMBER(Z50), Z50, $V50), "-")</f>
        <v/>
      </c>
      <c r="M50" s="8">
        <f>IF(M$4, IF(ISNUMBER(AA50), AA50, $V50), "-")</f>
        <v/>
      </c>
      <c r="N50" s="8">
        <f>IF(N$4, IF(ISNUMBER(AB50), AB50, $V50), "-")</f>
        <v/>
      </c>
      <c r="O50" s="8">
        <f>IF(O$4, IF(ISNUMBER(AC50), AC50, $V50), "-")</f>
        <v/>
      </c>
      <c r="P50" s="8">
        <f>IF(P$4, IF(ISNUMBER(AD50), AD50, $V50), "-")</f>
        <v/>
      </c>
      <c r="Q50" s="8">
        <f>IF(Q$4, IF(ISNUMBER(AE50), AE50, $V50), "-")</f>
        <v/>
      </c>
      <c r="R50" s="8">
        <f>IF(R$4, IF(ISNUMBER(AF50), AF50, $V50), "-")</f>
        <v/>
      </c>
      <c r="S50" s="9">
        <f>IF(S$4, IF(ISNUMBER(AG50), AG50, $V50), "-")</f>
        <v/>
      </c>
      <c r="T50" s="8">
        <f>IF(T$4, IF(ISNUMBER(AH50), AH50, $V50), "-")</f>
        <v/>
      </c>
      <c r="V50">
        <f>CurrAttrValue(E50, 0)</f>
        <v/>
      </c>
      <c r="W50">
        <f>ArchiveAttributeValue($E50, 0, I$5, I$6, 1)</f>
        <v/>
      </c>
      <c r="X50">
        <f>ArchiveAttributeValue($E50, 0, J$5, J$6, 1)</f>
        <v/>
      </c>
      <c r="Y50">
        <f>ArchiveAttributeValue($E50, 0, K$5, K$6, 1)</f>
        <v/>
      </c>
      <c r="Z50">
        <f>ArchiveAttributeValue($E50, 0, L$5, L$6, 1)</f>
        <v/>
      </c>
      <c r="AA50">
        <f>ArchiveAttributeValue($E50, 0, M$5, M$6, 1)</f>
        <v/>
      </c>
      <c r="AB50">
        <f>ArchiveAttributeValue($E50, 0, N$5, N$6, 1)</f>
        <v/>
      </c>
      <c r="AC50">
        <f>ArchiveAttributeValue($E50, 0, O$5, O$6, 1)</f>
        <v/>
      </c>
      <c r="AD50">
        <f>ArchiveAttributeValue($E50, 0, P$5, P$6, 1)</f>
        <v/>
      </c>
      <c r="AE50">
        <f>ArchiveAttributeValue($E50, 0, Q$5, Q$6, 1)</f>
        <v/>
      </c>
      <c r="AF50">
        <f>ArchiveAttributeValue($E50, 0, R$5, R$6, 1)</f>
        <v/>
      </c>
      <c r="AG50">
        <f>ArchiveAttributeValue($E50, 0, S$5, S$6, 1)</f>
        <v/>
      </c>
      <c r="AH50">
        <f>ArchiveAttributeValue($E50, 0, T$5, T$6, 1)</f>
        <v/>
      </c>
    </row>
    <row r="51" ht="20" customHeight="1">
      <c r="C51">
        <f>"AI.AI_Patm"</f>
        <v/>
      </c>
      <c r="D51">
        <f>CONCATENATE($E$3, $E$2, $C51, $E$5)</f>
        <v/>
      </c>
      <c r="E51">
        <f>CONCATENATE($E$3, $E$2, $C51, $E$4)</f>
        <v/>
      </c>
      <c r="F51" s="6">
        <f>"35"</f>
        <v/>
      </c>
      <c r="G51" s="7">
        <f>"Атмосферное давление наружного воздуха  "</f>
        <v/>
      </c>
      <c r="H51" s="6">
        <f>CurrAttrValue(D51, 0)</f>
        <v/>
      </c>
      <c r="I51" s="8">
        <f>IF(I$4, IF(ISNUMBER(W51), W51, $V51), "-")</f>
        <v/>
      </c>
      <c r="J51" s="8">
        <f>IF(J$4, IF(ISNUMBER(X51), X51, $V51), "-")</f>
        <v/>
      </c>
      <c r="K51" s="8">
        <f>IF(K$4, IF(ISNUMBER(Y51), Y51, $V51), "-")</f>
        <v/>
      </c>
      <c r="L51" s="8">
        <f>IF(L$4, IF(ISNUMBER(Z51), Z51, $V51), "-")</f>
        <v/>
      </c>
      <c r="M51" s="8">
        <f>IF(M$4, IF(ISNUMBER(AA51), AA51, $V51), "-")</f>
        <v/>
      </c>
      <c r="N51" s="8">
        <f>IF(N$4, IF(ISNUMBER(AB51), AB51, $V51), "-")</f>
        <v/>
      </c>
      <c r="O51" s="8">
        <f>IF(O$4, IF(ISNUMBER(AC51), AC51, $V51), "-")</f>
        <v/>
      </c>
      <c r="P51" s="8">
        <f>IF(P$4, IF(ISNUMBER(AD51), AD51, $V51), "-")</f>
        <v/>
      </c>
      <c r="Q51" s="8">
        <f>IF(Q$4, IF(ISNUMBER(AE51), AE51, $V51), "-")</f>
        <v/>
      </c>
      <c r="R51" s="8">
        <f>IF(R$4, IF(ISNUMBER(AF51), AF51, $V51), "-")</f>
        <v/>
      </c>
      <c r="S51" s="9">
        <f>IF(S$4, IF(ISNUMBER(AG51), AG51, $V51), "-")</f>
        <v/>
      </c>
      <c r="T51" s="8">
        <f>IF(T$4, IF(ISNUMBER(AH51), AH51, $V51), "-")</f>
        <v/>
      </c>
      <c r="V51">
        <f>CurrAttrValue(E51, 0)</f>
        <v/>
      </c>
      <c r="W51">
        <f>ArchiveAttributeValue($E51, 0, I$5, I$6, 1)</f>
        <v/>
      </c>
      <c r="X51">
        <f>ArchiveAttributeValue($E51, 0, J$5, J$6, 1)</f>
        <v/>
      </c>
      <c r="Y51">
        <f>ArchiveAttributeValue($E51, 0, K$5, K$6, 1)</f>
        <v/>
      </c>
      <c r="Z51">
        <f>ArchiveAttributeValue($E51, 0, L$5, L$6, 1)</f>
        <v/>
      </c>
      <c r="AA51">
        <f>ArchiveAttributeValue($E51, 0, M$5, M$6, 1)</f>
        <v/>
      </c>
      <c r="AB51">
        <f>ArchiveAttributeValue($E51, 0, N$5, N$6, 1)</f>
        <v/>
      </c>
      <c r="AC51">
        <f>ArchiveAttributeValue($E51, 0, O$5, O$6, 1)</f>
        <v/>
      </c>
      <c r="AD51">
        <f>ArchiveAttributeValue($E51, 0, P$5, P$6, 1)</f>
        <v/>
      </c>
      <c r="AE51">
        <f>ArchiveAttributeValue($E51, 0, Q$5, Q$6, 1)</f>
        <v/>
      </c>
      <c r="AF51">
        <f>ArchiveAttributeValue($E51, 0, R$5, R$6, 1)</f>
        <v/>
      </c>
      <c r="AG51">
        <f>ArchiveAttributeValue($E51, 0, S$5, S$6, 1)</f>
        <v/>
      </c>
      <c r="AH51">
        <f>ArchiveAttributeValue($E51, 0, T$5, T$6, 1)</f>
        <v/>
      </c>
    </row>
    <row r="52" ht="20" customHeight="1">
      <c r="C52">
        <f>"AE.AE_QTG"</f>
        <v/>
      </c>
      <c r="D52">
        <f>CONCATENATE($E$3, $E$2, $C52, $E$5)</f>
        <v/>
      </c>
      <c r="E52">
        <f>CONCATENATE($E$3, $E$2, $C52, $E$4)</f>
        <v/>
      </c>
      <c r="F52" s="6">
        <f>"36"</f>
        <v/>
      </c>
      <c r="G52" s="7">
        <f>"Объемный рассход топливного газа  "</f>
        <v/>
      </c>
      <c r="H52" s="6">
        <f>CurrAttrValue(D52, 0)</f>
        <v/>
      </c>
      <c r="I52" s="8">
        <f>IF(I$4, IF(ISNUMBER(W52), W52, $V52), "-")</f>
        <v/>
      </c>
      <c r="J52" s="8">
        <f>IF(J$4, IF(ISNUMBER(X52), X52, $V52), "-")</f>
        <v/>
      </c>
      <c r="K52" s="8">
        <f>IF(K$4, IF(ISNUMBER(Y52), Y52, $V52), "-")</f>
        <v/>
      </c>
      <c r="L52" s="8">
        <f>IF(L$4, IF(ISNUMBER(Z52), Z52, $V52), "-")</f>
        <v/>
      </c>
      <c r="M52" s="8">
        <f>IF(M$4, IF(ISNUMBER(AA52), AA52, $V52), "-")</f>
        <v/>
      </c>
      <c r="N52" s="8">
        <f>IF(N$4, IF(ISNUMBER(AB52), AB52, $V52), "-")</f>
        <v/>
      </c>
      <c r="O52" s="8">
        <f>IF(O$4, IF(ISNUMBER(AC52), AC52, $V52), "-")</f>
        <v/>
      </c>
      <c r="P52" s="8">
        <f>IF(P$4, IF(ISNUMBER(AD52), AD52, $V52), "-")</f>
        <v/>
      </c>
      <c r="Q52" s="8">
        <f>IF(Q$4, IF(ISNUMBER(AE52), AE52, $V52), "-")</f>
        <v/>
      </c>
      <c r="R52" s="8">
        <f>IF(R$4, IF(ISNUMBER(AF52), AF52, $V52), "-")</f>
        <v/>
      </c>
      <c r="S52" s="9">
        <f>IF(S$4, IF(ISNUMBER(AG52), AG52, $V52), "-")</f>
        <v/>
      </c>
      <c r="T52" s="8">
        <f>IF(T$4, IF(ISNUMBER(AH52), AH52, $V52), "-")</f>
        <v/>
      </c>
      <c r="V52">
        <f>CurrAttrValue(E52, 0)</f>
        <v/>
      </c>
      <c r="W52">
        <f>ArchiveAttributeValue($E52, 0, I$5, I$6, 1)</f>
        <v/>
      </c>
      <c r="X52">
        <f>ArchiveAttributeValue($E52, 0, J$5, J$6, 1)</f>
        <v/>
      </c>
      <c r="Y52">
        <f>ArchiveAttributeValue($E52, 0, K$5, K$6, 1)</f>
        <v/>
      </c>
      <c r="Z52">
        <f>ArchiveAttributeValue($E52, 0, L$5, L$6, 1)</f>
        <v/>
      </c>
      <c r="AA52">
        <f>ArchiveAttributeValue($E52, 0, M$5, M$6, 1)</f>
        <v/>
      </c>
      <c r="AB52">
        <f>ArchiveAttributeValue($E52, 0, N$5, N$6, 1)</f>
        <v/>
      </c>
      <c r="AC52">
        <f>ArchiveAttributeValue($E52, 0, O$5, O$6, 1)</f>
        <v/>
      </c>
      <c r="AD52">
        <f>ArchiveAttributeValue($E52, 0, P$5, P$6, 1)</f>
        <v/>
      </c>
      <c r="AE52">
        <f>ArchiveAttributeValue($E52, 0, Q$5, Q$6, 1)</f>
        <v/>
      </c>
      <c r="AF52">
        <f>ArchiveAttributeValue($E52, 0, R$5, R$6, 1)</f>
        <v/>
      </c>
      <c r="AG52">
        <f>ArchiveAttributeValue($E52, 0, S$5, S$6, 1)</f>
        <v/>
      </c>
      <c r="AH52">
        <f>ArchiveAttributeValue($E52, 0, T$5, T$6, 1)</f>
        <v/>
      </c>
    </row>
    <row r="55" ht="35" customHeight="1">
      <c r="G55" s="11">
        <f>"должность"</f>
        <v/>
      </c>
      <c r="H55" s="12" t="n"/>
      <c r="I55" s="12" t="n"/>
      <c r="J55" s="11">
        <f>"ФИО"</f>
        <v/>
      </c>
      <c r="K55" s="12" t="n"/>
      <c r="L55" s="12" t="n"/>
      <c r="M55" s="11">
        <f>"подпись"</f>
        <v/>
      </c>
      <c r="N55" s="12" t="n"/>
    </row>
    <row r="56" ht="35" customHeight="1">
      <c r="G56" s="11">
        <f>"должность"</f>
        <v/>
      </c>
      <c r="H56" s="12" t="n"/>
      <c r="I56" s="12" t="n"/>
      <c r="J56" s="11">
        <f>"ФИО"</f>
        <v/>
      </c>
      <c r="K56" s="12" t="n"/>
      <c r="L56" s="12" t="n"/>
      <c r="M56" s="11">
        <f>"подпись"</f>
        <v/>
      </c>
      <c r="N56" s="12" t="n"/>
    </row>
    <row r="57" ht="35" customHeight="1">
      <c r="G57" s="11">
        <f>"должность"</f>
        <v/>
      </c>
      <c r="H57" s="12" t="n"/>
      <c r="I57" s="12" t="n"/>
      <c r="J57" s="11">
        <f>"ФИО"</f>
        <v/>
      </c>
      <c r="K57" s="12" t="n"/>
      <c r="L57" s="12" t="n"/>
      <c r="M57" s="11">
        <f>"подпись"</f>
        <v/>
      </c>
      <c r="N57" s="1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2022-04-29T08:20:00Z</dcterms:created>
  <dcterms:modified xmlns:dcterms="http://purl.org/dc/terms/" xmlns:xsi="http://www.w3.org/2001/XMLSchema-instance" xsi:type="dcterms:W3CDTF">2022-04-29T08:20:00Z</dcterms:modified>
</cp:coreProperties>
</file>