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33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  <col width="15" customWidth="1" min="18" max="18"/>
    <col width="15" customWidth="1" min="19" max="19"/>
    <col width="13" customWidth="1" min="20" max="20"/>
    <col width="15" customWidth="1" min="21" max="21"/>
    <col width="12" customWidth="1" min="22" max="22"/>
    <col width="30" customWidth="1" min="23" max="23"/>
  </cols>
  <sheetData>
    <row r="1" ht="25" customHeight="1">
      <c r="A1">
        <f>"GPA2."</f>
        <v/>
      </c>
      <c r="Q1" s="1">
        <f>"Протокол проверки защит ГПА №2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119" ht="20" customHeight="1">
      <c r="A119">
        <f>"System.PZ.A000"</f>
        <v/>
      </c>
      <c r="B119">
        <f>CONCATENATE($A$2, $A$1, $A119, B$2)</f>
        <v/>
      </c>
      <c r="C119">
        <f>CONCATENATE($A$2, $A$1, $A119, C$2)</f>
        <v/>
      </c>
      <c r="D119">
        <f>CONCATENATE($A$2, $A$1, $A119, D$2)</f>
        <v/>
      </c>
      <c r="E119">
        <f>CONCATENATE($A$2, $A$1, $A119, E$2)</f>
        <v/>
      </c>
      <c r="F119">
        <f>CONCATENATE($A$2, $A$1, $A119, F$2)</f>
        <v/>
      </c>
      <c r="G119">
        <f>CONCATENATE($A$2, $A$1, $A119, G$2)</f>
        <v/>
      </c>
      <c r="H119">
        <f>CONCATENATE($A$2, $A$1, $A119, H$2)</f>
        <v/>
      </c>
      <c r="I119">
        <f>CONCATENATE($A$2, $A$1, $A119, I$2)</f>
        <v/>
      </c>
      <c r="J119">
        <f>CONCATENATE($A$2, $A$1, $A119, J$2)</f>
        <v/>
      </c>
      <c r="K119">
        <f>CurrAttrValue(D119, 0)</f>
        <v/>
      </c>
      <c r="L119">
        <f>CurrAttrValue(E119, 0)</f>
        <v/>
      </c>
      <c r="M119">
        <f>CurrAttrValue(H119, 0)</f>
        <v/>
      </c>
      <c r="N119">
        <f>CurrAttrValue(I119, 0)</f>
        <v/>
      </c>
      <c r="O119">
        <f>CurrAttrValue(J119, 0)</f>
        <v/>
      </c>
      <c r="P119" s="5">
        <f>"84"</f>
        <v/>
      </c>
      <c r="Q119" s="6">
        <f>"АОбс. От ТР: Обороты ТК. Зависание стартера  "</f>
        <v/>
      </c>
      <c r="R119" s="7">
        <f>IF(N119, S119, "")</f>
        <v/>
      </c>
      <c r="S119" s="7">
        <f>CurrAttrValue(C119, 0)</f>
        <v/>
      </c>
      <c r="T119" s="5">
        <f>IF(K119=-200, "д.вх.", K119)</f>
        <v/>
      </c>
      <c r="U119" s="5">
        <f>IF(L119=-200, "д.вх.", IF(N119, O119, L119))</f>
        <v/>
      </c>
      <c r="V119" s="5">
        <f>CurrAttrValue(G119, 0)</f>
        <v/>
      </c>
      <c r="W119" s="5">
        <f>IF(M119, "Блокирована", IF(N119, "Проверено", "-"))</f>
        <v/>
      </c>
    </row>
    <row r="120" ht="20" customHeight="1">
      <c r="A120">
        <f>"System.PZ.A001"</f>
        <v/>
      </c>
      <c r="B120">
        <f>CONCATENATE($A$2, $A$1, $A120, B$2)</f>
        <v/>
      </c>
      <c r="C120">
        <f>CONCATENATE($A$2, $A$1, $A120, C$2)</f>
        <v/>
      </c>
      <c r="D120">
        <f>CONCATENATE($A$2, $A$1, $A120, D$2)</f>
        <v/>
      </c>
      <c r="E120">
        <f>CONCATENATE($A$2, $A$1, $A120, E$2)</f>
        <v/>
      </c>
      <c r="F120">
        <f>CONCATENATE($A$2, $A$1, $A120, F$2)</f>
        <v/>
      </c>
      <c r="G120">
        <f>CONCATENATE($A$2, $A$1, $A120, G$2)</f>
        <v/>
      </c>
      <c r="H120">
        <f>CONCATENATE($A$2, $A$1, $A120, H$2)</f>
        <v/>
      </c>
      <c r="I120">
        <f>CONCATENATE($A$2, $A$1, $A120, I$2)</f>
        <v/>
      </c>
      <c r="J120">
        <f>CONCATENATE($A$2, $A$1, $A120, J$2)</f>
        <v/>
      </c>
      <c r="K120">
        <f>CurrAttrValue(D120, 0)</f>
        <v/>
      </c>
      <c r="L120">
        <f>CurrAttrValue(E120, 0)</f>
        <v/>
      </c>
      <c r="M120">
        <f>CurrAttrValue(H120, 0)</f>
        <v/>
      </c>
      <c r="N120">
        <f>CurrAttrValue(I120, 0)</f>
        <v/>
      </c>
      <c r="O120">
        <f>CurrAttrValue(J120, 0)</f>
        <v/>
      </c>
      <c r="P120" s="5">
        <f>"85"</f>
        <v/>
      </c>
      <c r="Q120" s="6">
        <f>"АОбс. От ТР: Низкие обороты ТК. Нет розжига  "</f>
        <v/>
      </c>
      <c r="R120" s="7">
        <f>IF(N120, S120, "")</f>
        <v/>
      </c>
      <c r="S120" s="7">
        <f>CurrAttrValue(C120, 0)</f>
        <v/>
      </c>
      <c r="T120" s="5">
        <f>IF(K120=-200, "д.вх.", K120)</f>
        <v/>
      </c>
      <c r="U120" s="5">
        <f>IF(L120=-200, "д.вх.", IF(N120, O120, L120))</f>
        <v/>
      </c>
      <c r="V120" s="5">
        <f>CurrAttrValue(G120, 0)</f>
        <v/>
      </c>
      <c r="W120" s="5">
        <f>IF(M120, "Блокирована", IF(N120, "Проверено", "-"))</f>
        <v/>
      </c>
    </row>
    <row r="121" ht="20" customHeight="1">
      <c r="A121">
        <f>"System.PZ.A002"</f>
        <v/>
      </c>
      <c r="B121">
        <f>CONCATENATE($A$2, $A$1, $A121, B$2)</f>
        <v/>
      </c>
      <c r="C121">
        <f>CONCATENATE($A$2, $A$1, $A121, C$2)</f>
        <v/>
      </c>
      <c r="D121">
        <f>CONCATENATE($A$2, $A$1, $A121, D$2)</f>
        <v/>
      </c>
      <c r="E121">
        <f>CONCATENATE($A$2, $A$1, $A121, E$2)</f>
        <v/>
      </c>
      <c r="F121">
        <f>CONCATENATE($A$2, $A$1, $A121, F$2)</f>
        <v/>
      </c>
      <c r="G121">
        <f>CONCATENATE($A$2, $A$1, $A121, G$2)</f>
        <v/>
      </c>
      <c r="H121">
        <f>CONCATENATE($A$2, $A$1, $A121, H$2)</f>
        <v/>
      </c>
      <c r="I121">
        <f>CONCATENATE($A$2, $A$1, $A121, I$2)</f>
        <v/>
      </c>
      <c r="J121">
        <f>CONCATENATE($A$2, $A$1, $A121, J$2)</f>
        <v/>
      </c>
      <c r="K121">
        <f>CurrAttrValue(D121, 0)</f>
        <v/>
      </c>
      <c r="L121">
        <f>CurrAttrValue(E121, 0)</f>
        <v/>
      </c>
      <c r="M121">
        <f>CurrAttrValue(H121, 0)</f>
        <v/>
      </c>
      <c r="N121">
        <f>CurrAttrValue(I121, 0)</f>
        <v/>
      </c>
      <c r="O121">
        <f>CurrAttrValue(J121, 0)</f>
        <v/>
      </c>
      <c r="P121" s="5">
        <f>"86"</f>
        <v/>
      </c>
      <c r="Q121" s="6">
        <f>"АОбс. От ТР: Ускорение ТК при зажигании  "</f>
        <v/>
      </c>
      <c r="R121" s="7">
        <f>IF(N121, S121, "")</f>
        <v/>
      </c>
      <c r="S121" s="7">
        <f>CurrAttrValue(C121, 0)</f>
        <v/>
      </c>
      <c r="T121" s="5">
        <f>IF(K121=-200, "д.вх.", K121)</f>
        <v/>
      </c>
      <c r="U121" s="5">
        <f>IF(L121=-200, "д.вх.", IF(N121, O121, L121))</f>
        <v/>
      </c>
      <c r="V121" s="5">
        <f>CurrAttrValue(G121, 0)</f>
        <v/>
      </c>
      <c r="W121" s="5">
        <f>IF(M121, "Блокирована", IF(N121, "Проверено", "-"))</f>
        <v/>
      </c>
    </row>
    <row r="122" ht="20" customHeight="1">
      <c r="A122">
        <f>"System.PZ.A003"</f>
        <v/>
      </c>
      <c r="B122">
        <f>CONCATENATE($A$2, $A$1, $A122, B$2)</f>
        <v/>
      </c>
      <c r="C122">
        <f>CONCATENATE($A$2, $A$1, $A122, C$2)</f>
        <v/>
      </c>
      <c r="D122">
        <f>CONCATENATE($A$2, $A$1, $A122, D$2)</f>
        <v/>
      </c>
      <c r="E122">
        <f>CONCATENATE($A$2, $A$1, $A122, E$2)</f>
        <v/>
      </c>
      <c r="F122">
        <f>CONCATENATE($A$2, $A$1, $A122, F$2)</f>
        <v/>
      </c>
      <c r="G122">
        <f>CONCATENATE($A$2, $A$1, $A122, G$2)</f>
        <v/>
      </c>
      <c r="H122">
        <f>CONCATENATE($A$2, $A$1, $A122, H$2)</f>
        <v/>
      </c>
      <c r="I122">
        <f>CONCATENATE($A$2, $A$1, $A122, I$2)</f>
        <v/>
      </c>
      <c r="J122">
        <f>CONCATENATE($A$2, $A$1, $A122, J$2)</f>
        <v/>
      </c>
      <c r="K122">
        <f>CurrAttrValue(D122, 0)</f>
        <v/>
      </c>
      <c r="L122">
        <f>CurrAttrValue(E122, 0)</f>
        <v/>
      </c>
      <c r="M122">
        <f>CurrAttrValue(H122, 0)</f>
        <v/>
      </c>
      <c r="N122">
        <f>CurrAttrValue(I122, 0)</f>
        <v/>
      </c>
      <c r="O122">
        <f>CurrAttrValue(J122, 0)</f>
        <v/>
      </c>
      <c r="P122" s="5">
        <f>"87"</f>
        <v/>
      </c>
      <c r="Q122" s="6">
        <f>"АОбс. От ТР: Зависание ТК. Выход на МГ &gt; 10с  "</f>
        <v/>
      </c>
      <c r="R122" s="7">
        <f>IF(N122, S122, "")</f>
        <v/>
      </c>
      <c r="S122" s="7">
        <f>CurrAttrValue(C122, 0)</f>
        <v/>
      </c>
      <c r="T122" s="5">
        <f>IF(K122=-200, "д.вх.", K122)</f>
        <v/>
      </c>
      <c r="U122" s="5">
        <f>IF(L122=-200, "д.вх.", IF(N122, O122, L122))</f>
        <v/>
      </c>
      <c r="V122" s="5">
        <f>CurrAttrValue(G122, 0)</f>
        <v/>
      </c>
      <c r="W122" s="5">
        <f>IF(M122, "Блокирована", IF(N122, "Проверено", "-"))</f>
        <v/>
      </c>
    </row>
    <row r="123" ht="20" customHeight="1">
      <c r="A123">
        <f>"System.PZ.A004"</f>
        <v/>
      </c>
      <c r="B123">
        <f>CONCATENATE($A$2, $A$1, $A123, B$2)</f>
        <v/>
      </c>
      <c r="C123">
        <f>CONCATENATE($A$2, $A$1, $A123, C$2)</f>
        <v/>
      </c>
      <c r="D123">
        <f>CONCATENATE($A$2, $A$1, $A123, D$2)</f>
        <v/>
      </c>
      <c r="E123">
        <f>CONCATENATE($A$2, $A$1, $A123, E$2)</f>
        <v/>
      </c>
      <c r="F123">
        <f>CONCATENATE($A$2, $A$1, $A123, F$2)</f>
        <v/>
      </c>
      <c r="G123">
        <f>CONCATENATE($A$2, $A$1, $A123, G$2)</f>
        <v/>
      </c>
      <c r="H123">
        <f>CONCATENATE($A$2, $A$1, $A123, H$2)</f>
        <v/>
      </c>
      <c r="I123">
        <f>CONCATENATE($A$2, $A$1, $A123, I$2)</f>
        <v/>
      </c>
      <c r="J123">
        <f>CONCATENATE($A$2, $A$1, $A123, J$2)</f>
        <v/>
      </c>
      <c r="K123">
        <f>CurrAttrValue(D123, 0)</f>
        <v/>
      </c>
      <c r="L123">
        <f>CurrAttrValue(E123, 0)</f>
        <v/>
      </c>
      <c r="M123">
        <f>CurrAttrValue(H123, 0)</f>
        <v/>
      </c>
      <c r="N123">
        <f>CurrAttrValue(I123, 0)</f>
        <v/>
      </c>
      <c r="O123">
        <f>CurrAttrValue(J123, 0)</f>
        <v/>
      </c>
      <c r="P123" s="5">
        <f>"88"</f>
        <v/>
      </c>
      <c r="Q123" s="6">
        <f>"АОбс. От ТР: Отказ всех каналов Nтк и Nст  "</f>
        <v/>
      </c>
      <c r="R123" s="7">
        <f>IF(N123, S123, "")</f>
        <v/>
      </c>
      <c r="S123" s="7">
        <f>CurrAttrValue(C123, 0)</f>
        <v/>
      </c>
      <c r="T123" s="5">
        <f>IF(K123=-200, "д.вх.", K123)</f>
        <v/>
      </c>
      <c r="U123" s="5">
        <f>IF(L123=-200, "д.вх.", IF(N123, O123, L123))</f>
        <v/>
      </c>
      <c r="V123" s="5">
        <f>CurrAttrValue(G123, 0)</f>
        <v/>
      </c>
      <c r="W123" s="5">
        <f>IF(M123, "Блокирована", IF(N123, "Проверено", "-"))</f>
        <v/>
      </c>
    </row>
    <row r="124" ht="20" customHeight="1">
      <c r="A124">
        <f>"System.PZ.A005"</f>
        <v/>
      </c>
      <c r="B124">
        <f>CONCATENATE($A$2, $A$1, $A124, B$2)</f>
        <v/>
      </c>
      <c r="C124">
        <f>CONCATENATE($A$2, $A$1, $A124, C$2)</f>
        <v/>
      </c>
      <c r="D124">
        <f>CONCATENATE($A$2, $A$1, $A124, D$2)</f>
        <v/>
      </c>
      <c r="E124">
        <f>CONCATENATE($A$2, $A$1, $A124, E$2)</f>
        <v/>
      </c>
      <c r="F124">
        <f>CONCATENATE($A$2, $A$1, $A124, F$2)</f>
        <v/>
      </c>
      <c r="G124">
        <f>CONCATENATE($A$2, $A$1, $A124, G$2)</f>
        <v/>
      </c>
      <c r="H124">
        <f>CONCATENATE($A$2, $A$1, $A124, H$2)</f>
        <v/>
      </c>
      <c r="I124">
        <f>CONCATENATE($A$2, $A$1, $A124, I$2)</f>
        <v/>
      </c>
      <c r="J124">
        <f>CONCATENATE($A$2, $A$1, $A124, J$2)</f>
        <v/>
      </c>
      <c r="K124">
        <f>CurrAttrValue(D124, 0)</f>
        <v/>
      </c>
      <c r="L124">
        <f>CurrAttrValue(E124, 0)</f>
        <v/>
      </c>
      <c r="M124">
        <f>CurrAttrValue(H124, 0)</f>
        <v/>
      </c>
      <c r="N124">
        <f>CurrAttrValue(I124, 0)</f>
        <v/>
      </c>
      <c r="O124">
        <f>CurrAttrValue(J124, 0)</f>
        <v/>
      </c>
      <c r="P124" s="5">
        <f>"89"</f>
        <v/>
      </c>
      <c r="Q124" s="6">
        <f>"АОбс. От ТР: Отказ канала Nтк на запуске  "</f>
        <v/>
      </c>
      <c r="R124" s="7">
        <f>IF(N124, S124, "")</f>
        <v/>
      </c>
      <c r="S124" s="7">
        <f>CurrAttrValue(C124, 0)</f>
        <v/>
      </c>
      <c r="T124" s="5">
        <f>IF(K124=-200, "д.вх.", K124)</f>
        <v/>
      </c>
      <c r="U124" s="5">
        <f>IF(L124=-200, "д.вх.", IF(N124, O124, L124))</f>
        <v/>
      </c>
      <c r="V124" s="5">
        <f>CurrAttrValue(G124, 0)</f>
        <v/>
      </c>
      <c r="W124" s="5">
        <f>IF(M124, "Блокирована", IF(N124, "Проверено", "-"))</f>
        <v/>
      </c>
    </row>
    <row r="125" ht="20" customHeight="1">
      <c r="A125">
        <f>"System.PZ.A006"</f>
        <v/>
      </c>
      <c r="B125">
        <f>CONCATENATE($A$2, $A$1, $A125, B$2)</f>
        <v/>
      </c>
      <c r="C125">
        <f>CONCATENATE($A$2, $A$1, $A125, C$2)</f>
        <v/>
      </c>
      <c r="D125">
        <f>CONCATENATE($A$2, $A$1, $A125, D$2)</f>
        <v/>
      </c>
      <c r="E125">
        <f>CONCATENATE($A$2, $A$1, $A125, E$2)</f>
        <v/>
      </c>
      <c r="F125">
        <f>CONCATENATE($A$2, $A$1, $A125, F$2)</f>
        <v/>
      </c>
      <c r="G125">
        <f>CONCATENATE($A$2, $A$1, $A125, G$2)</f>
        <v/>
      </c>
      <c r="H125">
        <f>CONCATENATE($A$2, $A$1, $A125, H$2)</f>
        <v/>
      </c>
      <c r="I125">
        <f>CONCATENATE($A$2, $A$1, $A125, I$2)</f>
        <v/>
      </c>
      <c r="J125">
        <f>CONCATENATE($A$2, $A$1, $A125, J$2)</f>
        <v/>
      </c>
      <c r="K125">
        <f>CurrAttrValue(D125, 0)</f>
        <v/>
      </c>
      <c r="L125">
        <f>CurrAttrValue(E125, 0)</f>
        <v/>
      </c>
      <c r="M125">
        <f>CurrAttrValue(H125, 0)</f>
        <v/>
      </c>
      <c r="N125">
        <f>CurrAttrValue(I125, 0)</f>
        <v/>
      </c>
      <c r="O125">
        <f>CurrAttrValue(J125, 0)</f>
        <v/>
      </c>
      <c r="P125" s="5">
        <f>"90"</f>
        <v/>
      </c>
      <c r="Q125" s="6">
        <f>"АОсс. От ТР: Аварийно высокая частота СТ  "</f>
        <v/>
      </c>
      <c r="R125" s="7">
        <f>IF(N125, S125, "")</f>
        <v/>
      </c>
      <c r="S125" s="7">
        <f>CurrAttrValue(C125, 0)</f>
        <v/>
      </c>
      <c r="T125" s="5">
        <f>IF(K125=-200, "д.вх.", K125)</f>
        <v/>
      </c>
      <c r="U125" s="5">
        <f>IF(L125=-200, "д.вх.", IF(N125, O125, L125))</f>
        <v/>
      </c>
      <c r="V125" s="5">
        <f>CurrAttrValue(G125, 0)</f>
        <v/>
      </c>
      <c r="W125" s="5">
        <f>IF(M125, "Блокирована", IF(N125, "Проверено", "-"))</f>
        <v/>
      </c>
    </row>
    <row r="126" ht="20" customHeight="1">
      <c r="A126">
        <f>"System.PZ.A007"</f>
        <v/>
      </c>
      <c r="B126">
        <f>CONCATENATE($A$2, $A$1, $A126, B$2)</f>
        <v/>
      </c>
      <c r="C126">
        <f>CONCATENATE($A$2, $A$1, $A126, C$2)</f>
        <v/>
      </c>
      <c r="D126">
        <f>CONCATENATE($A$2, $A$1, $A126, D$2)</f>
        <v/>
      </c>
      <c r="E126">
        <f>CONCATENATE($A$2, $A$1, $A126, E$2)</f>
        <v/>
      </c>
      <c r="F126">
        <f>CONCATENATE($A$2, $A$1, $A126, F$2)</f>
        <v/>
      </c>
      <c r="G126">
        <f>CONCATENATE($A$2, $A$1, $A126, G$2)</f>
        <v/>
      </c>
      <c r="H126">
        <f>CONCATENATE($A$2, $A$1, $A126, H$2)</f>
        <v/>
      </c>
      <c r="I126">
        <f>CONCATENATE($A$2, $A$1, $A126, I$2)</f>
        <v/>
      </c>
      <c r="J126">
        <f>CONCATENATE($A$2, $A$1, $A126, J$2)</f>
        <v/>
      </c>
      <c r="K126">
        <f>CurrAttrValue(D126, 0)</f>
        <v/>
      </c>
      <c r="L126">
        <f>CurrAttrValue(E126, 0)</f>
        <v/>
      </c>
      <c r="M126">
        <f>CurrAttrValue(H126, 0)</f>
        <v/>
      </c>
      <c r="N126">
        <f>CurrAttrValue(I126, 0)</f>
        <v/>
      </c>
      <c r="O126">
        <f>CurrAttrValue(J126, 0)</f>
        <v/>
      </c>
      <c r="P126" s="5">
        <f>"91"</f>
        <v/>
      </c>
      <c r="Q126" s="6">
        <f>"АОсс. Аварийно-высокая частота СТ (БЗА)  "</f>
        <v/>
      </c>
      <c r="R126" s="7">
        <f>IF(N126, S126, "")</f>
        <v/>
      </c>
      <c r="S126" s="7">
        <f>CurrAttrValue(C126, 0)</f>
        <v/>
      </c>
      <c r="T126" s="5">
        <f>IF(K126=-200, "д.вх.", K126)</f>
        <v/>
      </c>
      <c r="U126" s="5">
        <f>IF(L126=-200, "д.вх.", IF(N126, O126, L126))</f>
        <v/>
      </c>
      <c r="V126" s="5">
        <f>CurrAttrValue(G126, 0)</f>
        <v/>
      </c>
      <c r="W126" s="5">
        <f>IF(M126, "Блокирована", IF(N126, "Проверено", "-"))</f>
        <v/>
      </c>
    </row>
    <row r="127" ht="20" customHeight="1">
      <c r="A127">
        <f>"System.PZ.A008"</f>
        <v/>
      </c>
      <c r="B127">
        <f>CONCATENATE($A$2, $A$1, $A127, B$2)</f>
        <v/>
      </c>
      <c r="C127">
        <f>CONCATENATE($A$2, $A$1, $A127, C$2)</f>
        <v/>
      </c>
      <c r="D127">
        <f>CONCATENATE($A$2, $A$1, $A127, D$2)</f>
        <v/>
      </c>
      <c r="E127">
        <f>CONCATENATE($A$2, $A$1, $A127, E$2)</f>
        <v/>
      </c>
      <c r="F127">
        <f>CONCATENATE($A$2, $A$1, $A127, F$2)</f>
        <v/>
      </c>
      <c r="G127">
        <f>CONCATENATE($A$2, $A$1, $A127, G$2)</f>
        <v/>
      </c>
      <c r="H127">
        <f>CONCATENATE($A$2, $A$1, $A127, H$2)</f>
        <v/>
      </c>
      <c r="I127">
        <f>CONCATENATE($A$2, $A$1, $A127, I$2)</f>
        <v/>
      </c>
      <c r="J127">
        <f>CONCATENATE($A$2, $A$1, $A127, J$2)</f>
        <v/>
      </c>
      <c r="K127">
        <f>CurrAttrValue(D127, 0)</f>
        <v/>
      </c>
      <c r="L127">
        <f>CurrAttrValue(E127, 0)</f>
        <v/>
      </c>
      <c r="M127">
        <f>CurrAttrValue(H127, 0)</f>
        <v/>
      </c>
      <c r="N127">
        <f>CurrAttrValue(I127, 0)</f>
        <v/>
      </c>
      <c r="O127">
        <f>CurrAttrValue(J127, 0)</f>
        <v/>
      </c>
      <c r="P127" s="5">
        <f>"92"</f>
        <v/>
      </c>
      <c r="Q127" s="6">
        <f>"АОбс. От ТР: Отказ канала Nст на режиме  "</f>
        <v/>
      </c>
      <c r="R127" s="7">
        <f>IF(N127, S127, "")</f>
        <v/>
      </c>
      <c r="S127" s="7">
        <f>CurrAttrValue(C127, 0)</f>
        <v/>
      </c>
      <c r="T127" s="5">
        <f>IF(K127=-200, "д.вх.", K127)</f>
        <v/>
      </c>
      <c r="U127" s="5">
        <f>IF(L127=-200, "д.вх.", IF(N127, O127, L127))</f>
        <v/>
      </c>
      <c r="V127" s="5">
        <f>CurrAttrValue(G127, 0)</f>
        <v/>
      </c>
      <c r="W127" s="5">
        <f>IF(M127, "Блокирована", IF(N127, "Проверено", "-"))</f>
        <v/>
      </c>
    </row>
    <row r="128" ht="20" customHeight="1">
      <c r="A128">
        <f>"System.PZ.A009"</f>
        <v/>
      </c>
      <c r="B128">
        <f>CONCATENATE($A$2, $A$1, $A128, B$2)</f>
        <v/>
      </c>
      <c r="C128">
        <f>CONCATENATE($A$2, $A$1, $A128, C$2)</f>
        <v/>
      </c>
      <c r="D128">
        <f>CONCATENATE($A$2, $A$1, $A128, D$2)</f>
        <v/>
      </c>
      <c r="E128">
        <f>CONCATENATE($A$2, $A$1, $A128, E$2)</f>
        <v/>
      </c>
      <c r="F128">
        <f>CONCATENATE($A$2, $A$1, $A128, F$2)</f>
        <v/>
      </c>
      <c r="G128">
        <f>CONCATENATE($A$2, $A$1, $A128, G$2)</f>
        <v/>
      </c>
      <c r="H128">
        <f>CONCATENATE($A$2, $A$1, $A128, H$2)</f>
        <v/>
      </c>
      <c r="I128">
        <f>CONCATENATE($A$2, $A$1, $A128, I$2)</f>
        <v/>
      </c>
      <c r="J128">
        <f>CONCATENATE($A$2, $A$1, $A128, J$2)</f>
        <v/>
      </c>
      <c r="K128">
        <f>CurrAttrValue(D128, 0)</f>
        <v/>
      </c>
      <c r="L128">
        <f>CurrAttrValue(E128, 0)</f>
        <v/>
      </c>
      <c r="M128">
        <f>CurrAttrValue(H128, 0)</f>
        <v/>
      </c>
      <c r="N128">
        <f>CurrAttrValue(I128, 0)</f>
        <v/>
      </c>
      <c r="O128">
        <f>CurrAttrValue(J128, 0)</f>
        <v/>
      </c>
      <c r="P128" s="5">
        <f>"93"</f>
        <v/>
      </c>
      <c r="Q128" s="6">
        <f>"АОбс. Высокая частота вращения стартера  "</f>
        <v/>
      </c>
      <c r="R128" s="7">
        <f>IF(N128, S128, "")</f>
        <v/>
      </c>
      <c r="S128" s="7">
        <f>CurrAttrValue(C128, 0)</f>
        <v/>
      </c>
      <c r="T128" s="5">
        <f>IF(K128=-200, "д.вх.", K128)</f>
        <v/>
      </c>
      <c r="U128" s="5">
        <f>IF(L128=-200, "д.вх.", IF(N128, O128, L128))</f>
        <v/>
      </c>
      <c r="V128" s="5">
        <f>CurrAttrValue(G128, 0)</f>
        <v/>
      </c>
      <c r="W128" s="5">
        <f>IF(M128, "Блокирована", IF(N128, "Проверено", "-"))</f>
        <v/>
      </c>
    </row>
    <row r="129" ht="20" customHeight="1">
      <c r="A129">
        <f>"System.PZ.A010"</f>
        <v/>
      </c>
      <c r="B129">
        <f>CONCATENATE($A$2, $A$1, $A129, B$2)</f>
        <v/>
      </c>
      <c r="C129">
        <f>CONCATENATE($A$2, $A$1, $A129, C$2)</f>
        <v/>
      </c>
      <c r="D129">
        <f>CONCATENATE($A$2, $A$1, $A129, D$2)</f>
        <v/>
      </c>
      <c r="E129">
        <f>CONCATENATE($A$2, $A$1, $A129, E$2)</f>
        <v/>
      </c>
      <c r="F129">
        <f>CONCATENATE($A$2, $A$1, $A129, F$2)</f>
        <v/>
      </c>
      <c r="G129">
        <f>CONCATENATE($A$2, $A$1, $A129, G$2)</f>
        <v/>
      </c>
      <c r="H129">
        <f>CONCATENATE($A$2, $A$1, $A129, H$2)</f>
        <v/>
      </c>
      <c r="I129">
        <f>CONCATENATE($A$2, $A$1, $A129, I$2)</f>
        <v/>
      </c>
      <c r="J129">
        <f>CONCATENATE($A$2, $A$1, $A129, J$2)</f>
        <v/>
      </c>
      <c r="K129">
        <f>CurrAttrValue(D129, 0)</f>
        <v/>
      </c>
      <c r="L129">
        <f>CurrAttrValue(E129, 0)</f>
        <v/>
      </c>
      <c r="M129">
        <f>CurrAttrValue(H129, 0)</f>
        <v/>
      </c>
      <c r="N129">
        <f>CurrAttrValue(I129, 0)</f>
        <v/>
      </c>
      <c r="O129">
        <f>CurrAttrValue(J129, 0)</f>
        <v/>
      </c>
      <c r="P129" s="5">
        <f>"94"</f>
        <v/>
      </c>
      <c r="Q129" s="6">
        <f>"АОбс. От ТР: Высокая T газа перед СТ на запуске  "</f>
        <v/>
      </c>
      <c r="R129" s="7">
        <f>IF(N129, S129, "")</f>
        <v/>
      </c>
      <c r="S129" s="7">
        <f>CurrAttrValue(C129, 0)</f>
        <v/>
      </c>
      <c r="T129" s="5">
        <f>IF(K129=-200, "д.вх.", K129)</f>
        <v/>
      </c>
      <c r="U129" s="5">
        <f>IF(L129=-200, "д.вх.", IF(N129, O129, L129))</f>
        <v/>
      </c>
      <c r="V129" s="5">
        <f>CurrAttrValue(G129, 0)</f>
        <v/>
      </c>
      <c r="W129" s="5">
        <f>IF(M129, "Блокирована", IF(N129, "Проверено", "-"))</f>
        <v/>
      </c>
    </row>
    <row r="130" ht="20" customHeight="1">
      <c r="A130">
        <f>"System.PZ.A011"</f>
        <v/>
      </c>
      <c r="B130">
        <f>CONCATENATE($A$2, $A$1, $A130, B$2)</f>
        <v/>
      </c>
      <c r="C130">
        <f>CONCATENATE($A$2, $A$1, $A130, C$2)</f>
        <v/>
      </c>
      <c r="D130">
        <f>CONCATENATE($A$2, $A$1, $A130, D$2)</f>
        <v/>
      </c>
      <c r="E130">
        <f>CONCATENATE($A$2, $A$1, $A130, E$2)</f>
        <v/>
      </c>
      <c r="F130">
        <f>CONCATENATE($A$2, $A$1, $A130, F$2)</f>
        <v/>
      </c>
      <c r="G130">
        <f>CONCATENATE($A$2, $A$1, $A130, G$2)</f>
        <v/>
      </c>
      <c r="H130">
        <f>CONCATENATE($A$2, $A$1, $A130, H$2)</f>
        <v/>
      </c>
      <c r="I130">
        <f>CONCATENATE($A$2, $A$1, $A130, I$2)</f>
        <v/>
      </c>
      <c r="J130">
        <f>CONCATENATE($A$2, $A$1, $A130, J$2)</f>
        <v/>
      </c>
      <c r="K130">
        <f>CurrAttrValue(D130, 0)</f>
        <v/>
      </c>
      <c r="L130">
        <f>CurrAttrValue(E130, 0)</f>
        <v/>
      </c>
      <c r="M130">
        <f>CurrAttrValue(H130, 0)</f>
        <v/>
      </c>
      <c r="N130">
        <f>CurrAttrValue(I130, 0)</f>
        <v/>
      </c>
      <c r="O130">
        <f>CurrAttrValue(J130, 0)</f>
        <v/>
      </c>
      <c r="P130" s="5">
        <f>"95"</f>
        <v/>
      </c>
      <c r="Q130" s="6">
        <f>"АОбс. ОТ ТР: Низкая T газа перед СТ. Погасание  "</f>
        <v/>
      </c>
      <c r="R130" s="7">
        <f>IF(N130, S130, "")</f>
        <v/>
      </c>
      <c r="S130" s="7">
        <f>CurrAttrValue(C130, 0)</f>
        <v/>
      </c>
      <c r="T130" s="5">
        <f>IF(K130=-200, "д.вх.", K130)</f>
        <v/>
      </c>
      <c r="U130" s="5">
        <f>IF(L130=-200, "д.вх.", IF(N130, O130, L130))</f>
        <v/>
      </c>
      <c r="V130" s="5">
        <f>CurrAttrValue(G130, 0)</f>
        <v/>
      </c>
      <c r="W130" s="5">
        <f>IF(M130, "Блокирована", IF(N130, "Проверено", "-"))</f>
        <v/>
      </c>
    </row>
    <row r="131" ht="20" customHeight="1">
      <c r="A131">
        <f>"System.PZ.A012"</f>
        <v/>
      </c>
      <c r="B131">
        <f>CONCATENATE($A$2, $A$1, $A131, B$2)</f>
        <v/>
      </c>
      <c r="C131">
        <f>CONCATENATE($A$2, $A$1, $A131, C$2)</f>
        <v/>
      </c>
      <c r="D131">
        <f>CONCATENATE($A$2, $A$1, $A131, D$2)</f>
        <v/>
      </c>
      <c r="E131">
        <f>CONCATENATE($A$2, $A$1, $A131, E$2)</f>
        <v/>
      </c>
      <c r="F131">
        <f>CONCATENATE($A$2, $A$1, $A131, F$2)</f>
        <v/>
      </c>
      <c r="G131">
        <f>CONCATENATE($A$2, $A$1, $A131, G$2)</f>
        <v/>
      </c>
      <c r="H131">
        <f>CONCATENATE($A$2, $A$1, $A131, H$2)</f>
        <v/>
      </c>
      <c r="I131">
        <f>CONCATENATE($A$2, $A$1, $A131, I$2)</f>
        <v/>
      </c>
      <c r="J131">
        <f>CONCATENATE($A$2, $A$1, $A131, J$2)</f>
        <v/>
      </c>
      <c r="K131">
        <f>CurrAttrValue(D131, 0)</f>
        <v/>
      </c>
      <c r="L131">
        <f>CurrAttrValue(E131, 0)</f>
        <v/>
      </c>
      <c r="M131">
        <f>CurrAttrValue(H131, 0)</f>
        <v/>
      </c>
      <c r="N131">
        <f>CurrAttrValue(I131, 0)</f>
        <v/>
      </c>
      <c r="O131">
        <f>CurrAttrValue(J131, 0)</f>
        <v/>
      </c>
      <c r="P131" s="5">
        <f>"96"</f>
        <v/>
      </c>
      <c r="Q131" s="6">
        <f>"АОбс. От ТР: Высокая T газа перед СТ на режиме  "</f>
        <v/>
      </c>
      <c r="R131" s="7">
        <f>IF(N131, S131, "")</f>
        <v/>
      </c>
      <c r="S131" s="7">
        <f>CurrAttrValue(C131, 0)</f>
        <v/>
      </c>
      <c r="T131" s="5">
        <f>IF(K131=-200, "д.вх.", K131)</f>
        <v/>
      </c>
      <c r="U131" s="5">
        <f>IF(L131=-200, "д.вх.", IF(N131, O131, L131))</f>
        <v/>
      </c>
      <c r="V131" s="5">
        <f>CurrAttrValue(G131, 0)</f>
        <v/>
      </c>
      <c r="W131" s="5">
        <f>IF(M131, "Блокирована", IF(N131, "Проверено", "-"))</f>
        <v/>
      </c>
    </row>
    <row r="132" ht="20" customHeight="1">
      <c r="A132">
        <f>"System.PZ.A013"</f>
        <v/>
      </c>
      <c r="B132">
        <f>CONCATENATE($A$2, $A$1, $A132, B$2)</f>
        <v/>
      </c>
      <c r="C132">
        <f>CONCATENATE($A$2, $A$1, $A132, C$2)</f>
        <v/>
      </c>
      <c r="D132">
        <f>CONCATENATE($A$2, $A$1, $A132, D$2)</f>
        <v/>
      </c>
      <c r="E132">
        <f>CONCATENATE($A$2, $A$1, $A132, E$2)</f>
        <v/>
      </c>
      <c r="F132">
        <f>CONCATENATE($A$2, $A$1, $A132, F$2)</f>
        <v/>
      </c>
      <c r="G132">
        <f>CONCATENATE($A$2, $A$1, $A132, G$2)</f>
        <v/>
      </c>
      <c r="H132">
        <f>CONCATENATE($A$2, $A$1, $A132, H$2)</f>
        <v/>
      </c>
      <c r="I132">
        <f>CONCATENATE($A$2, $A$1, $A132, I$2)</f>
        <v/>
      </c>
      <c r="J132">
        <f>CONCATENATE($A$2, $A$1, $A132, J$2)</f>
        <v/>
      </c>
      <c r="K132">
        <f>CurrAttrValue(D132, 0)</f>
        <v/>
      </c>
      <c r="L132">
        <f>CurrAttrValue(E132, 0)</f>
        <v/>
      </c>
      <c r="M132">
        <f>CurrAttrValue(H132, 0)</f>
        <v/>
      </c>
      <c r="N132">
        <f>CurrAttrValue(I132, 0)</f>
        <v/>
      </c>
      <c r="O132">
        <f>CurrAttrValue(J132, 0)</f>
        <v/>
      </c>
      <c r="P132" s="5">
        <f>"97"</f>
        <v/>
      </c>
      <c r="Q132" s="6">
        <f>"АОбс. От ТР: Отказ всех каналов T газа перед СТ  "</f>
        <v/>
      </c>
      <c r="R132" s="7">
        <f>IF(N132, S132, "")</f>
        <v/>
      </c>
      <c r="S132" s="7">
        <f>CurrAttrValue(C132, 0)</f>
        <v/>
      </c>
      <c r="T132" s="5">
        <f>IF(K132=-200, "д.вх.", K132)</f>
        <v/>
      </c>
      <c r="U132" s="5">
        <f>IF(L132=-200, "д.вх.", IF(N132, O132, L132))</f>
        <v/>
      </c>
      <c r="V132" s="5">
        <f>CurrAttrValue(G132, 0)</f>
        <v/>
      </c>
      <c r="W132" s="5">
        <f>IF(M132, "Блокирована", IF(N132, "Проверено", "-"))</f>
        <v/>
      </c>
    </row>
    <row r="133" ht="20" customHeight="1">
      <c r="A133">
        <f>"System.PZ.A014"</f>
        <v/>
      </c>
      <c r="B133">
        <f>CONCATENATE($A$2, $A$1, $A133, B$2)</f>
        <v/>
      </c>
      <c r="C133">
        <f>CONCATENATE($A$2, $A$1, $A133, C$2)</f>
        <v/>
      </c>
      <c r="D133">
        <f>CONCATENATE($A$2, $A$1, $A133, D$2)</f>
        <v/>
      </c>
      <c r="E133">
        <f>CONCATENATE($A$2, $A$1, $A133, E$2)</f>
        <v/>
      </c>
      <c r="F133">
        <f>CONCATENATE($A$2, $A$1, $A133, F$2)</f>
        <v/>
      </c>
      <c r="G133">
        <f>CONCATENATE($A$2, $A$1, $A133, G$2)</f>
        <v/>
      </c>
      <c r="H133">
        <f>CONCATENATE($A$2, $A$1, $A133, H$2)</f>
        <v/>
      </c>
      <c r="I133">
        <f>CONCATENATE($A$2, $A$1, $A133, I$2)</f>
        <v/>
      </c>
      <c r="J133">
        <f>CONCATENATE($A$2, $A$1, $A133, J$2)</f>
        <v/>
      </c>
      <c r="K133">
        <f>CurrAttrValue(D133, 0)</f>
        <v/>
      </c>
      <c r="L133">
        <f>CurrAttrValue(E133, 0)</f>
        <v/>
      </c>
      <c r="M133">
        <f>CurrAttrValue(H133, 0)</f>
        <v/>
      </c>
      <c r="N133">
        <f>CurrAttrValue(I133, 0)</f>
        <v/>
      </c>
      <c r="O133">
        <f>CurrAttrValue(J133, 0)</f>
        <v/>
      </c>
      <c r="P133" s="5">
        <f>"98"</f>
        <v/>
      </c>
      <c r="Q133" s="6">
        <f>"АОбс. Аварийно-высокая T перед СТ (БЗА)  "</f>
        <v/>
      </c>
      <c r="R133" s="7">
        <f>IF(N133, S133, "")</f>
        <v/>
      </c>
      <c r="S133" s="7">
        <f>CurrAttrValue(C133, 0)</f>
        <v/>
      </c>
      <c r="T133" s="5">
        <f>IF(K133=-200, "д.вх.", K133)</f>
        <v/>
      </c>
      <c r="U133" s="5">
        <f>IF(L133=-200, "д.вх.", IF(N133, O133, L133))</f>
        <v/>
      </c>
      <c r="V133" s="5">
        <f>CurrAttrValue(G133, 0)</f>
        <v/>
      </c>
      <c r="W133" s="5">
        <f>IF(M133, "Блокирована", IF(N133, "Проверено", "-"))</f>
        <v/>
      </c>
    </row>
    <row r="134" ht="20" customHeight="1">
      <c r="A134">
        <f>"System.PZ.A015"</f>
        <v/>
      </c>
      <c r="B134">
        <f>CONCATENATE($A$2, $A$1, $A134, B$2)</f>
        <v/>
      </c>
      <c r="C134">
        <f>CONCATENATE($A$2, $A$1, $A134, C$2)</f>
        <v/>
      </c>
      <c r="D134">
        <f>CONCATENATE($A$2, $A$1, $A134, D$2)</f>
        <v/>
      </c>
      <c r="E134">
        <f>CONCATENATE($A$2, $A$1, $A134, E$2)</f>
        <v/>
      </c>
      <c r="F134">
        <f>CONCATENATE($A$2, $A$1, $A134, F$2)</f>
        <v/>
      </c>
      <c r="G134">
        <f>CONCATENATE($A$2, $A$1, $A134, G$2)</f>
        <v/>
      </c>
      <c r="H134">
        <f>CONCATENATE($A$2, $A$1, $A134, H$2)</f>
        <v/>
      </c>
      <c r="I134">
        <f>CONCATENATE($A$2, $A$1, $A134, I$2)</f>
        <v/>
      </c>
      <c r="J134">
        <f>CONCATENATE($A$2, $A$1, $A134, J$2)</f>
        <v/>
      </c>
      <c r="K134">
        <f>CurrAttrValue(D134, 0)</f>
        <v/>
      </c>
      <c r="L134">
        <f>CurrAttrValue(E134, 0)</f>
        <v/>
      </c>
      <c r="M134">
        <f>CurrAttrValue(H134, 0)</f>
        <v/>
      </c>
      <c r="N134">
        <f>CurrAttrValue(I134, 0)</f>
        <v/>
      </c>
      <c r="O134">
        <f>CurrAttrValue(J134, 0)</f>
        <v/>
      </c>
      <c r="P134" s="5">
        <f>"99"</f>
        <v/>
      </c>
      <c r="Q134" s="6">
        <f>"АОбс. От ТР: Нет розжига  "</f>
        <v/>
      </c>
      <c r="R134" s="7">
        <f>IF(N134, S134, "")</f>
        <v/>
      </c>
      <c r="S134" s="7">
        <f>CurrAttrValue(C134, 0)</f>
        <v/>
      </c>
      <c r="T134" s="5">
        <f>IF(K134=-200, "д.вх.", K134)</f>
        <v/>
      </c>
      <c r="U134" s="5">
        <f>IF(L134=-200, "д.вх.", IF(N134, O134, L134))</f>
        <v/>
      </c>
      <c r="V134" s="5">
        <f>CurrAttrValue(G134, 0)</f>
        <v/>
      </c>
      <c r="W134" s="5">
        <f>IF(M134, "Блокирована", IF(N134, "Проверено", "-"))</f>
        <v/>
      </c>
    </row>
    <row r="135" ht="20" customHeight="1">
      <c r="A135">
        <f>"System.PZ.A016"</f>
        <v/>
      </c>
      <c r="B135">
        <f>CONCATENATE($A$2, $A$1, $A135, B$2)</f>
        <v/>
      </c>
      <c r="C135">
        <f>CONCATENATE($A$2, $A$1, $A135, C$2)</f>
        <v/>
      </c>
      <c r="D135">
        <f>CONCATENATE($A$2, $A$1, $A135, D$2)</f>
        <v/>
      </c>
      <c r="E135">
        <f>CONCATENATE($A$2, $A$1, $A135, E$2)</f>
        <v/>
      </c>
      <c r="F135">
        <f>CONCATENATE($A$2, $A$1, $A135, F$2)</f>
        <v/>
      </c>
      <c r="G135">
        <f>CONCATENATE($A$2, $A$1, $A135, G$2)</f>
        <v/>
      </c>
      <c r="H135">
        <f>CONCATENATE($A$2, $A$1, $A135, H$2)</f>
        <v/>
      </c>
      <c r="I135">
        <f>CONCATENATE($A$2, $A$1, $A135, I$2)</f>
        <v/>
      </c>
      <c r="J135">
        <f>CONCATENATE($A$2, $A$1, $A135, J$2)</f>
        <v/>
      </c>
      <c r="K135">
        <f>CurrAttrValue(D135, 0)</f>
        <v/>
      </c>
      <c r="L135">
        <f>CurrAttrValue(E135, 0)</f>
        <v/>
      </c>
      <c r="M135">
        <f>CurrAttrValue(H135, 0)</f>
        <v/>
      </c>
      <c r="N135">
        <f>CurrAttrValue(I135, 0)</f>
        <v/>
      </c>
      <c r="O135">
        <f>CurrAttrValue(J135, 0)</f>
        <v/>
      </c>
      <c r="P135" s="5">
        <f>"100"</f>
        <v/>
      </c>
      <c r="Q135" s="6">
        <f>"АОбс. Помпаж  "</f>
        <v/>
      </c>
      <c r="R135" s="7">
        <f>IF(N135, S135, "")</f>
        <v/>
      </c>
      <c r="S135" s="7">
        <f>CurrAttrValue(C135, 0)</f>
        <v/>
      </c>
      <c r="T135" s="5">
        <f>IF(K135=-200, "д.вх.", K135)</f>
        <v/>
      </c>
      <c r="U135" s="5">
        <f>IF(L135=-200, "д.вх.", IF(N135, O135, L135))</f>
        <v/>
      </c>
      <c r="V135" s="5">
        <f>CurrAttrValue(G135, 0)</f>
        <v/>
      </c>
      <c r="W135" s="5">
        <f>IF(M135, "Блокирована", IF(N135, "Проверено", "-"))</f>
        <v/>
      </c>
    </row>
    <row r="136" ht="20" customHeight="1">
      <c r="A136">
        <f>"System.PZ.A017"</f>
        <v/>
      </c>
      <c r="B136">
        <f>CONCATENATE($A$2, $A$1, $A136, B$2)</f>
        <v/>
      </c>
      <c r="C136">
        <f>CONCATENATE($A$2, $A$1, $A136, C$2)</f>
        <v/>
      </c>
      <c r="D136">
        <f>CONCATENATE($A$2, $A$1, $A136, D$2)</f>
        <v/>
      </c>
      <c r="E136">
        <f>CONCATENATE($A$2, $A$1, $A136, E$2)</f>
        <v/>
      </c>
      <c r="F136">
        <f>CONCATENATE($A$2, $A$1, $A136, F$2)</f>
        <v/>
      </c>
      <c r="G136">
        <f>CONCATENATE($A$2, $A$1, $A136, G$2)</f>
        <v/>
      </c>
      <c r="H136">
        <f>CONCATENATE($A$2, $A$1, $A136, H$2)</f>
        <v/>
      </c>
      <c r="I136">
        <f>CONCATENATE($A$2, $A$1, $A136, I$2)</f>
        <v/>
      </c>
      <c r="J136">
        <f>CONCATENATE($A$2, $A$1, $A136, J$2)</f>
        <v/>
      </c>
      <c r="K136">
        <f>CurrAttrValue(D136, 0)</f>
        <v/>
      </c>
      <c r="L136">
        <f>CurrAttrValue(E136, 0)</f>
        <v/>
      </c>
      <c r="M136">
        <f>CurrAttrValue(H136, 0)</f>
        <v/>
      </c>
      <c r="N136">
        <f>CurrAttrValue(I136, 0)</f>
        <v/>
      </c>
      <c r="O136">
        <f>CurrAttrValue(J136, 0)</f>
        <v/>
      </c>
      <c r="P136" s="5">
        <f>"101"</f>
        <v/>
      </c>
      <c r="Q136" s="6">
        <f>"АОбс. От ТР: Аварийное рассогласование ДГ  "</f>
        <v/>
      </c>
      <c r="R136" s="7">
        <f>IF(N136, S136, "")</f>
        <v/>
      </c>
      <c r="S136" s="7">
        <f>CurrAttrValue(C136, 0)</f>
        <v/>
      </c>
      <c r="T136" s="5">
        <f>IF(K136=-200, "д.вх.", K136)</f>
        <v/>
      </c>
      <c r="U136" s="5">
        <f>IF(L136=-200, "д.вх.", IF(N136, O136, L136))</f>
        <v/>
      </c>
      <c r="V136" s="5">
        <f>CurrAttrValue(G136, 0)</f>
        <v/>
      </c>
      <c r="W136" s="5">
        <f>IF(M136, "Блокирована", IF(N136, "Проверено", "-"))</f>
        <v/>
      </c>
    </row>
    <row r="137" ht="20" customHeight="1">
      <c r="A137">
        <f>"System.PZ.A018"</f>
        <v/>
      </c>
      <c r="B137">
        <f>CONCATENATE($A$2, $A$1, $A137, B$2)</f>
        <v/>
      </c>
      <c r="C137">
        <f>CONCATENATE($A$2, $A$1, $A137, C$2)</f>
        <v/>
      </c>
      <c r="D137">
        <f>CONCATENATE($A$2, $A$1, $A137, D$2)</f>
        <v/>
      </c>
      <c r="E137">
        <f>CONCATENATE($A$2, $A$1, $A137, E$2)</f>
        <v/>
      </c>
      <c r="F137">
        <f>CONCATENATE($A$2, $A$1, $A137, F$2)</f>
        <v/>
      </c>
      <c r="G137">
        <f>CONCATENATE($A$2, $A$1, $A137, G$2)</f>
        <v/>
      </c>
      <c r="H137">
        <f>CONCATENATE($A$2, $A$1, $A137, H$2)</f>
        <v/>
      </c>
      <c r="I137">
        <f>CONCATENATE($A$2, $A$1, $A137, I$2)</f>
        <v/>
      </c>
      <c r="J137">
        <f>CONCATENATE($A$2, $A$1, $A137, J$2)</f>
        <v/>
      </c>
      <c r="K137">
        <f>CurrAttrValue(D137, 0)</f>
        <v/>
      </c>
      <c r="L137">
        <f>CurrAttrValue(E137, 0)</f>
        <v/>
      </c>
      <c r="M137">
        <f>CurrAttrValue(H137, 0)</f>
        <v/>
      </c>
      <c r="N137">
        <f>CurrAttrValue(I137, 0)</f>
        <v/>
      </c>
      <c r="O137">
        <f>CurrAttrValue(J137, 0)</f>
        <v/>
      </c>
      <c r="P137" s="5">
        <f>"102"</f>
        <v/>
      </c>
      <c r="Q137" s="6">
        <f>"АОбс. КПВ1 не открыт на пуске или останове  "</f>
        <v/>
      </c>
      <c r="R137" s="7">
        <f>IF(N137, S137, "")</f>
        <v/>
      </c>
      <c r="S137" s="7">
        <f>CurrAttrValue(C137, 0)</f>
        <v/>
      </c>
      <c r="T137" s="5">
        <f>IF(K137=-200, "д.вх.", K137)</f>
        <v/>
      </c>
      <c r="U137" s="5">
        <f>IF(L137=-200, "д.вх.", IF(N137, O137, L137))</f>
        <v/>
      </c>
      <c r="V137" s="5">
        <f>CurrAttrValue(G137, 0)</f>
        <v/>
      </c>
      <c r="W137" s="5">
        <f>IF(M137, "Блокирована", IF(N137, "Проверено", "-"))</f>
        <v/>
      </c>
    </row>
    <row r="138" ht="20" customHeight="1">
      <c r="A138">
        <f>"System.PZ.A019"</f>
        <v/>
      </c>
      <c r="B138">
        <f>CONCATENATE($A$2, $A$1, $A138, B$2)</f>
        <v/>
      </c>
      <c r="C138">
        <f>CONCATENATE($A$2, $A$1, $A138, C$2)</f>
        <v/>
      </c>
      <c r="D138">
        <f>CONCATENATE($A$2, $A$1, $A138, D$2)</f>
        <v/>
      </c>
      <c r="E138">
        <f>CONCATENATE($A$2, $A$1, $A138, E$2)</f>
        <v/>
      </c>
      <c r="F138">
        <f>CONCATENATE($A$2, $A$1, $A138, F$2)</f>
        <v/>
      </c>
      <c r="G138">
        <f>CONCATENATE($A$2, $A$1, $A138, G$2)</f>
        <v/>
      </c>
      <c r="H138">
        <f>CONCATENATE($A$2, $A$1, $A138, H$2)</f>
        <v/>
      </c>
      <c r="I138">
        <f>CONCATENATE($A$2, $A$1, $A138, I$2)</f>
        <v/>
      </c>
      <c r="J138">
        <f>CONCATENATE($A$2, $A$1, $A138, J$2)</f>
        <v/>
      </c>
      <c r="K138">
        <f>CurrAttrValue(D138, 0)</f>
        <v/>
      </c>
      <c r="L138">
        <f>CurrAttrValue(E138, 0)</f>
        <v/>
      </c>
      <c r="M138">
        <f>CurrAttrValue(H138, 0)</f>
        <v/>
      </c>
      <c r="N138">
        <f>CurrAttrValue(I138, 0)</f>
        <v/>
      </c>
      <c r="O138">
        <f>CurrAttrValue(J138, 0)</f>
        <v/>
      </c>
      <c r="P138" s="5">
        <f>"103"</f>
        <v/>
      </c>
      <c r="Q138" s="6">
        <f>"АОбс. КПВ1 не закрыт на режиме  "</f>
        <v/>
      </c>
      <c r="R138" s="7">
        <f>IF(N138, S138, "")</f>
        <v/>
      </c>
      <c r="S138" s="7">
        <f>CurrAttrValue(C138, 0)</f>
        <v/>
      </c>
      <c r="T138" s="5">
        <f>IF(K138=-200, "д.вх.", K138)</f>
        <v/>
      </c>
      <c r="U138" s="5">
        <f>IF(L138=-200, "д.вх.", IF(N138, O138, L138))</f>
        <v/>
      </c>
      <c r="V138" s="5">
        <f>CurrAttrValue(G138, 0)</f>
        <v/>
      </c>
      <c r="W138" s="5">
        <f>IF(M138, "Блокирована", IF(N138, "Проверено", "-"))</f>
        <v/>
      </c>
    </row>
    <row r="139" ht="20" customHeight="1">
      <c r="A139">
        <f>"System.PZ.A020"</f>
        <v/>
      </c>
      <c r="B139">
        <f>CONCATENATE($A$2, $A$1, $A139, B$2)</f>
        <v/>
      </c>
      <c r="C139">
        <f>CONCATENATE($A$2, $A$1, $A139, C$2)</f>
        <v/>
      </c>
      <c r="D139">
        <f>CONCATENATE($A$2, $A$1, $A139, D$2)</f>
        <v/>
      </c>
      <c r="E139">
        <f>CONCATENATE($A$2, $A$1, $A139, E$2)</f>
        <v/>
      </c>
      <c r="F139">
        <f>CONCATENATE($A$2, $A$1, $A139, F$2)</f>
        <v/>
      </c>
      <c r="G139">
        <f>CONCATENATE($A$2, $A$1, $A139, G$2)</f>
        <v/>
      </c>
      <c r="H139">
        <f>CONCATENATE($A$2, $A$1, $A139, H$2)</f>
        <v/>
      </c>
      <c r="I139">
        <f>CONCATENATE($A$2, $A$1, $A139, I$2)</f>
        <v/>
      </c>
      <c r="J139">
        <f>CONCATENATE($A$2, $A$1, $A139, J$2)</f>
        <v/>
      </c>
      <c r="K139">
        <f>CurrAttrValue(D139, 0)</f>
        <v/>
      </c>
      <c r="L139">
        <f>CurrAttrValue(E139, 0)</f>
        <v/>
      </c>
      <c r="M139">
        <f>CurrAttrValue(H139, 0)</f>
        <v/>
      </c>
      <c r="N139">
        <f>CurrAttrValue(I139, 0)</f>
        <v/>
      </c>
      <c r="O139">
        <f>CurrAttrValue(J139, 0)</f>
        <v/>
      </c>
      <c r="P139" s="5">
        <f>"104"</f>
        <v/>
      </c>
      <c r="Q139" s="6">
        <f>"АОбс. КПВ 5 не открыт на пуске или останове  "</f>
        <v/>
      </c>
      <c r="R139" s="7">
        <f>IF(N139, S139, "")</f>
        <v/>
      </c>
      <c r="S139" s="7">
        <f>CurrAttrValue(C139, 0)</f>
        <v/>
      </c>
      <c r="T139" s="5">
        <f>IF(K139=-200, "д.вх.", K139)</f>
        <v/>
      </c>
      <c r="U139" s="5">
        <f>IF(L139=-200, "д.вх.", IF(N139, O139, L139))</f>
        <v/>
      </c>
      <c r="V139" s="5">
        <f>CurrAttrValue(G139, 0)</f>
        <v/>
      </c>
      <c r="W139" s="5">
        <f>IF(M139, "Блокирована", IF(N139, "Проверено", "-"))</f>
        <v/>
      </c>
    </row>
    <row r="142" ht="35" customHeight="1">
      <c r="Q142" s="8">
        <f>"должность"</f>
        <v/>
      </c>
      <c r="R142" s="9" t="n"/>
      <c r="S142" s="8">
        <f>"ФИО"</f>
        <v/>
      </c>
      <c r="T142" s="9" t="n"/>
      <c r="U142" s="8">
        <f>"подпись"</f>
        <v/>
      </c>
    </row>
    <row r="143" ht="35" customHeight="1">
      <c r="Q143" s="8">
        <f>"должность"</f>
        <v/>
      </c>
      <c r="R143" s="9" t="n"/>
      <c r="S143" s="8">
        <f>"ФИО"</f>
        <v/>
      </c>
      <c r="T143" s="9" t="n"/>
      <c r="U143" s="8">
        <f>"подпись"</f>
        <v/>
      </c>
    </row>
    <row r="144" ht="35" customHeight="1">
      <c r="Q144" s="8">
        <f>"должность"</f>
        <v/>
      </c>
      <c r="R144" s="9" t="n"/>
      <c r="S144" s="8">
        <f>"ФИО"</f>
        <v/>
      </c>
      <c r="T144" s="9" t="n"/>
      <c r="U144" s="8">
        <f>"подпись"</f>
        <v/>
      </c>
    </row>
    <row r="146" ht="25" customHeight="1">
      <c r="Q146" s="1">
        <f>"Протокол проверки защит ГПА №2 на "</f>
        <v/>
      </c>
      <c r="R146" s="2">
        <f>R1</f>
        <v/>
      </c>
      <c r="S146" s="3">
        <f>S1</f>
        <v/>
      </c>
    </row>
    <row r="148" ht="20" customHeight="1">
      <c r="P148" s="4">
        <f>"№"</f>
        <v/>
      </c>
      <c r="Q148" s="4">
        <f>"Наименование защиты  "</f>
        <v/>
      </c>
      <c r="R148" s="4">
        <f>"Таймер"</f>
        <v/>
      </c>
      <c r="S148" s="4">
        <f>"Задержка"</f>
        <v/>
      </c>
      <c r="T148" s="4">
        <f>"Уставка"</f>
        <v/>
      </c>
      <c r="U148" s="4">
        <f>"Значение"</f>
        <v/>
      </c>
      <c r="V148" s="4">
        <f>"Eд.изм"</f>
        <v/>
      </c>
      <c r="W148" s="4">
        <f>"Отметка о проверке"</f>
        <v/>
      </c>
    </row>
    <row r="149" ht="20" customHeight="1">
      <c r="A149">
        <f>"System.PZ.A021"</f>
        <v/>
      </c>
      <c r="B149">
        <f>CONCATENATE($A$2, $A$1, $A149, B$2)</f>
        <v/>
      </c>
      <c r="C149">
        <f>CONCATENATE($A$2, $A$1, $A149, C$2)</f>
        <v/>
      </c>
      <c r="D149">
        <f>CONCATENATE($A$2, $A$1, $A149, D$2)</f>
        <v/>
      </c>
      <c r="E149">
        <f>CONCATENATE($A$2, $A$1, $A149, E$2)</f>
        <v/>
      </c>
      <c r="F149">
        <f>CONCATENATE($A$2, $A$1, $A149, F$2)</f>
        <v/>
      </c>
      <c r="G149">
        <f>CONCATENATE($A$2, $A$1, $A149, G$2)</f>
        <v/>
      </c>
      <c r="H149">
        <f>CONCATENATE($A$2, $A$1, $A149, H$2)</f>
        <v/>
      </c>
      <c r="I149">
        <f>CONCATENATE($A$2, $A$1, $A149, I$2)</f>
        <v/>
      </c>
      <c r="J149">
        <f>CONCATENATE($A$2, $A$1, $A149, J$2)</f>
        <v/>
      </c>
      <c r="K149">
        <f>CurrAttrValue(D149, 0)</f>
        <v/>
      </c>
      <c r="L149">
        <f>CurrAttrValue(E149, 0)</f>
        <v/>
      </c>
      <c r="M149">
        <f>CurrAttrValue(H149, 0)</f>
        <v/>
      </c>
      <c r="N149">
        <f>CurrAttrValue(I149, 0)</f>
        <v/>
      </c>
      <c r="O149">
        <f>CurrAttrValue(J149, 0)</f>
        <v/>
      </c>
      <c r="P149" s="5">
        <f>"105"</f>
        <v/>
      </c>
      <c r="Q149" s="6">
        <f>"АОбс. КПВ 5 не закрыт на режиме  "</f>
        <v/>
      </c>
      <c r="R149" s="7">
        <f>IF(N149, S149, "")</f>
        <v/>
      </c>
      <c r="S149" s="7">
        <f>CurrAttrValue(C149, 0)</f>
        <v/>
      </c>
      <c r="T149" s="5">
        <f>IF(K149=-200, "д.вх.", K149)</f>
        <v/>
      </c>
      <c r="U149" s="5">
        <f>IF(L149=-200, "д.вх.", IF(N149, O149, L149))</f>
        <v/>
      </c>
      <c r="V149" s="5">
        <f>CurrAttrValue(G149, 0)</f>
        <v/>
      </c>
      <c r="W149" s="5">
        <f>IF(M149, "Блокирована", IF(N149, "Проверено", "-"))</f>
        <v/>
      </c>
    </row>
    <row r="150" ht="20" customHeight="1">
      <c r="A150">
        <f>"System.PZ.A022"</f>
        <v/>
      </c>
      <c r="B150">
        <f>CONCATENATE($A$2, $A$1, $A150, B$2)</f>
        <v/>
      </c>
      <c r="C150">
        <f>CONCATENATE($A$2, $A$1, $A150, C$2)</f>
        <v/>
      </c>
      <c r="D150">
        <f>CONCATENATE($A$2, $A$1, $A150, D$2)</f>
        <v/>
      </c>
      <c r="E150">
        <f>CONCATENATE($A$2, $A$1, $A150, E$2)</f>
        <v/>
      </c>
      <c r="F150">
        <f>CONCATENATE($A$2, $A$1, $A150, F$2)</f>
        <v/>
      </c>
      <c r="G150">
        <f>CONCATENATE($A$2, $A$1, $A150, G$2)</f>
        <v/>
      </c>
      <c r="H150">
        <f>CONCATENATE($A$2, $A$1, $A150, H$2)</f>
        <v/>
      </c>
      <c r="I150">
        <f>CONCATENATE($A$2, $A$1, $A150, I$2)</f>
        <v/>
      </c>
      <c r="J150">
        <f>CONCATENATE($A$2, $A$1, $A150, J$2)</f>
        <v/>
      </c>
      <c r="K150">
        <f>CurrAttrValue(D150, 0)</f>
        <v/>
      </c>
      <c r="L150">
        <f>CurrAttrValue(E150, 0)</f>
        <v/>
      </c>
      <c r="M150">
        <f>CurrAttrValue(H150, 0)</f>
        <v/>
      </c>
      <c r="N150">
        <f>CurrAttrValue(I150, 0)</f>
        <v/>
      </c>
      <c r="O150">
        <f>CurrAttrValue(J150, 0)</f>
        <v/>
      </c>
      <c r="P150" s="5">
        <f>"106"</f>
        <v/>
      </c>
      <c r="Q150" s="6">
        <f>"АОбс. КПВ 2 не открыт на пуске или останове  "</f>
        <v/>
      </c>
      <c r="R150" s="7">
        <f>IF(N150, S150, "")</f>
        <v/>
      </c>
      <c r="S150" s="7">
        <f>CurrAttrValue(C150, 0)</f>
        <v/>
      </c>
      <c r="T150" s="5">
        <f>IF(K150=-200, "д.вх.", K150)</f>
        <v/>
      </c>
      <c r="U150" s="5">
        <f>IF(L150=-200, "д.вх.", IF(N150, O150, L150))</f>
        <v/>
      </c>
      <c r="V150" s="5">
        <f>CurrAttrValue(G150, 0)</f>
        <v/>
      </c>
      <c r="W150" s="5">
        <f>IF(M150, "Блокирована", IF(N150, "Проверено", "-"))</f>
        <v/>
      </c>
    </row>
    <row r="151" ht="20" customHeight="1">
      <c r="A151">
        <f>"System.PZ.A023"</f>
        <v/>
      </c>
      <c r="B151">
        <f>CONCATENATE($A$2, $A$1, $A151, B$2)</f>
        <v/>
      </c>
      <c r="C151">
        <f>CONCATENATE($A$2, $A$1, $A151, C$2)</f>
        <v/>
      </c>
      <c r="D151">
        <f>CONCATENATE($A$2, $A$1, $A151, D$2)</f>
        <v/>
      </c>
      <c r="E151">
        <f>CONCATENATE($A$2, $A$1, $A151, E$2)</f>
        <v/>
      </c>
      <c r="F151">
        <f>CONCATENATE($A$2, $A$1, $A151, F$2)</f>
        <v/>
      </c>
      <c r="G151">
        <f>CONCATENATE($A$2, $A$1, $A151, G$2)</f>
        <v/>
      </c>
      <c r="H151">
        <f>CONCATENATE($A$2, $A$1, $A151, H$2)</f>
        <v/>
      </c>
      <c r="I151">
        <f>CONCATENATE($A$2, $A$1, $A151, I$2)</f>
        <v/>
      </c>
      <c r="J151">
        <f>CONCATENATE($A$2, $A$1, $A151, J$2)</f>
        <v/>
      </c>
      <c r="K151">
        <f>CurrAttrValue(D151, 0)</f>
        <v/>
      </c>
      <c r="L151">
        <f>CurrAttrValue(E151, 0)</f>
        <v/>
      </c>
      <c r="M151">
        <f>CurrAttrValue(H151, 0)</f>
        <v/>
      </c>
      <c r="N151">
        <f>CurrAttrValue(I151, 0)</f>
        <v/>
      </c>
      <c r="O151">
        <f>CurrAttrValue(J151, 0)</f>
        <v/>
      </c>
      <c r="P151" s="5">
        <f>"107"</f>
        <v/>
      </c>
      <c r="Q151" s="6">
        <f>"АОбс. КПВ 2 не закрыт на режиме  "</f>
        <v/>
      </c>
      <c r="R151" s="7">
        <f>IF(N151, S151, "")</f>
        <v/>
      </c>
      <c r="S151" s="7">
        <f>CurrAttrValue(C151, 0)</f>
        <v/>
      </c>
      <c r="T151" s="5">
        <f>IF(K151=-200, "д.вх.", K151)</f>
        <v/>
      </c>
      <c r="U151" s="5">
        <f>IF(L151=-200, "д.вх.", IF(N151, O151, L151))</f>
        <v/>
      </c>
      <c r="V151" s="5">
        <f>CurrAttrValue(G151, 0)</f>
        <v/>
      </c>
      <c r="W151" s="5">
        <f>IF(M151, "Блокирована", IF(N151, "Проверено", "-"))</f>
        <v/>
      </c>
    </row>
    <row r="152" ht="20" customHeight="1">
      <c r="A152">
        <f>"System.PZ.A024"</f>
        <v/>
      </c>
      <c r="B152">
        <f>CONCATENATE($A$2, $A$1, $A152, B$2)</f>
        <v/>
      </c>
      <c r="C152">
        <f>CONCATENATE($A$2, $A$1, $A152, C$2)</f>
        <v/>
      </c>
      <c r="D152">
        <f>CONCATENATE($A$2, $A$1, $A152, D$2)</f>
        <v/>
      </c>
      <c r="E152">
        <f>CONCATENATE($A$2, $A$1, $A152, E$2)</f>
        <v/>
      </c>
      <c r="F152">
        <f>CONCATENATE($A$2, $A$1, $A152, F$2)</f>
        <v/>
      </c>
      <c r="G152">
        <f>CONCATENATE($A$2, $A$1, $A152, G$2)</f>
        <v/>
      </c>
      <c r="H152">
        <f>CONCATENATE($A$2, $A$1, $A152, H$2)</f>
        <v/>
      </c>
      <c r="I152">
        <f>CONCATENATE($A$2, $A$1, $A152, I$2)</f>
        <v/>
      </c>
      <c r="J152">
        <f>CONCATENATE($A$2, $A$1, $A152, J$2)</f>
        <v/>
      </c>
      <c r="K152">
        <f>CurrAttrValue(D152, 0)</f>
        <v/>
      </c>
      <c r="L152">
        <f>CurrAttrValue(E152, 0)</f>
        <v/>
      </c>
      <c r="M152">
        <f>CurrAttrValue(H152, 0)</f>
        <v/>
      </c>
      <c r="N152">
        <f>CurrAttrValue(I152, 0)</f>
        <v/>
      </c>
      <c r="O152">
        <f>CurrAttrValue(J152, 0)</f>
        <v/>
      </c>
      <c r="P152" s="5">
        <f>"108"</f>
        <v/>
      </c>
      <c r="Q152" s="6">
        <f>"АОбс. КПВ 3 не открыт на пуске или останове  "</f>
        <v/>
      </c>
      <c r="R152" s="7">
        <f>IF(N152, S152, "")</f>
        <v/>
      </c>
      <c r="S152" s="7">
        <f>CurrAttrValue(C152, 0)</f>
        <v/>
      </c>
      <c r="T152" s="5">
        <f>IF(K152=-200, "д.вх.", K152)</f>
        <v/>
      </c>
      <c r="U152" s="5">
        <f>IF(L152=-200, "д.вх.", IF(N152, O152, L152))</f>
        <v/>
      </c>
      <c r="V152" s="5">
        <f>CurrAttrValue(G152, 0)</f>
        <v/>
      </c>
      <c r="W152" s="5">
        <f>IF(M152, "Блокирована", IF(N152, "Проверено", "-"))</f>
        <v/>
      </c>
    </row>
    <row r="153" ht="20" customHeight="1">
      <c r="A153">
        <f>"System.PZ.A025"</f>
        <v/>
      </c>
      <c r="B153">
        <f>CONCATENATE($A$2, $A$1, $A153, B$2)</f>
        <v/>
      </c>
      <c r="C153">
        <f>CONCATENATE($A$2, $A$1, $A153, C$2)</f>
        <v/>
      </c>
      <c r="D153">
        <f>CONCATENATE($A$2, $A$1, $A153, D$2)</f>
        <v/>
      </c>
      <c r="E153">
        <f>CONCATENATE($A$2, $A$1, $A153, E$2)</f>
        <v/>
      </c>
      <c r="F153">
        <f>CONCATENATE($A$2, $A$1, $A153, F$2)</f>
        <v/>
      </c>
      <c r="G153">
        <f>CONCATENATE($A$2, $A$1, $A153, G$2)</f>
        <v/>
      </c>
      <c r="H153">
        <f>CONCATENATE($A$2, $A$1, $A153, H$2)</f>
        <v/>
      </c>
      <c r="I153">
        <f>CONCATENATE($A$2, $A$1, $A153, I$2)</f>
        <v/>
      </c>
      <c r="J153">
        <f>CONCATENATE($A$2, $A$1, $A153, J$2)</f>
        <v/>
      </c>
      <c r="K153">
        <f>CurrAttrValue(D153, 0)</f>
        <v/>
      </c>
      <c r="L153">
        <f>CurrAttrValue(E153, 0)</f>
        <v/>
      </c>
      <c r="M153">
        <f>CurrAttrValue(H153, 0)</f>
        <v/>
      </c>
      <c r="N153">
        <f>CurrAttrValue(I153, 0)</f>
        <v/>
      </c>
      <c r="O153">
        <f>CurrAttrValue(J153, 0)</f>
        <v/>
      </c>
      <c r="P153" s="5">
        <f>"109"</f>
        <v/>
      </c>
      <c r="Q153" s="6">
        <f>"АОбс. КПВ 3 не закрыт на режиме  "</f>
        <v/>
      </c>
      <c r="R153" s="7">
        <f>IF(N153, S153, "")</f>
        <v/>
      </c>
      <c r="S153" s="7">
        <f>CurrAttrValue(C153, 0)</f>
        <v/>
      </c>
      <c r="T153" s="5">
        <f>IF(K153=-200, "д.вх.", K153)</f>
        <v/>
      </c>
      <c r="U153" s="5">
        <f>IF(L153=-200, "д.вх.", IF(N153, O153, L153))</f>
        <v/>
      </c>
      <c r="V153" s="5">
        <f>CurrAttrValue(G153, 0)</f>
        <v/>
      </c>
      <c r="W153" s="5">
        <f>IF(M153, "Блокирована", IF(N153, "Проверено", "-"))</f>
        <v/>
      </c>
    </row>
    <row r="154" ht="20" customHeight="1">
      <c r="A154">
        <f>"System.PZ.A026"</f>
        <v/>
      </c>
      <c r="B154">
        <f>CONCATENATE($A$2, $A$1, $A154, B$2)</f>
        <v/>
      </c>
      <c r="C154">
        <f>CONCATENATE($A$2, $A$1, $A154, C$2)</f>
        <v/>
      </c>
      <c r="D154">
        <f>CONCATENATE($A$2, $A$1, $A154, D$2)</f>
        <v/>
      </c>
      <c r="E154">
        <f>CONCATENATE($A$2, $A$1, $A154, E$2)</f>
        <v/>
      </c>
      <c r="F154">
        <f>CONCATENATE($A$2, $A$1, $A154, F$2)</f>
        <v/>
      </c>
      <c r="G154">
        <f>CONCATENATE($A$2, $A$1, $A154, G$2)</f>
        <v/>
      </c>
      <c r="H154">
        <f>CONCATENATE($A$2, $A$1, $A154, H$2)</f>
        <v/>
      </c>
      <c r="I154">
        <f>CONCATENATE($A$2, $A$1, $A154, I$2)</f>
        <v/>
      </c>
      <c r="J154">
        <f>CONCATENATE($A$2, $A$1, $A154, J$2)</f>
        <v/>
      </c>
      <c r="K154">
        <f>CurrAttrValue(D154, 0)</f>
        <v/>
      </c>
      <c r="L154">
        <f>CurrAttrValue(E154, 0)</f>
        <v/>
      </c>
      <c r="M154">
        <f>CurrAttrValue(H154, 0)</f>
        <v/>
      </c>
      <c r="N154">
        <f>CurrAttrValue(I154, 0)</f>
        <v/>
      </c>
      <c r="O154">
        <f>CurrAttrValue(J154, 0)</f>
        <v/>
      </c>
      <c r="P154" s="5">
        <f>"110"</f>
        <v/>
      </c>
      <c r="Q154" s="6">
        <f>"АОбс. КПВ 4 не открыт на пуске или останове  "</f>
        <v/>
      </c>
      <c r="R154" s="7">
        <f>IF(N154, S154, "")</f>
        <v/>
      </c>
      <c r="S154" s="7">
        <f>CurrAttrValue(C154, 0)</f>
        <v/>
      </c>
      <c r="T154" s="5">
        <f>IF(K154=-200, "д.вх.", K154)</f>
        <v/>
      </c>
      <c r="U154" s="5">
        <f>IF(L154=-200, "д.вх.", IF(N154, O154, L154))</f>
        <v/>
      </c>
      <c r="V154" s="5">
        <f>CurrAttrValue(G154, 0)</f>
        <v/>
      </c>
      <c r="W154" s="5">
        <f>IF(M154, "Блокирована", IF(N154, "Проверено", "-"))</f>
        <v/>
      </c>
    </row>
    <row r="155" ht="20" customHeight="1">
      <c r="A155">
        <f>"System.PZ.A027"</f>
        <v/>
      </c>
      <c r="B155">
        <f>CONCATENATE($A$2, $A$1, $A155, B$2)</f>
        <v/>
      </c>
      <c r="C155">
        <f>CONCATENATE($A$2, $A$1, $A155, C$2)</f>
        <v/>
      </c>
      <c r="D155">
        <f>CONCATENATE($A$2, $A$1, $A155, D$2)</f>
        <v/>
      </c>
      <c r="E155">
        <f>CONCATENATE($A$2, $A$1, $A155, E$2)</f>
        <v/>
      </c>
      <c r="F155">
        <f>CONCATENATE($A$2, $A$1, $A155, F$2)</f>
        <v/>
      </c>
      <c r="G155">
        <f>CONCATENATE($A$2, $A$1, $A155, G$2)</f>
        <v/>
      </c>
      <c r="H155">
        <f>CONCATENATE($A$2, $A$1, $A155, H$2)</f>
        <v/>
      </c>
      <c r="I155">
        <f>CONCATENATE($A$2, $A$1, $A155, I$2)</f>
        <v/>
      </c>
      <c r="J155">
        <f>CONCATENATE($A$2, $A$1, $A155, J$2)</f>
        <v/>
      </c>
      <c r="K155">
        <f>CurrAttrValue(D155, 0)</f>
        <v/>
      </c>
      <c r="L155">
        <f>CurrAttrValue(E155, 0)</f>
        <v/>
      </c>
      <c r="M155">
        <f>CurrAttrValue(H155, 0)</f>
        <v/>
      </c>
      <c r="N155">
        <f>CurrAttrValue(I155, 0)</f>
        <v/>
      </c>
      <c r="O155">
        <f>CurrAttrValue(J155, 0)</f>
        <v/>
      </c>
      <c r="P155" s="5">
        <f>"111"</f>
        <v/>
      </c>
      <c r="Q155" s="6">
        <f>"АОбс. КПВ 4 не закрыт на режиме  "</f>
        <v/>
      </c>
      <c r="R155" s="7">
        <f>IF(N155, S155, "")</f>
        <v/>
      </c>
      <c r="S155" s="7">
        <f>CurrAttrValue(C155, 0)</f>
        <v/>
      </c>
      <c r="T155" s="5">
        <f>IF(K155=-200, "д.вх.", K155)</f>
        <v/>
      </c>
      <c r="U155" s="5">
        <f>IF(L155=-200, "д.вх.", IF(N155, O155, L155))</f>
        <v/>
      </c>
      <c r="V155" s="5">
        <f>CurrAttrValue(G155, 0)</f>
        <v/>
      </c>
      <c r="W155" s="5">
        <f>IF(M155, "Блокирована", IF(N155, "Проверено", "-"))</f>
        <v/>
      </c>
    </row>
    <row r="156" ht="20" customHeight="1">
      <c r="A156">
        <f>"System.PZ.A028"</f>
        <v/>
      </c>
      <c r="B156">
        <f>CONCATENATE($A$2, $A$1, $A156, B$2)</f>
        <v/>
      </c>
      <c r="C156">
        <f>CONCATENATE($A$2, $A$1, $A156, C$2)</f>
        <v/>
      </c>
      <c r="D156">
        <f>CONCATENATE($A$2, $A$1, $A156, D$2)</f>
        <v/>
      </c>
      <c r="E156">
        <f>CONCATENATE($A$2, $A$1, $A156, E$2)</f>
        <v/>
      </c>
      <c r="F156">
        <f>CONCATENATE($A$2, $A$1, $A156, F$2)</f>
        <v/>
      </c>
      <c r="G156">
        <f>CONCATENATE($A$2, $A$1, $A156, G$2)</f>
        <v/>
      </c>
      <c r="H156">
        <f>CONCATENATE($A$2, $A$1, $A156, H$2)</f>
        <v/>
      </c>
      <c r="I156">
        <f>CONCATENATE($A$2, $A$1, $A156, I$2)</f>
        <v/>
      </c>
      <c r="J156">
        <f>CONCATENATE($A$2, $A$1, $A156, J$2)</f>
        <v/>
      </c>
      <c r="K156">
        <f>CurrAttrValue(D156, 0)</f>
        <v/>
      </c>
      <c r="L156">
        <f>CurrAttrValue(E156, 0)</f>
        <v/>
      </c>
      <c r="M156">
        <f>CurrAttrValue(H156, 0)</f>
        <v/>
      </c>
      <c r="N156">
        <f>CurrAttrValue(I156, 0)</f>
        <v/>
      </c>
      <c r="O156">
        <f>CurrAttrValue(J156, 0)</f>
        <v/>
      </c>
      <c r="P156" s="5">
        <f>"112"</f>
        <v/>
      </c>
      <c r="Q156" s="6">
        <f>"АОбс. Обобщенный АО от ТР  "</f>
        <v/>
      </c>
      <c r="R156" s="7">
        <f>IF(N156, S156, "")</f>
        <v/>
      </c>
      <c r="S156" s="7">
        <f>CurrAttrValue(C156, 0)</f>
        <v/>
      </c>
      <c r="T156" s="5">
        <f>IF(K156=-200, "д.вх.", K156)</f>
        <v/>
      </c>
      <c r="U156" s="5">
        <f>IF(L156=-200, "д.вх.", IF(N156, O156, L156))</f>
        <v/>
      </c>
      <c r="V156" s="5">
        <f>CurrAttrValue(G156, 0)</f>
        <v/>
      </c>
      <c r="W156" s="5">
        <f>IF(M156, "Блокирована", IF(N156, "Проверено", "-"))</f>
        <v/>
      </c>
    </row>
    <row r="157" ht="20" customHeight="1">
      <c r="A157">
        <f>"System.PZ.A029"</f>
        <v/>
      </c>
      <c r="B157">
        <f>CONCATENATE($A$2, $A$1, $A157, B$2)</f>
        <v/>
      </c>
      <c r="C157">
        <f>CONCATENATE($A$2, $A$1, $A157, C$2)</f>
        <v/>
      </c>
      <c r="D157">
        <f>CONCATENATE($A$2, $A$1, $A157, D$2)</f>
        <v/>
      </c>
      <c r="E157">
        <f>CONCATENATE($A$2, $A$1, $A157, E$2)</f>
        <v/>
      </c>
      <c r="F157">
        <f>CONCATENATE($A$2, $A$1, $A157, F$2)</f>
        <v/>
      </c>
      <c r="G157">
        <f>CONCATENATE($A$2, $A$1, $A157, G$2)</f>
        <v/>
      </c>
      <c r="H157">
        <f>CONCATENATE($A$2, $A$1, $A157, H$2)</f>
        <v/>
      </c>
      <c r="I157">
        <f>CONCATENATE($A$2, $A$1, $A157, I$2)</f>
        <v/>
      </c>
      <c r="J157">
        <f>CONCATENATE($A$2, $A$1, $A157, J$2)</f>
        <v/>
      </c>
      <c r="K157">
        <f>CurrAttrValue(D157, 0)</f>
        <v/>
      </c>
      <c r="L157">
        <f>CurrAttrValue(E157, 0)</f>
        <v/>
      </c>
      <c r="M157">
        <f>CurrAttrValue(H157, 0)</f>
        <v/>
      </c>
      <c r="N157">
        <f>CurrAttrValue(I157, 0)</f>
        <v/>
      </c>
      <c r="O157">
        <f>CurrAttrValue(J157, 0)</f>
        <v/>
      </c>
      <c r="P157" s="5">
        <f>"113"</f>
        <v/>
      </c>
      <c r="Q157" s="6">
        <f>"АОбс. Кран 6р (АПРК) не открыт на пуске  "</f>
        <v/>
      </c>
      <c r="R157" s="7">
        <f>IF(N157, S157, "")</f>
        <v/>
      </c>
      <c r="S157" s="7">
        <f>CurrAttrValue(C157, 0)</f>
        <v/>
      </c>
      <c r="T157" s="5">
        <f>IF(K157=-200, "д.вх.", K157)</f>
        <v/>
      </c>
      <c r="U157" s="5">
        <f>IF(L157=-200, "д.вх.", IF(N157, O157, L157))</f>
        <v/>
      </c>
      <c r="V157" s="5">
        <f>CurrAttrValue(G157, 0)</f>
        <v/>
      </c>
      <c r="W157" s="5">
        <f>IF(M157, "Блокирована", IF(N157, "Проверено", "-"))</f>
        <v/>
      </c>
    </row>
    <row r="158" ht="20" customHeight="1">
      <c r="A158">
        <f>"System.PZ.A030"</f>
        <v/>
      </c>
      <c r="B158">
        <f>CONCATENATE($A$2, $A$1, $A158, B$2)</f>
        <v/>
      </c>
      <c r="C158">
        <f>CONCATENATE($A$2, $A$1, $A158, C$2)</f>
        <v/>
      </c>
      <c r="D158">
        <f>CONCATENATE($A$2, $A$1, $A158, D$2)</f>
        <v/>
      </c>
      <c r="E158">
        <f>CONCATENATE($A$2, $A$1, $A158, E$2)</f>
        <v/>
      </c>
      <c r="F158">
        <f>CONCATENATE($A$2, $A$1, $A158, F$2)</f>
        <v/>
      </c>
      <c r="G158">
        <f>CONCATENATE($A$2, $A$1, $A158, G$2)</f>
        <v/>
      </c>
      <c r="H158">
        <f>CONCATENATE($A$2, $A$1, $A158, H$2)</f>
        <v/>
      </c>
      <c r="I158">
        <f>CONCATENATE($A$2, $A$1, $A158, I$2)</f>
        <v/>
      </c>
      <c r="J158">
        <f>CONCATENATE($A$2, $A$1, $A158, J$2)</f>
        <v/>
      </c>
      <c r="K158">
        <f>CurrAttrValue(D158, 0)</f>
        <v/>
      </c>
      <c r="L158">
        <f>CurrAttrValue(E158, 0)</f>
        <v/>
      </c>
      <c r="M158">
        <f>CurrAttrValue(H158, 0)</f>
        <v/>
      </c>
      <c r="N158">
        <f>CurrAttrValue(I158, 0)</f>
        <v/>
      </c>
      <c r="O158">
        <f>CurrAttrValue(J158, 0)</f>
        <v/>
      </c>
      <c r="P158" s="5">
        <f>"114"</f>
        <v/>
      </c>
      <c r="Q158" s="6">
        <f>"АОсс. Помпаж нагнетателя  "</f>
        <v/>
      </c>
      <c r="R158" s="7">
        <f>IF(N158, S158, "")</f>
        <v/>
      </c>
      <c r="S158" s="7">
        <f>CurrAttrValue(C158, 0)</f>
        <v/>
      </c>
      <c r="T158" s="5">
        <f>IF(K158=-200, "д.вх.", K158)</f>
        <v/>
      </c>
      <c r="U158" s="5">
        <f>IF(L158=-200, "д.вх.", IF(N158, O158, L158))</f>
        <v/>
      </c>
      <c r="V158" s="5">
        <f>CurrAttrValue(G158, 0)</f>
        <v/>
      </c>
      <c r="W158" s="5">
        <f>IF(M158, "Блокирована", IF(N158, "Проверено", "-"))</f>
        <v/>
      </c>
    </row>
    <row r="159" ht="20" customHeight="1">
      <c r="A159">
        <f>"System.PZ.A031"</f>
        <v/>
      </c>
      <c r="B159">
        <f>CONCATENATE($A$2, $A$1, $A159, B$2)</f>
        <v/>
      </c>
      <c r="C159">
        <f>CONCATENATE($A$2, $A$1, $A159, C$2)</f>
        <v/>
      </c>
      <c r="D159">
        <f>CONCATENATE($A$2, $A$1, $A159, D$2)</f>
        <v/>
      </c>
      <c r="E159">
        <f>CONCATENATE($A$2, $A$1, $A159, E$2)</f>
        <v/>
      </c>
      <c r="F159">
        <f>CONCATENATE($A$2, $A$1, $A159, F$2)</f>
        <v/>
      </c>
      <c r="G159">
        <f>CONCATENATE($A$2, $A$1, $A159, G$2)</f>
        <v/>
      </c>
      <c r="H159">
        <f>CONCATENATE($A$2, $A$1, $A159, H$2)</f>
        <v/>
      </c>
      <c r="I159">
        <f>CONCATENATE($A$2, $A$1, $A159, I$2)</f>
        <v/>
      </c>
      <c r="J159">
        <f>CONCATENATE($A$2, $A$1, $A159, J$2)</f>
        <v/>
      </c>
      <c r="K159">
        <f>CurrAttrValue(D159, 0)</f>
        <v/>
      </c>
      <c r="L159">
        <f>CurrAttrValue(E159, 0)</f>
        <v/>
      </c>
      <c r="M159">
        <f>CurrAttrValue(H159, 0)</f>
        <v/>
      </c>
      <c r="N159">
        <f>CurrAttrValue(I159, 0)</f>
        <v/>
      </c>
      <c r="O159">
        <f>CurrAttrValue(J159, 0)</f>
        <v/>
      </c>
      <c r="P159" s="5">
        <f>"115"</f>
        <v/>
      </c>
      <c r="Q159" s="6">
        <f>"АОсс. БЭО сработал (от AD200)  "</f>
        <v/>
      </c>
      <c r="R159" s="7">
        <f>IF(N159, S159, "")</f>
        <v/>
      </c>
      <c r="S159" s="7">
        <f>CurrAttrValue(C159, 0)</f>
        <v/>
      </c>
      <c r="T159" s="5">
        <f>IF(K159=-200, "д.вх.", K159)</f>
        <v/>
      </c>
      <c r="U159" s="5">
        <f>IF(L159=-200, "д.вх.", IF(N159, O159, L159))</f>
        <v/>
      </c>
      <c r="V159" s="5">
        <f>CurrAttrValue(G159, 0)</f>
        <v/>
      </c>
      <c r="W159" s="5">
        <f>IF(M159, "Блокирована", IF(N159, "Проверено", "-"))</f>
        <v/>
      </c>
    </row>
    <row r="160" ht="20" customHeight="1">
      <c r="A160">
        <f>"System.PZ.A032"</f>
        <v/>
      </c>
      <c r="B160">
        <f>CONCATENATE($A$2, $A$1, $A160, B$2)</f>
        <v/>
      </c>
      <c r="C160">
        <f>CONCATENATE($A$2, $A$1, $A160, C$2)</f>
        <v/>
      </c>
      <c r="D160">
        <f>CONCATENATE($A$2, $A$1, $A160, D$2)</f>
        <v/>
      </c>
      <c r="E160">
        <f>CONCATENATE($A$2, $A$1, $A160, E$2)</f>
        <v/>
      </c>
      <c r="F160">
        <f>CONCATENATE($A$2, $A$1, $A160, F$2)</f>
        <v/>
      </c>
      <c r="G160">
        <f>CONCATENATE($A$2, $A$1, $A160, G$2)</f>
        <v/>
      </c>
      <c r="H160">
        <f>CONCATENATE($A$2, $A$1, $A160, H$2)</f>
        <v/>
      </c>
      <c r="I160">
        <f>CONCATENATE($A$2, $A$1, $A160, I$2)</f>
        <v/>
      </c>
      <c r="J160">
        <f>CONCATENATE($A$2, $A$1, $A160, J$2)</f>
        <v/>
      </c>
      <c r="K160">
        <f>CurrAttrValue(D160, 0)</f>
        <v/>
      </c>
      <c r="L160">
        <f>CurrAttrValue(E160, 0)</f>
        <v/>
      </c>
      <c r="M160">
        <f>CurrAttrValue(H160, 0)</f>
        <v/>
      </c>
      <c r="N160">
        <f>CurrAttrValue(I160, 0)</f>
        <v/>
      </c>
      <c r="O160">
        <f>CurrAttrValue(J160, 0)</f>
        <v/>
      </c>
      <c r="P160" s="5">
        <f>"116"</f>
        <v/>
      </c>
      <c r="Q160" s="6">
        <f>"АОсс. Авария от ПЛК (СТ AD200)  "</f>
        <v/>
      </c>
      <c r="R160" s="7">
        <f>IF(N160, S160, "")</f>
        <v/>
      </c>
      <c r="S160" s="7">
        <f>CurrAttrValue(C160, 0)</f>
        <v/>
      </c>
      <c r="T160" s="5">
        <f>IF(K160=-200, "д.вх.", K160)</f>
        <v/>
      </c>
      <c r="U160" s="5">
        <f>IF(L160=-200, "д.вх.", IF(N160, O160, L160))</f>
        <v/>
      </c>
      <c r="V160" s="5">
        <f>CurrAttrValue(G160, 0)</f>
        <v/>
      </c>
      <c r="W160" s="5">
        <f>IF(M160, "Блокирована", IF(N160, "Проверено", "-"))</f>
        <v/>
      </c>
    </row>
    <row r="161" ht="20" customHeight="1">
      <c r="A161">
        <f>"System.PZ.A033"</f>
        <v/>
      </c>
      <c r="B161">
        <f>CONCATENATE($A$2, $A$1, $A161, B$2)</f>
        <v/>
      </c>
      <c r="C161">
        <f>CONCATENATE($A$2, $A$1, $A161, C$2)</f>
        <v/>
      </c>
      <c r="D161">
        <f>CONCATENATE($A$2, $A$1, $A161, D$2)</f>
        <v/>
      </c>
      <c r="E161">
        <f>CONCATENATE($A$2, $A$1, $A161, E$2)</f>
        <v/>
      </c>
      <c r="F161">
        <f>CONCATENATE($A$2, $A$1, $A161, F$2)</f>
        <v/>
      </c>
      <c r="G161">
        <f>CONCATENATE($A$2, $A$1, $A161, G$2)</f>
        <v/>
      </c>
      <c r="H161">
        <f>CONCATENATE($A$2, $A$1, $A161, H$2)</f>
        <v/>
      </c>
      <c r="I161">
        <f>CONCATENATE($A$2, $A$1, $A161, I$2)</f>
        <v/>
      </c>
      <c r="J161">
        <f>CONCATENATE($A$2, $A$1, $A161, J$2)</f>
        <v/>
      </c>
      <c r="K161">
        <f>CurrAttrValue(D161, 0)</f>
        <v/>
      </c>
      <c r="L161">
        <f>CurrAttrValue(E161, 0)</f>
        <v/>
      </c>
      <c r="M161">
        <f>CurrAttrValue(H161, 0)</f>
        <v/>
      </c>
      <c r="N161">
        <f>CurrAttrValue(I161, 0)</f>
        <v/>
      </c>
      <c r="O161">
        <f>CurrAttrValue(J161, 0)</f>
        <v/>
      </c>
      <c r="P161" s="5">
        <f>"117"</f>
        <v/>
      </c>
      <c r="Q161" s="6">
        <f>"АОсс. Нет связи с ПЛК AD200  "</f>
        <v/>
      </c>
      <c r="R161" s="7">
        <f>IF(N161, S161, "")</f>
        <v/>
      </c>
      <c r="S161" s="7">
        <f>CurrAttrValue(C161, 0)</f>
        <v/>
      </c>
      <c r="T161" s="5">
        <f>IF(K161=-200, "д.вх.", K161)</f>
        <v/>
      </c>
      <c r="U161" s="5">
        <f>IF(L161=-200, "д.вх.", IF(N161, O161, L161))</f>
        <v/>
      </c>
      <c r="V161" s="5">
        <f>CurrAttrValue(G161, 0)</f>
        <v/>
      </c>
      <c r="W161" s="5">
        <f>IF(M161, "Блокирована", IF(N161, "Проверено", "-"))</f>
        <v/>
      </c>
    </row>
    <row r="162" ht="20" customHeight="1">
      <c r="A162">
        <f>"System.PZ.A034"</f>
        <v/>
      </c>
      <c r="B162">
        <f>CONCATENATE($A$2, $A$1, $A162, B$2)</f>
        <v/>
      </c>
      <c r="C162">
        <f>CONCATENATE($A$2, $A$1, $A162, C$2)</f>
        <v/>
      </c>
      <c r="D162">
        <f>CONCATENATE($A$2, $A$1, $A162, D$2)</f>
        <v/>
      </c>
      <c r="E162">
        <f>CONCATENATE($A$2, $A$1, $A162, E$2)</f>
        <v/>
      </c>
      <c r="F162">
        <f>CONCATENATE($A$2, $A$1, $A162, F$2)</f>
        <v/>
      </c>
      <c r="G162">
        <f>CONCATENATE($A$2, $A$1, $A162, G$2)</f>
        <v/>
      </c>
      <c r="H162">
        <f>CONCATENATE($A$2, $A$1, $A162, H$2)</f>
        <v/>
      </c>
      <c r="I162">
        <f>CONCATENATE($A$2, $A$1, $A162, I$2)</f>
        <v/>
      </c>
      <c r="J162">
        <f>CONCATENATE($A$2, $A$1, $A162, J$2)</f>
        <v/>
      </c>
      <c r="K162">
        <f>CurrAttrValue(D162, 0)</f>
        <v/>
      </c>
      <c r="L162">
        <f>CurrAttrValue(E162, 0)</f>
        <v/>
      </c>
      <c r="M162">
        <f>CurrAttrValue(H162, 0)</f>
        <v/>
      </c>
      <c r="N162">
        <f>CurrAttrValue(I162, 0)</f>
        <v/>
      </c>
      <c r="O162">
        <f>CurrAttrValue(J162, 0)</f>
        <v/>
      </c>
      <c r="P162" s="5">
        <f>"118"</f>
        <v/>
      </c>
      <c r="Q162" s="6">
        <f>"АОбс. Высокое давление пускового газа на входе ВС  "</f>
        <v/>
      </c>
      <c r="R162" s="7">
        <f>IF(N162, S162, "")</f>
        <v/>
      </c>
      <c r="S162" s="7">
        <f>CurrAttrValue(C162, 0)</f>
        <v/>
      </c>
      <c r="T162" s="5">
        <f>IF(K162=-200, "д.вх.", K162)</f>
        <v/>
      </c>
      <c r="U162" s="5">
        <f>IF(L162=-200, "д.вх.", IF(N162, O162, L162))</f>
        <v/>
      </c>
      <c r="V162" s="5">
        <f>CurrAttrValue(G162, 0)</f>
        <v/>
      </c>
      <c r="W162" s="5">
        <f>IF(M162, "Блокирована", IF(N162, "Проверено", "-"))</f>
        <v/>
      </c>
    </row>
    <row r="163" ht="20" customHeight="1">
      <c r="A163">
        <f>"System.PZ.A035"</f>
        <v/>
      </c>
      <c r="B163">
        <f>CONCATENATE($A$2, $A$1, $A163, B$2)</f>
        <v/>
      </c>
      <c r="C163">
        <f>CONCATENATE($A$2, $A$1, $A163, C$2)</f>
        <v/>
      </c>
      <c r="D163">
        <f>CONCATENATE($A$2, $A$1, $A163, D$2)</f>
        <v/>
      </c>
      <c r="E163">
        <f>CONCATENATE($A$2, $A$1, $A163, E$2)</f>
        <v/>
      </c>
      <c r="F163">
        <f>CONCATENATE($A$2, $A$1, $A163, F$2)</f>
        <v/>
      </c>
      <c r="G163">
        <f>CONCATENATE($A$2, $A$1, $A163, G$2)</f>
        <v/>
      </c>
      <c r="H163">
        <f>CONCATENATE($A$2, $A$1, $A163, H$2)</f>
        <v/>
      </c>
      <c r="I163">
        <f>CONCATENATE($A$2, $A$1, $A163, I$2)</f>
        <v/>
      </c>
      <c r="J163">
        <f>CONCATENATE($A$2, $A$1, $A163, J$2)</f>
        <v/>
      </c>
      <c r="K163">
        <f>CurrAttrValue(D163, 0)</f>
        <v/>
      </c>
      <c r="L163">
        <f>CurrAttrValue(E163, 0)</f>
        <v/>
      </c>
      <c r="M163">
        <f>CurrAttrValue(H163, 0)</f>
        <v/>
      </c>
      <c r="N163">
        <f>CurrAttrValue(I163, 0)</f>
        <v/>
      </c>
      <c r="O163">
        <f>CurrAttrValue(J163, 0)</f>
        <v/>
      </c>
      <c r="P163" s="5">
        <f>"119"</f>
        <v/>
      </c>
      <c r="Q163" s="6">
        <f>"АОбс. Низкое давление топливного газа перед СК  "</f>
        <v/>
      </c>
      <c r="R163" s="7">
        <f>IF(N163, S163, "")</f>
        <v/>
      </c>
      <c r="S163" s="7">
        <f>CurrAttrValue(C163, 0)</f>
        <v/>
      </c>
      <c r="T163" s="5">
        <f>IF(K163=-200, "д.вх.", K163)</f>
        <v/>
      </c>
      <c r="U163" s="5">
        <f>IF(L163=-200, "д.вх.", IF(N163, O163, L163))</f>
        <v/>
      </c>
      <c r="V163" s="5">
        <f>CurrAttrValue(G163, 0)</f>
        <v/>
      </c>
      <c r="W163" s="5">
        <f>IF(M163, "Блокирована", IF(N163, "Проверено", "-"))</f>
        <v/>
      </c>
    </row>
    <row r="164" ht="20" customHeight="1">
      <c r="A164">
        <f>"System.PZ.A036"</f>
        <v/>
      </c>
      <c r="B164">
        <f>CONCATENATE($A$2, $A$1, $A164, B$2)</f>
        <v/>
      </c>
      <c r="C164">
        <f>CONCATENATE($A$2, $A$1, $A164, C$2)</f>
        <v/>
      </c>
      <c r="D164">
        <f>CONCATENATE($A$2, $A$1, $A164, D$2)</f>
        <v/>
      </c>
      <c r="E164">
        <f>CONCATENATE($A$2, $A$1, $A164, E$2)</f>
        <v/>
      </c>
      <c r="F164">
        <f>CONCATENATE($A$2, $A$1, $A164, F$2)</f>
        <v/>
      </c>
      <c r="G164">
        <f>CONCATENATE($A$2, $A$1, $A164, G$2)</f>
        <v/>
      </c>
      <c r="H164">
        <f>CONCATENATE($A$2, $A$1, $A164, H$2)</f>
        <v/>
      </c>
      <c r="I164">
        <f>CONCATENATE($A$2, $A$1, $A164, I$2)</f>
        <v/>
      </c>
      <c r="J164">
        <f>CONCATENATE($A$2, $A$1, $A164, J$2)</f>
        <v/>
      </c>
      <c r="K164">
        <f>CurrAttrValue(D164, 0)</f>
        <v/>
      </c>
      <c r="L164">
        <f>CurrAttrValue(E164, 0)</f>
        <v/>
      </c>
      <c r="M164">
        <f>CurrAttrValue(H164, 0)</f>
        <v/>
      </c>
      <c r="N164">
        <f>CurrAttrValue(I164, 0)</f>
        <v/>
      </c>
      <c r="O164">
        <f>CurrAttrValue(J164, 0)</f>
        <v/>
      </c>
      <c r="P164" s="5">
        <f>"120"</f>
        <v/>
      </c>
      <c r="Q164" s="6">
        <f>"АОбс. Низкое давление топливного газа перед МШ  "</f>
        <v/>
      </c>
      <c r="R164" s="7">
        <f>IF(N164, S164, "")</f>
        <v/>
      </c>
      <c r="S164" s="7">
        <f>CurrAttrValue(C164, 0)</f>
        <v/>
      </c>
      <c r="T164" s="5">
        <f>IF(K164=-200, "д.вх.", K164)</f>
        <v/>
      </c>
      <c r="U164" s="5">
        <f>IF(L164=-200, "д.вх.", IF(N164, O164, L164))</f>
        <v/>
      </c>
      <c r="V164" s="5">
        <f>CurrAttrValue(G164, 0)</f>
        <v/>
      </c>
      <c r="W164" s="5">
        <f>IF(M164, "Блокирована", IF(N164, "Проверено", "-"))</f>
        <v/>
      </c>
    </row>
    <row r="165" ht="20" customHeight="1">
      <c r="A165">
        <f>"System.PZ.A037"</f>
        <v/>
      </c>
      <c r="B165">
        <f>CONCATENATE($A$2, $A$1, $A165, B$2)</f>
        <v/>
      </c>
      <c r="C165">
        <f>CONCATENATE($A$2, $A$1, $A165, C$2)</f>
        <v/>
      </c>
      <c r="D165">
        <f>CONCATENATE($A$2, $A$1, $A165, D$2)</f>
        <v/>
      </c>
      <c r="E165">
        <f>CONCATENATE($A$2, $A$1, $A165, E$2)</f>
        <v/>
      </c>
      <c r="F165">
        <f>CONCATENATE($A$2, $A$1, $A165, F$2)</f>
        <v/>
      </c>
      <c r="G165">
        <f>CONCATENATE($A$2, $A$1, $A165, G$2)</f>
        <v/>
      </c>
      <c r="H165">
        <f>CONCATENATE($A$2, $A$1, $A165, H$2)</f>
        <v/>
      </c>
      <c r="I165">
        <f>CONCATENATE($A$2, $A$1, $A165, I$2)</f>
        <v/>
      </c>
      <c r="J165">
        <f>CONCATENATE($A$2, $A$1, $A165, J$2)</f>
        <v/>
      </c>
      <c r="K165">
        <f>CurrAttrValue(D165, 0)</f>
        <v/>
      </c>
      <c r="L165">
        <f>CurrAttrValue(E165, 0)</f>
        <v/>
      </c>
      <c r="M165">
        <f>CurrAttrValue(H165, 0)</f>
        <v/>
      </c>
      <c r="N165">
        <f>CurrAttrValue(I165, 0)</f>
        <v/>
      </c>
      <c r="O165">
        <f>CurrAttrValue(J165, 0)</f>
        <v/>
      </c>
      <c r="P165" s="5">
        <f>"121"</f>
        <v/>
      </c>
      <c r="Q165" s="6">
        <f>"АОбс. Высокая виброскорость корпуса ТК  "</f>
        <v/>
      </c>
      <c r="R165" s="7">
        <f>IF(N165, S165, "")</f>
        <v/>
      </c>
      <c r="S165" s="7">
        <f>CurrAttrValue(C165, 0)</f>
        <v/>
      </c>
      <c r="T165" s="5">
        <f>IF(K165=-200, "д.вх.", K165)</f>
        <v/>
      </c>
      <c r="U165" s="5">
        <f>IF(L165=-200, "д.вх.", IF(N165, O165, L165))</f>
        <v/>
      </c>
      <c r="V165" s="5">
        <f>CurrAttrValue(G165, 0)</f>
        <v/>
      </c>
      <c r="W165" s="5">
        <f>IF(M165, "Блокирована", IF(N165, "Проверено", "-"))</f>
        <v/>
      </c>
    </row>
    <row r="166" ht="20" customHeight="1">
      <c r="A166">
        <f>"System.PZ.A038"</f>
        <v/>
      </c>
      <c r="B166">
        <f>CONCATENATE($A$2, $A$1, $A166, B$2)</f>
        <v/>
      </c>
      <c r="C166">
        <f>CONCATENATE($A$2, $A$1, $A166, C$2)</f>
        <v/>
      </c>
      <c r="D166">
        <f>CONCATENATE($A$2, $A$1, $A166, D$2)</f>
        <v/>
      </c>
      <c r="E166">
        <f>CONCATENATE($A$2, $A$1, $A166, E$2)</f>
        <v/>
      </c>
      <c r="F166">
        <f>CONCATENATE($A$2, $A$1, $A166, F$2)</f>
        <v/>
      </c>
      <c r="G166">
        <f>CONCATENATE($A$2, $A$1, $A166, G$2)</f>
        <v/>
      </c>
      <c r="H166">
        <f>CONCATENATE($A$2, $A$1, $A166, H$2)</f>
        <v/>
      </c>
      <c r="I166">
        <f>CONCATENATE($A$2, $A$1, $A166, I$2)</f>
        <v/>
      </c>
      <c r="J166">
        <f>CONCATENATE($A$2, $A$1, $A166, J$2)</f>
        <v/>
      </c>
      <c r="K166">
        <f>CurrAttrValue(D166, 0)</f>
        <v/>
      </c>
      <c r="L166">
        <f>CurrAttrValue(E166, 0)</f>
        <v/>
      </c>
      <c r="M166">
        <f>CurrAttrValue(H166, 0)</f>
        <v/>
      </c>
      <c r="N166">
        <f>CurrAttrValue(I166, 0)</f>
        <v/>
      </c>
      <c r="O166">
        <f>CurrAttrValue(J166, 0)</f>
        <v/>
      </c>
      <c r="P166" s="5">
        <f>"122"</f>
        <v/>
      </c>
      <c r="Q166" s="6">
        <f>"АОбс. Высокая виброскорость корпуса ТК  "</f>
        <v/>
      </c>
      <c r="R166" s="7">
        <f>IF(N166, S166, "")</f>
        <v/>
      </c>
      <c r="S166" s="7">
        <f>CurrAttrValue(C166, 0)</f>
        <v/>
      </c>
      <c r="T166" s="5">
        <f>IF(K166=-200, "д.вх.", K166)</f>
        <v/>
      </c>
      <c r="U166" s="5">
        <f>IF(L166=-200, "д.вх.", IF(N166, O166, L166))</f>
        <v/>
      </c>
      <c r="V166" s="5">
        <f>CurrAttrValue(G166, 0)</f>
        <v/>
      </c>
      <c r="W166" s="5">
        <f>IF(M166, "Блокирована", IF(N166, "Проверено", "-"))</f>
        <v/>
      </c>
    </row>
    <row r="167" ht="20" customHeight="1">
      <c r="A167">
        <f>"System.PZ.A039"</f>
        <v/>
      </c>
      <c r="B167">
        <f>CONCATENATE($A$2, $A$1, $A167, B$2)</f>
        <v/>
      </c>
      <c r="C167">
        <f>CONCATENATE($A$2, $A$1, $A167, C$2)</f>
        <v/>
      </c>
      <c r="D167">
        <f>CONCATENATE($A$2, $A$1, $A167, D$2)</f>
        <v/>
      </c>
      <c r="E167">
        <f>CONCATENATE($A$2, $A$1, $A167, E$2)</f>
        <v/>
      </c>
      <c r="F167">
        <f>CONCATENATE($A$2, $A$1, $A167, F$2)</f>
        <v/>
      </c>
      <c r="G167">
        <f>CONCATENATE($A$2, $A$1, $A167, G$2)</f>
        <v/>
      </c>
      <c r="H167">
        <f>CONCATENATE($A$2, $A$1, $A167, H$2)</f>
        <v/>
      </c>
      <c r="I167">
        <f>CONCATENATE($A$2, $A$1, $A167, I$2)</f>
        <v/>
      </c>
      <c r="J167">
        <f>CONCATENATE($A$2, $A$1, $A167, J$2)</f>
        <v/>
      </c>
      <c r="K167">
        <f>CurrAttrValue(D167, 0)</f>
        <v/>
      </c>
      <c r="L167">
        <f>CurrAttrValue(E167, 0)</f>
        <v/>
      </c>
      <c r="M167">
        <f>CurrAttrValue(H167, 0)</f>
        <v/>
      </c>
      <c r="N167">
        <f>CurrAttrValue(I167, 0)</f>
        <v/>
      </c>
      <c r="O167">
        <f>CurrAttrValue(J167, 0)</f>
        <v/>
      </c>
      <c r="P167" s="5">
        <f>"123"</f>
        <v/>
      </c>
      <c r="Q167" s="6">
        <f>"АОбс. Вибрация ГТД опасная  "</f>
        <v/>
      </c>
      <c r="R167" s="7">
        <f>IF(N167, S167, "")</f>
        <v/>
      </c>
      <c r="S167" s="7">
        <f>CurrAttrValue(C167, 0)</f>
        <v/>
      </c>
      <c r="T167" s="5">
        <f>IF(K167=-200, "д.вх.", K167)</f>
        <v/>
      </c>
      <c r="U167" s="5">
        <f>IF(L167=-200, "д.вх.", IF(N167, O167, L167))</f>
        <v/>
      </c>
      <c r="V167" s="5">
        <f>CurrAttrValue(G167, 0)</f>
        <v/>
      </c>
      <c r="W167" s="5">
        <f>IF(M167, "Блокирована", IF(N167, "Проверено", "-"))</f>
        <v/>
      </c>
    </row>
    <row r="168" ht="20" customHeight="1">
      <c r="A168">
        <f>"System.PZ.A040"</f>
        <v/>
      </c>
      <c r="B168">
        <f>CONCATENATE($A$2, $A$1, $A168, B$2)</f>
        <v/>
      </c>
      <c r="C168">
        <f>CONCATENATE($A$2, $A$1, $A168, C$2)</f>
        <v/>
      </c>
      <c r="D168">
        <f>CONCATENATE($A$2, $A$1, $A168, D$2)</f>
        <v/>
      </c>
      <c r="E168">
        <f>CONCATENATE($A$2, $A$1, $A168, E$2)</f>
        <v/>
      </c>
      <c r="F168">
        <f>CONCATENATE($A$2, $A$1, $A168, F$2)</f>
        <v/>
      </c>
      <c r="G168">
        <f>CONCATENATE($A$2, $A$1, $A168, G$2)</f>
        <v/>
      </c>
      <c r="H168">
        <f>CONCATENATE($A$2, $A$1, $A168, H$2)</f>
        <v/>
      </c>
      <c r="I168">
        <f>CONCATENATE($A$2, $A$1, $A168, I$2)</f>
        <v/>
      </c>
      <c r="J168">
        <f>CONCATENATE($A$2, $A$1, $A168, J$2)</f>
        <v/>
      </c>
      <c r="K168">
        <f>CurrAttrValue(D168, 0)</f>
        <v/>
      </c>
      <c r="L168">
        <f>CurrAttrValue(E168, 0)</f>
        <v/>
      </c>
      <c r="M168">
        <f>CurrAttrValue(H168, 0)</f>
        <v/>
      </c>
      <c r="N168">
        <f>CurrAttrValue(I168, 0)</f>
        <v/>
      </c>
      <c r="O168">
        <f>CurrAttrValue(J168, 0)</f>
        <v/>
      </c>
      <c r="P168" s="5">
        <f>"124"</f>
        <v/>
      </c>
      <c r="Q168" s="6">
        <f>"АОбс. Высокая температура масла на сливе из ГТД  "</f>
        <v/>
      </c>
      <c r="R168" s="7">
        <f>IF(N168, S168, "")</f>
        <v/>
      </c>
      <c r="S168" s="7">
        <f>CurrAttrValue(C168, 0)</f>
        <v/>
      </c>
      <c r="T168" s="5">
        <f>IF(K168=-200, "д.вх.", K168)</f>
        <v/>
      </c>
      <c r="U168" s="5">
        <f>IF(L168=-200, "д.вх.", IF(N168, O168, L168))</f>
        <v/>
      </c>
      <c r="V168" s="5">
        <f>CurrAttrValue(G168, 0)</f>
        <v/>
      </c>
      <c r="W168" s="5">
        <f>IF(M168, "Блокирована", IF(N168, "Проверено", "-"))</f>
        <v/>
      </c>
    </row>
    <row r="169" ht="20" customHeight="1">
      <c r="A169">
        <f>"System.PZ.A041"</f>
        <v/>
      </c>
      <c r="B169">
        <f>CONCATENATE($A$2, $A$1, $A169, B$2)</f>
        <v/>
      </c>
      <c r="C169">
        <f>CONCATENATE($A$2, $A$1, $A169, C$2)</f>
        <v/>
      </c>
      <c r="D169">
        <f>CONCATENATE($A$2, $A$1, $A169, D$2)</f>
        <v/>
      </c>
      <c r="E169">
        <f>CONCATENATE($A$2, $A$1, $A169, E$2)</f>
        <v/>
      </c>
      <c r="F169">
        <f>CONCATENATE($A$2, $A$1, $A169, F$2)</f>
        <v/>
      </c>
      <c r="G169">
        <f>CONCATENATE($A$2, $A$1, $A169, G$2)</f>
        <v/>
      </c>
      <c r="H169">
        <f>CONCATENATE($A$2, $A$1, $A169, H$2)</f>
        <v/>
      </c>
      <c r="I169">
        <f>CONCATENATE($A$2, $A$1, $A169, I$2)</f>
        <v/>
      </c>
      <c r="J169">
        <f>CONCATENATE($A$2, $A$1, $A169, J$2)</f>
        <v/>
      </c>
      <c r="K169">
        <f>CurrAttrValue(D169, 0)</f>
        <v/>
      </c>
      <c r="L169">
        <f>CurrAttrValue(E169, 0)</f>
        <v/>
      </c>
      <c r="M169">
        <f>CurrAttrValue(H169, 0)</f>
        <v/>
      </c>
      <c r="N169">
        <f>CurrAttrValue(I169, 0)</f>
        <v/>
      </c>
      <c r="O169">
        <f>CurrAttrValue(J169, 0)</f>
        <v/>
      </c>
      <c r="P169" s="5">
        <f>"125"</f>
        <v/>
      </c>
      <c r="Q169" s="6">
        <f>"АОбс. Низкое давление масла на входе в стартер  "</f>
        <v/>
      </c>
      <c r="R169" s="7">
        <f>IF(N169, S169, "")</f>
        <v/>
      </c>
      <c r="S169" s="7">
        <f>CurrAttrValue(C169, 0)</f>
        <v/>
      </c>
      <c r="T169" s="5">
        <f>IF(K169=-200, "д.вх.", K169)</f>
        <v/>
      </c>
      <c r="U169" s="5">
        <f>IF(L169=-200, "д.вх.", IF(N169, O169, L169))</f>
        <v/>
      </c>
      <c r="V169" s="5">
        <f>CurrAttrValue(G169, 0)</f>
        <v/>
      </c>
      <c r="W169" s="5">
        <f>IF(M169, "Блокирована", IF(N169, "Проверено", "-"))</f>
        <v/>
      </c>
    </row>
    <row r="170" ht="20" customHeight="1">
      <c r="A170">
        <f>"System.PZ.A042"</f>
        <v/>
      </c>
      <c r="B170">
        <f>CONCATENATE($A$2, $A$1, $A170, B$2)</f>
        <v/>
      </c>
      <c r="C170">
        <f>CONCATENATE($A$2, $A$1, $A170, C$2)</f>
        <v/>
      </c>
      <c r="D170">
        <f>CONCATENATE($A$2, $A$1, $A170, D$2)</f>
        <v/>
      </c>
      <c r="E170">
        <f>CONCATENATE($A$2, $A$1, $A170, E$2)</f>
        <v/>
      </c>
      <c r="F170">
        <f>CONCATENATE($A$2, $A$1, $A170, F$2)</f>
        <v/>
      </c>
      <c r="G170">
        <f>CONCATENATE($A$2, $A$1, $A170, G$2)</f>
        <v/>
      </c>
      <c r="H170">
        <f>CONCATENATE($A$2, $A$1, $A170, H$2)</f>
        <v/>
      </c>
      <c r="I170">
        <f>CONCATENATE($A$2, $A$1, $A170, I$2)</f>
        <v/>
      </c>
      <c r="J170">
        <f>CONCATENATE($A$2, $A$1, $A170, J$2)</f>
        <v/>
      </c>
      <c r="K170">
        <f>CurrAttrValue(D170, 0)</f>
        <v/>
      </c>
      <c r="L170">
        <f>CurrAttrValue(E170, 0)</f>
        <v/>
      </c>
      <c r="M170">
        <f>CurrAttrValue(H170, 0)</f>
        <v/>
      </c>
      <c r="N170">
        <f>CurrAttrValue(I170, 0)</f>
        <v/>
      </c>
      <c r="O170">
        <f>CurrAttrValue(J170, 0)</f>
        <v/>
      </c>
      <c r="P170" s="5">
        <f>"126"</f>
        <v/>
      </c>
      <c r="Q170" s="6">
        <f>"АОбс. Низкое давление масла САР  "</f>
        <v/>
      </c>
      <c r="R170" s="7">
        <f>IF(N170, S170, "")</f>
        <v/>
      </c>
      <c r="S170" s="7">
        <f>CurrAttrValue(C170, 0)</f>
        <v/>
      </c>
      <c r="T170" s="5">
        <f>IF(K170=-200, "д.вх.", K170)</f>
        <v/>
      </c>
      <c r="U170" s="5">
        <f>IF(L170=-200, "д.вх.", IF(N170, O170, L170))</f>
        <v/>
      </c>
      <c r="V170" s="5">
        <f>CurrAttrValue(G170, 0)</f>
        <v/>
      </c>
      <c r="W170" s="5">
        <f>IF(M170, "Блокирована", IF(N170, "Проверено", "-"))</f>
        <v/>
      </c>
    </row>
    <row r="171" ht="20" customHeight="1">
      <c r="A171">
        <f>"System.PZ.A043"</f>
        <v/>
      </c>
      <c r="B171">
        <f>CONCATENATE($A$2, $A$1, $A171, B$2)</f>
        <v/>
      </c>
      <c r="C171">
        <f>CONCATENATE($A$2, $A$1, $A171, C$2)</f>
        <v/>
      </c>
      <c r="D171">
        <f>CONCATENATE($A$2, $A$1, $A171, D$2)</f>
        <v/>
      </c>
      <c r="E171">
        <f>CONCATENATE($A$2, $A$1, $A171, E$2)</f>
        <v/>
      </c>
      <c r="F171">
        <f>CONCATENATE($A$2, $A$1, $A171, F$2)</f>
        <v/>
      </c>
      <c r="G171">
        <f>CONCATENATE($A$2, $A$1, $A171, G$2)</f>
        <v/>
      </c>
      <c r="H171">
        <f>CONCATENATE($A$2, $A$1, $A171, H$2)</f>
        <v/>
      </c>
      <c r="I171">
        <f>CONCATENATE($A$2, $A$1, $A171, I$2)</f>
        <v/>
      </c>
      <c r="J171">
        <f>CONCATENATE($A$2, $A$1, $A171, J$2)</f>
        <v/>
      </c>
      <c r="K171">
        <f>CurrAttrValue(D171, 0)</f>
        <v/>
      </c>
      <c r="L171">
        <f>CurrAttrValue(E171, 0)</f>
        <v/>
      </c>
      <c r="M171">
        <f>CurrAttrValue(H171, 0)</f>
        <v/>
      </c>
      <c r="N171">
        <f>CurrAttrValue(I171, 0)</f>
        <v/>
      </c>
      <c r="O171">
        <f>CurrAttrValue(J171, 0)</f>
        <v/>
      </c>
      <c r="P171" s="5">
        <f>"127"</f>
        <v/>
      </c>
      <c r="Q171" s="6">
        <f>"АОбс. Низкое P масла смазки на входе ТК (DI)  "</f>
        <v/>
      </c>
      <c r="R171" s="7">
        <f>IF(N171, S171, "")</f>
        <v/>
      </c>
      <c r="S171" s="7">
        <f>CurrAttrValue(C171, 0)</f>
        <v/>
      </c>
      <c r="T171" s="5">
        <f>IF(K171=-200, "д.вх.", K171)</f>
        <v/>
      </c>
      <c r="U171" s="5">
        <f>IF(L171=-200, "д.вх.", IF(N171, O171, L171))</f>
        <v/>
      </c>
      <c r="V171" s="5">
        <f>CurrAttrValue(G171, 0)</f>
        <v/>
      </c>
      <c r="W171" s="5">
        <f>IF(M171, "Блокирована", IF(N171, "Проверено", "-"))</f>
        <v/>
      </c>
    </row>
    <row r="172" ht="20" customHeight="1">
      <c r="A172">
        <f>"System.PZ.A044"</f>
        <v/>
      </c>
      <c r="B172">
        <f>CONCATENATE($A$2, $A$1, $A172, B$2)</f>
        <v/>
      </c>
      <c r="C172">
        <f>CONCATENATE($A$2, $A$1, $A172, C$2)</f>
        <v/>
      </c>
      <c r="D172">
        <f>CONCATENATE($A$2, $A$1, $A172, D$2)</f>
        <v/>
      </c>
      <c r="E172">
        <f>CONCATENATE($A$2, $A$1, $A172, E$2)</f>
        <v/>
      </c>
      <c r="F172">
        <f>CONCATENATE($A$2, $A$1, $A172, F$2)</f>
        <v/>
      </c>
      <c r="G172">
        <f>CONCATENATE($A$2, $A$1, $A172, G$2)</f>
        <v/>
      </c>
      <c r="H172">
        <f>CONCATENATE($A$2, $A$1, $A172, H$2)</f>
        <v/>
      </c>
      <c r="I172">
        <f>CONCATENATE($A$2, $A$1, $A172, I$2)</f>
        <v/>
      </c>
      <c r="J172">
        <f>CONCATENATE($A$2, $A$1, $A172, J$2)</f>
        <v/>
      </c>
      <c r="K172">
        <f>CurrAttrValue(D172, 0)</f>
        <v/>
      </c>
      <c r="L172">
        <f>CurrAttrValue(E172, 0)</f>
        <v/>
      </c>
      <c r="M172">
        <f>CurrAttrValue(H172, 0)</f>
        <v/>
      </c>
      <c r="N172">
        <f>CurrAttrValue(I172, 0)</f>
        <v/>
      </c>
      <c r="O172">
        <f>CurrAttrValue(J172, 0)</f>
        <v/>
      </c>
      <c r="P172" s="5">
        <f>"128"</f>
        <v/>
      </c>
      <c r="Q172" s="6">
        <f>"АОбс. Низкое P масла смазки на входе ТК  "</f>
        <v/>
      </c>
      <c r="R172" s="7">
        <f>IF(N172, S172, "")</f>
        <v/>
      </c>
      <c r="S172" s="7">
        <f>CurrAttrValue(C172, 0)</f>
        <v/>
      </c>
      <c r="T172" s="5">
        <f>IF(K172=-200, "д.вх.", K172)</f>
        <v/>
      </c>
      <c r="U172" s="5">
        <f>IF(L172=-200, "д.вх.", IF(N172, O172, L172))</f>
        <v/>
      </c>
      <c r="V172" s="5">
        <f>CurrAttrValue(G172, 0)</f>
        <v/>
      </c>
      <c r="W172" s="5">
        <f>IF(M172, "Блокирована", IF(N172, "Проверено", "-"))</f>
        <v/>
      </c>
    </row>
    <row r="173" ht="20" customHeight="1">
      <c r="A173">
        <f>"System.PZ.A045"</f>
        <v/>
      </c>
      <c r="B173">
        <f>CONCATENATE($A$2, $A$1, $A173, B$2)</f>
        <v/>
      </c>
      <c r="C173">
        <f>CONCATENATE($A$2, $A$1, $A173, C$2)</f>
        <v/>
      </c>
      <c r="D173">
        <f>CONCATENATE($A$2, $A$1, $A173, D$2)</f>
        <v/>
      </c>
      <c r="E173">
        <f>CONCATENATE($A$2, $A$1, $A173, E$2)</f>
        <v/>
      </c>
      <c r="F173">
        <f>CONCATENATE($A$2, $A$1, $A173, F$2)</f>
        <v/>
      </c>
      <c r="G173">
        <f>CONCATENATE($A$2, $A$1, $A173, G$2)</f>
        <v/>
      </c>
      <c r="H173">
        <f>CONCATENATE($A$2, $A$1, $A173, H$2)</f>
        <v/>
      </c>
      <c r="I173">
        <f>CONCATENATE($A$2, $A$1, $A173, I$2)</f>
        <v/>
      </c>
      <c r="J173">
        <f>CONCATENATE($A$2, $A$1, $A173, J$2)</f>
        <v/>
      </c>
      <c r="K173">
        <f>CurrAttrValue(D173, 0)</f>
        <v/>
      </c>
      <c r="L173">
        <f>CurrAttrValue(E173, 0)</f>
        <v/>
      </c>
      <c r="M173">
        <f>CurrAttrValue(H173, 0)</f>
        <v/>
      </c>
      <c r="N173">
        <f>CurrAttrValue(I173, 0)</f>
        <v/>
      </c>
      <c r="O173">
        <f>CurrAttrValue(J173, 0)</f>
        <v/>
      </c>
      <c r="P173" s="5">
        <f>"129"</f>
        <v/>
      </c>
      <c r="Q173" s="6">
        <f>"АОбс. Низкое P масла смазки на входе СТ (DI)  "</f>
        <v/>
      </c>
      <c r="R173" s="7">
        <f>IF(N173, S173, "")</f>
        <v/>
      </c>
      <c r="S173" s="7">
        <f>CurrAttrValue(C173, 0)</f>
        <v/>
      </c>
      <c r="T173" s="5">
        <f>IF(K173=-200, "д.вх.", K173)</f>
        <v/>
      </c>
      <c r="U173" s="5">
        <f>IF(L173=-200, "д.вх.", IF(N173, O173, L173))</f>
        <v/>
      </c>
      <c r="V173" s="5">
        <f>CurrAttrValue(G173, 0)</f>
        <v/>
      </c>
      <c r="W173" s="5">
        <f>IF(M173, "Блокирована", IF(N173, "Проверено", "-"))</f>
        <v/>
      </c>
    </row>
    <row r="174" ht="20" customHeight="1">
      <c r="A174">
        <f>"System.PZ.A046"</f>
        <v/>
      </c>
      <c r="B174">
        <f>CONCATENATE($A$2, $A$1, $A174, B$2)</f>
        <v/>
      </c>
      <c r="C174">
        <f>CONCATENATE($A$2, $A$1, $A174, C$2)</f>
        <v/>
      </c>
      <c r="D174">
        <f>CONCATENATE($A$2, $A$1, $A174, D$2)</f>
        <v/>
      </c>
      <c r="E174">
        <f>CONCATENATE($A$2, $A$1, $A174, E$2)</f>
        <v/>
      </c>
      <c r="F174">
        <f>CONCATENATE($A$2, $A$1, $A174, F$2)</f>
        <v/>
      </c>
      <c r="G174">
        <f>CONCATENATE($A$2, $A$1, $A174, G$2)</f>
        <v/>
      </c>
      <c r="H174">
        <f>CONCATENATE($A$2, $A$1, $A174, H$2)</f>
        <v/>
      </c>
      <c r="I174">
        <f>CONCATENATE($A$2, $A$1, $A174, I$2)</f>
        <v/>
      </c>
      <c r="J174">
        <f>CONCATENATE($A$2, $A$1, $A174, J$2)</f>
        <v/>
      </c>
      <c r="K174">
        <f>CurrAttrValue(D174, 0)</f>
        <v/>
      </c>
      <c r="L174">
        <f>CurrAttrValue(E174, 0)</f>
        <v/>
      </c>
      <c r="M174">
        <f>CurrAttrValue(H174, 0)</f>
        <v/>
      </c>
      <c r="N174">
        <f>CurrAttrValue(I174, 0)</f>
        <v/>
      </c>
      <c r="O174">
        <f>CurrAttrValue(J174, 0)</f>
        <v/>
      </c>
      <c r="P174" s="5">
        <f>"130"</f>
        <v/>
      </c>
      <c r="Q174" s="6">
        <f>"АОбс. Низкое P масла смазки на входе СТ  "</f>
        <v/>
      </c>
      <c r="R174" s="7">
        <f>IF(N174, S174, "")</f>
        <v/>
      </c>
      <c r="S174" s="7">
        <f>CurrAttrValue(C174, 0)</f>
        <v/>
      </c>
      <c r="T174" s="5">
        <f>IF(K174=-200, "д.вх.", K174)</f>
        <v/>
      </c>
      <c r="U174" s="5">
        <f>IF(L174=-200, "д.вх.", IF(N174, O174, L174))</f>
        <v/>
      </c>
      <c r="V174" s="5">
        <f>CurrAttrValue(G174, 0)</f>
        <v/>
      </c>
      <c r="W174" s="5">
        <f>IF(M174, "Блокирована", IF(N174, "Проверено", "-"))</f>
        <v/>
      </c>
    </row>
    <row r="177" ht="35" customHeight="1">
      <c r="Q177" s="8">
        <f>"должность"</f>
        <v/>
      </c>
      <c r="R177" s="9" t="n"/>
      <c r="S177" s="8">
        <f>"ФИО"</f>
        <v/>
      </c>
      <c r="T177" s="9" t="n"/>
      <c r="U177" s="8">
        <f>"подпись"</f>
        <v/>
      </c>
    </row>
    <row r="178" ht="35" customHeight="1">
      <c r="Q178" s="8">
        <f>"должность"</f>
        <v/>
      </c>
      <c r="R178" s="9" t="n"/>
      <c r="S178" s="8">
        <f>"ФИО"</f>
        <v/>
      </c>
      <c r="T178" s="9" t="n"/>
      <c r="U178" s="8">
        <f>"подпись"</f>
        <v/>
      </c>
    </row>
    <row r="179" ht="35" customHeight="1">
      <c r="Q179" s="8">
        <f>"должность"</f>
        <v/>
      </c>
      <c r="R179" s="9" t="n"/>
      <c r="S179" s="8">
        <f>"ФИО"</f>
        <v/>
      </c>
      <c r="T179" s="9" t="n"/>
      <c r="U179" s="8">
        <f>"подпись"</f>
        <v/>
      </c>
    </row>
    <row r="181" ht="25" customHeight="1">
      <c r="Q181" s="1">
        <f>"Протокол проверки защит ГПА №2 на "</f>
        <v/>
      </c>
      <c r="R181" s="2">
        <f>R1</f>
        <v/>
      </c>
      <c r="S181" s="3">
        <f>S1</f>
        <v/>
      </c>
    </row>
    <row r="183" ht="20" customHeight="1">
      <c r="P183" s="4">
        <f>"№"</f>
        <v/>
      </c>
      <c r="Q183" s="4">
        <f>"Наименование защиты  "</f>
        <v/>
      </c>
      <c r="R183" s="4">
        <f>"Таймер"</f>
        <v/>
      </c>
      <c r="S183" s="4">
        <f>"Задержка"</f>
        <v/>
      </c>
      <c r="T183" s="4">
        <f>"Уставка"</f>
        <v/>
      </c>
      <c r="U183" s="4">
        <f>"Значение"</f>
        <v/>
      </c>
      <c r="V183" s="4">
        <f>"Eд.изм"</f>
        <v/>
      </c>
      <c r="W183" s="4">
        <f>"Отметка о проверке"</f>
        <v/>
      </c>
    </row>
    <row r="184" ht="20" customHeight="1">
      <c r="A184">
        <f>"System.PZ.A047"</f>
        <v/>
      </c>
      <c r="B184">
        <f>CONCATENATE($A$2, $A$1, $A184, B$2)</f>
        <v/>
      </c>
      <c r="C184">
        <f>CONCATENATE($A$2, $A$1, $A184, C$2)</f>
        <v/>
      </c>
      <c r="D184">
        <f>CONCATENATE($A$2, $A$1, $A184, D$2)</f>
        <v/>
      </c>
      <c r="E184">
        <f>CONCATENATE($A$2, $A$1, $A184, E$2)</f>
        <v/>
      </c>
      <c r="F184">
        <f>CONCATENATE($A$2, $A$1, $A184, F$2)</f>
        <v/>
      </c>
      <c r="G184">
        <f>CONCATENATE($A$2, $A$1, $A184, G$2)</f>
        <v/>
      </c>
      <c r="H184">
        <f>CONCATENATE($A$2, $A$1, $A184, H$2)</f>
        <v/>
      </c>
      <c r="I184">
        <f>CONCATENATE($A$2, $A$1, $A184, I$2)</f>
        <v/>
      </c>
      <c r="J184">
        <f>CONCATENATE($A$2, $A$1, $A184, J$2)</f>
        <v/>
      </c>
      <c r="K184">
        <f>CurrAttrValue(D184, 0)</f>
        <v/>
      </c>
      <c r="L184">
        <f>CurrAttrValue(E184, 0)</f>
        <v/>
      </c>
      <c r="M184">
        <f>CurrAttrValue(H184, 0)</f>
        <v/>
      </c>
      <c r="N184">
        <f>CurrAttrValue(I184, 0)</f>
        <v/>
      </c>
      <c r="O184">
        <f>CurrAttrValue(J184, 0)</f>
        <v/>
      </c>
      <c r="P184" s="5">
        <f>"131"</f>
        <v/>
      </c>
      <c r="Q184" s="6">
        <f>"АОбс. Стружка в маслосистеме двигателя  "</f>
        <v/>
      </c>
      <c r="R184" s="7">
        <f>IF(N184, S184, "")</f>
        <v/>
      </c>
      <c r="S184" s="7">
        <f>CurrAttrValue(C184, 0)</f>
        <v/>
      </c>
      <c r="T184" s="5">
        <f>IF(K184=-200, "д.вх.", K184)</f>
        <v/>
      </c>
      <c r="U184" s="5">
        <f>IF(L184=-200, "д.вх.", IF(N184, O184, L184))</f>
        <v/>
      </c>
      <c r="V184" s="5">
        <f>CurrAttrValue(G184, 0)</f>
        <v/>
      </c>
      <c r="W184" s="5">
        <f>IF(M184, "Блокирована", IF(N184, "Проверено", "-"))</f>
        <v/>
      </c>
    </row>
    <row r="185" ht="20" customHeight="1">
      <c r="A185">
        <f>"System.PZ.A048"</f>
        <v/>
      </c>
      <c r="B185">
        <f>CONCATENATE($A$2, $A$1, $A185, B$2)</f>
        <v/>
      </c>
      <c r="C185">
        <f>CONCATENATE($A$2, $A$1, $A185, C$2)</f>
        <v/>
      </c>
      <c r="D185">
        <f>CONCATENATE($A$2, $A$1, $A185, D$2)</f>
        <v/>
      </c>
      <c r="E185">
        <f>CONCATENATE($A$2, $A$1, $A185, E$2)</f>
        <v/>
      </c>
      <c r="F185">
        <f>CONCATENATE($A$2, $A$1, $A185, F$2)</f>
        <v/>
      </c>
      <c r="G185">
        <f>CONCATENATE($A$2, $A$1, $A185, G$2)</f>
        <v/>
      </c>
      <c r="H185">
        <f>CONCATENATE($A$2, $A$1, $A185, H$2)</f>
        <v/>
      </c>
      <c r="I185">
        <f>CONCATENATE($A$2, $A$1, $A185, I$2)</f>
        <v/>
      </c>
      <c r="J185">
        <f>CONCATENATE($A$2, $A$1, $A185, J$2)</f>
        <v/>
      </c>
      <c r="K185">
        <f>CurrAttrValue(D185, 0)</f>
        <v/>
      </c>
      <c r="L185">
        <f>CurrAttrValue(E185, 0)</f>
        <v/>
      </c>
      <c r="M185">
        <f>CurrAttrValue(H185, 0)</f>
        <v/>
      </c>
      <c r="N185">
        <f>CurrAttrValue(I185, 0)</f>
        <v/>
      </c>
      <c r="O185">
        <f>CurrAttrValue(J185, 0)</f>
        <v/>
      </c>
      <c r="P185" s="5">
        <f>"132"</f>
        <v/>
      </c>
      <c r="Q185" s="6">
        <f>"АОбс. Уровень масла в МБД аварийный  "</f>
        <v/>
      </c>
      <c r="R185" s="7">
        <f>IF(N185, S185, "")</f>
        <v/>
      </c>
      <c r="S185" s="7">
        <f>CurrAttrValue(C185, 0)</f>
        <v/>
      </c>
      <c r="T185" s="5">
        <f>IF(K185=-200, "д.вх.", K185)</f>
        <v/>
      </c>
      <c r="U185" s="5">
        <f>IF(L185=-200, "д.вх.", IF(N185, O185, L185))</f>
        <v/>
      </c>
      <c r="V185" s="5">
        <f>CurrAttrValue(G185, 0)</f>
        <v/>
      </c>
      <c r="W185" s="5">
        <f>IF(M185, "Блокирована", IF(N185, "Проверено", "-"))</f>
        <v/>
      </c>
    </row>
    <row r="186" ht="20" customHeight="1">
      <c r="A186">
        <f>"System.PZ.A049"</f>
        <v/>
      </c>
      <c r="B186">
        <f>CONCATENATE($A$2, $A$1, $A186, B$2)</f>
        <v/>
      </c>
      <c r="C186">
        <f>CONCATENATE($A$2, $A$1, $A186, C$2)</f>
        <v/>
      </c>
      <c r="D186">
        <f>CONCATENATE($A$2, $A$1, $A186, D$2)</f>
        <v/>
      </c>
      <c r="E186">
        <f>CONCATENATE($A$2, $A$1, $A186, E$2)</f>
        <v/>
      </c>
      <c r="F186">
        <f>CONCATENATE($A$2, $A$1, $A186, F$2)</f>
        <v/>
      </c>
      <c r="G186">
        <f>CONCATENATE($A$2, $A$1, $A186, G$2)</f>
        <v/>
      </c>
      <c r="H186">
        <f>CONCATENATE($A$2, $A$1, $A186, H$2)</f>
        <v/>
      </c>
      <c r="I186">
        <f>CONCATENATE($A$2, $A$1, $A186, I$2)</f>
        <v/>
      </c>
      <c r="J186">
        <f>CONCATENATE($A$2, $A$1, $A186, J$2)</f>
        <v/>
      </c>
      <c r="K186">
        <f>CurrAttrValue(D186, 0)</f>
        <v/>
      </c>
      <c r="L186">
        <f>CurrAttrValue(E186, 0)</f>
        <v/>
      </c>
      <c r="M186">
        <f>CurrAttrValue(H186, 0)</f>
        <v/>
      </c>
      <c r="N186">
        <f>CurrAttrValue(I186, 0)</f>
        <v/>
      </c>
      <c r="O186">
        <f>CurrAttrValue(J186, 0)</f>
        <v/>
      </c>
      <c r="P186" s="5">
        <f>"133"</f>
        <v/>
      </c>
      <c r="Q186" s="6">
        <f>"АОсс. Высокая температура масла на выходе ПП Н  "</f>
        <v/>
      </c>
      <c r="R186" s="7">
        <f>IF(N186, S186, "")</f>
        <v/>
      </c>
      <c r="S186" s="7">
        <f>CurrAttrValue(C186, 0)</f>
        <v/>
      </c>
      <c r="T186" s="5">
        <f>IF(K186=-200, "д.вх.", K186)</f>
        <v/>
      </c>
      <c r="U186" s="5">
        <f>IF(L186=-200, "д.вх.", IF(N186, O186, L186))</f>
        <v/>
      </c>
      <c r="V186" s="5">
        <f>CurrAttrValue(G186, 0)</f>
        <v/>
      </c>
      <c r="W186" s="5">
        <f>IF(M186, "Блокирована", IF(N186, "Проверено", "-"))</f>
        <v/>
      </c>
    </row>
    <row r="187" ht="20" customHeight="1">
      <c r="A187">
        <f>"System.PZ.A050"</f>
        <v/>
      </c>
      <c r="B187">
        <f>CONCATENATE($A$2, $A$1, $A187, B$2)</f>
        <v/>
      </c>
      <c r="C187">
        <f>CONCATENATE($A$2, $A$1, $A187, C$2)</f>
        <v/>
      </c>
      <c r="D187">
        <f>CONCATENATE($A$2, $A$1, $A187, D$2)</f>
        <v/>
      </c>
      <c r="E187">
        <f>CONCATENATE($A$2, $A$1, $A187, E$2)</f>
        <v/>
      </c>
      <c r="F187">
        <f>CONCATENATE($A$2, $A$1, $A187, F$2)</f>
        <v/>
      </c>
      <c r="G187">
        <f>CONCATENATE($A$2, $A$1, $A187, G$2)</f>
        <v/>
      </c>
      <c r="H187">
        <f>CONCATENATE($A$2, $A$1, $A187, H$2)</f>
        <v/>
      </c>
      <c r="I187">
        <f>CONCATENATE($A$2, $A$1, $A187, I$2)</f>
        <v/>
      </c>
      <c r="J187">
        <f>CONCATENATE($A$2, $A$1, $A187, J$2)</f>
        <v/>
      </c>
      <c r="K187">
        <f>CurrAttrValue(D187, 0)</f>
        <v/>
      </c>
      <c r="L187">
        <f>CurrAttrValue(E187, 0)</f>
        <v/>
      </c>
      <c r="M187">
        <f>CurrAttrValue(H187, 0)</f>
        <v/>
      </c>
      <c r="N187">
        <f>CurrAttrValue(I187, 0)</f>
        <v/>
      </c>
      <c r="O187">
        <f>CurrAttrValue(J187, 0)</f>
        <v/>
      </c>
      <c r="P187" s="5">
        <f>"134"</f>
        <v/>
      </c>
      <c r="Q187" s="6">
        <f>"АОсс. Высокая температура масла на выходе ЗП Н  "</f>
        <v/>
      </c>
      <c r="R187" s="7">
        <f>IF(N187, S187, "")</f>
        <v/>
      </c>
      <c r="S187" s="7">
        <f>CurrAttrValue(C187, 0)</f>
        <v/>
      </c>
      <c r="T187" s="5">
        <f>IF(K187=-200, "д.вх.", K187)</f>
        <v/>
      </c>
      <c r="U187" s="5">
        <f>IF(L187=-200, "д.вх.", IF(N187, O187, L187))</f>
        <v/>
      </c>
      <c r="V187" s="5">
        <f>CurrAttrValue(G187, 0)</f>
        <v/>
      </c>
      <c r="W187" s="5">
        <f>IF(M187, "Блокирована", IF(N187, "Проверено", "-"))</f>
        <v/>
      </c>
    </row>
    <row r="188" ht="20" customHeight="1">
      <c r="A188">
        <f>"System.PZ.A051"</f>
        <v/>
      </c>
      <c r="B188">
        <f>CONCATENATE($A$2, $A$1, $A188, B$2)</f>
        <v/>
      </c>
      <c r="C188">
        <f>CONCATENATE($A$2, $A$1, $A188, C$2)</f>
        <v/>
      </c>
      <c r="D188">
        <f>CONCATENATE($A$2, $A$1, $A188, D$2)</f>
        <v/>
      </c>
      <c r="E188">
        <f>CONCATENATE($A$2, $A$1, $A188, E$2)</f>
        <v/>
      </c>
      <c r="F188">
        <f>CONCATENATE($A$2, $A$1, $A188, F$2)</f>
        <v/>
      </c>
      <c r="G188">
        <f>CONCATENATE($A$2, $A$1, $A188, G$2)</f>
        <v/>
      </c>
      <c r="H188">
        <f>CONCATENATE($A$2, $A$1, $A188, H$2)</f>
        <v/>
      </c>
      <c r="I188">
        <f>CONCATENATE($A$2, $A$1, $A188, I$2)</f>
        <v/>
      </c>
      <c r="J188">
        <f>CONCATENATE($A$2, $A$1, $A188, J$2)</f>
        <v/>
      </c>
      <c r="K188">
        <f>CurrAttrValue(D188, 0)</f>
        <v/>
      </c>
      <c r="L188">
        <f>CurrAttrValue(E188, 0)</f>
        <v/>
      </c>
      <c r="M188">
        <f>CurrAttrValue(H188, 0)</f>
        <v/>
      </c>
      <c r="N188">
        <f>CurrAttrValue(I188, 0)</f>
        <v/>
      </c>
      <c r="O188">
        <f>CurrAttrValue(J188, 0)</f>
        <v/>
      </c>
      <c r="P188" s="5">
        <f>"135"</f>
        <v/>
      </c>
      <c r="Q188" s="6">
        <f>"АОсс. Высокая температура масла на выходе УП Н  "</f>
        <v/>
      </c>
      <c r="R188" s="7">
        <f>IF(N188, S188, "")</f>
        <v/>
      </c>
      <c r="S188" s="7">
        <f>CurrAttrValue(C188, 0)</f>
        <v/>
      </c>
      <c r="T188" s="5">
        <f>IF(K188=-200, "д.вх.", K188)</f>
        <v/>
      </c>
      <c r="U188" s="5">
        <f>IF(L188=-200, "д.вх.", IF(N188, O188, L188))</f>
        <v/>
      </c>
      <c r="V188" s="5">
        <f>CurrAttrValue(G188, 0)</f>
        <v/>
      </c>
      <c r="W188" s="5">
        <f>IF(M188, "Блокирована", IF(N188, "Проверено", "-"))</f>
        <v/>
      </c>
    </row>
    <row r="189" ht="20" customHeight="1">
      <c r="A189">
        <f>"System.PZ.A052"</f>
        <v/>
      </c>
      <c r="B189">
        <f>CONCATENATE($A$2, $A$1, $A189, B$2)</f>
        <v/>
      </c>
      <c r="C189">
        <f>CONCATENATE($A$2, $A$1, $A189, C$2)</f>
        <v/>
      </c>
      <c r="D189">
        <f>CONCATENATE($A$2, $A$1, $A189, D$2)</f>
        <v/>
      </c>
      <c r="E189">
        <f>CONCATENATE($A$2, $A$1, $A189, E$2)</f>
        <v/>
      </c>
      <c r="F189">
        <f>CONCATENATE($A$2, $A$1, $A189, F$2)</f>
        <v/>
      </c>
      <c r="G189">
        <f>CONCATENATE($A$2, $A$1, $A189, G$2)</f>
        <v/>
      </c>
      <c r="H189">
        <f>CONCATENATE($A$2, $A$1, $A189, H$2)</f>
        <v/>
      </c>
      <c r="I189">
        <f>CONCATENATE($A$2, $A$1, $A189, I$2)</f>
        <v/>
      </c>
      <c r="J189">
        <f>CONCATENATE($A$2, $A$1, $A189, J$2)</f>
        <v/>
      </c>
      <c r="K189">
        <f>CurrAttrValue(D189, 0)</f>
        <v/>
      </c>
      <c r="L189">
        <f>CurrAttrValue(E189, 0)</f>
        <v/>
      </c>
      <c r="M189">
        <f>CurrAttrValue(H189, 0)</f>
        <v/>
      </c>
      <c r="N189">
        <f>CurrAttrValue(I189, 0)</f>
        <v/>
      </c>
      <c r="O189">
        <f>CurrAttrValue(J189, 0)</f>
        <v/>
      </c>
      <c r="P189" s="5">
        <f>"136"</f>
        <v/>
      </c>
      <c r="Q189" s="6">
        <f>"АОсс. Низкий перепад давления масло-газ Н (DI)  "</f>
        <v/>
      </c>
      <c r="R189" s="7">
        <f>IF(N189, S189, "")</f>
        <v/>
      </c>
      <c r="S189" s="7">
        <f>CurrAttrValue(C189, 0)</f>
        <v/>
      </c>
      <c r="T189" s="5">
        <f>IF(K189=-200, "д.вх.", K189)</f>
        <v/>
      </c>
      <c r="U189" s="5">
        <f>IF(L189=-200, "д.вх.", IF(N189, O189, L189))</f>
        <v/>
      </c>
      <c r="V189" s="5">
        <f>CurrAttrValue(G189, 0)</f>
        <v/>
      </c>
      <c r="W189" s="5">
        <f>IF(M189, "Блокирована", IF(N189, "Проверено", "-"))</f>
        <v/>
      </c>
    </row>
    <row r="190" ht="20" customHeight="1">
      <c r="A190">
        <f>"System.PZ.A053"</f>
        <v/>
      </c>
      <c r="B190">
        <f>CONCATENATE($A$2, $A$1, $A190, B$2)</f>
        <v/>
      </c>
      <c r="C190">
        <f>CONCATENATE($A$2, $A$1, $A190, C$2)</f>
        <v/>
      </c>
      <c r="D190">
        <f>CONCATENATE($A$2, $A$1, $A190, D$2)</f>
        <v/>
      </c>
      <c r="E190">
        <f>CONCATENATE($A$2, $A$1, $A190, E$2)</f>
        <v/>
      </c>
      <c r="F190">
        <f>CONCATENATE($A$2, $A$1, $A190, F$2)</f>
        <v/>
      </c>
      <c r="G190">
        <f>CONCATENATE($A$2, $A$1, $A190, G$2)</f>
        <v/>
      </c>
      <c r="H190">
        <f>CONCATENATE($A$2, $A$1, $A190, H$2)</f>
        <v/>
      </c>
      <c r="I190">
        <f>CONCATENATE($A$2, $A$1, $A190, I$2)</f>
        <v/>
      </c>
      <c r="J190">
        <f>CONCATENATE($A$2, $A$1, $A190, J$2)</f>
        <v/>
      </c>
      <c r="K190">
        <f>CurrAttrValue(D190, 0)</f>
        <v/>
      </c>
      <c r="L190">
        <f>CurrAttrValue(E190, 0)</f>
        <v/>
      </c>
      <c r="M190">
        <f>CurrAttrValue(H190, 0)</f>
        <v/>
      </c>
      <c r="N190">
        <f>CurrAttrValue(I190, 0)</f>
        <v/>
      </c>
      <c r="O190">
        <f>CurrAttrValue(J190, 0)</f>
        <v/>
      </c>
      <c r="P190" s="5">
        <f>"137"</f>
        <v/>
      </c>
      <c r="Q190" s="6">
        <f>"АОсс. Низкий перепад давления масло-газ Н  "</f>
        <v/>
      </c>
      <c r="R190" s="7">
        <f>IF(N190, S190, "")</f>
        <v/>
      </c>
      <c r="S190" s="7">
        <f>CurrAttrValue(C190, 0)</f>
        <v/>
      </c>
      <c r="T190" s="5">
        <f>IF(K190=-200, "д.вх.", K190)</f>
        <v/>
      </c>
      <c r="U190" s="5">
        <f>IF(L190=-200, "д.вх.", IF(N190, O190, L190))</f>
        <v/>
      </c>
      <c r="V190" s="5">
        <f>CurrAttrValue(G190, 0)</f>
        <v/>
      </c>
      <c r="W190" s="5">
        <f>IF(M190, "Блокирована", IF(N190, "Проверено", "-"))</f>
        <v/>
      </c>
    </row>
    <row r="191" ht="20" customHeight="1">
      <c r="A191">
        <f>"System.PZ.A054"</f>
        <v/>
      </c>
      <c r="B191">
        <f>CONCATENATE($A$2, $A$1, $A191, B$2)</f>
        <v/>
      </c>
      <c r="C191">
        <f>CONCATENATE($A$2, $A$1, $A191, C$2)</f>
        <v/>
      </c>
      <c r="D191">
        <f>CONCATENATE($A$2, $A$1, $A191, D$2)</f>
        <v/>
      </c>
      <c r="E191">
        <f>CONCATENATE($A$2, $A$1, $A191, E$2)</f>
        <v/>
      </c>
      <c r="F191">
        <f>CONCATENATE($A$2, $A$1, $A191, F$2)</f>
        <v/>
      </c>
      <c r="G191">
        <f>CONCATENATE($A$2, $A$1, $A191, G$2)</f>
        <v/>
      </c>
      <c r="H191">
        <f>CONCATENATE($A$2, $A$1, $A191, H$2)</f>
        <v/>
      </c>
      <c r="I191">
        <f>CONCATENATE($A$2, $A$1, $A191, I$2)</f>
        <v/>
      </c>
      <c r="J191">
        <f>CONCATENATE($A$2, $A$1, $A191, J$2)</f>
        <v/>
      </c>
      <c r="K191">
        <f>CurrAttrValue(D191, 0)</f>
        <v/>
      </c>
      <c r="L191">
        <f>CurrAttrValue(E191, 0)</f>
        <v/>
      </c>
      <c r="M191">
        <f>CurrAttrValue(H191, 0)</f>
        <v/>
      </c>
      <c r="N191">
        <f>CurrAttrValue(I191, 0)</f>
        <v/>
      </c>
      <c r="O191">
        <f>CurrAttrValue(J191, 0)</f>
        <v/>
      </c>
      <c r="P191" s="5">
        <f>"138"</f>
        <v/>
      </c>
      <c r="Q191" s="6">
        <f>"АОсс. Низкое давление масла-смазки (DI)  "</f>
        <v/>
      </c>
      <c r="R191" s="7">
        <f>IF(N191, S191, "")</f>
        <v/>
      </c>
      <c r="S191" s="7">
        <f>CurrAttrValue(C191, 0)</f>
        <v/>
      </c>
      <c r="T191" s="5">
        <f>IF(K191=-200, "д.вх.", K191)</f>
        <v/>
      </c>
      <c r="U191" s="5">
        <f>IF(L191=-200, "д.вх.", IF(N191, O191, L191))</f>
        <v/>
      </c>
      <c r="V191" s="5">
        <f>CurrAttrValue(G191, 0)</f>
        <v/>
      </c>
      <c r="W191" s="5">
        <f>IF(M191, "Блокирована", IF(N191, "Проверено", "-"))</f>
        <v/>
      </c>
    </row>
    <row r="192" ht="20" customHeight="1">
      <c r="A192">
        <f>"System.PZ.A055"</f>
        <v/>
      </c>
      <c r="B192">
        <f>CONCATENATE($A$2, $A$1, $A192, B$2)</f>
        <v/>
      </c>
      <c r="C192">
        <f>CONCATENATE($A$2, $A$1, $A192, C$2)</f>
        <v/>
      </c>
      <c r="D192">
        <f>CONCATENATE($A$2, $A$1, $A192, D$2)</f>
        <v/>
      </c>
      <c r="E192">
        <f>CONCATENATE($A$2, $A$1, $A192, E$2)</f>
        <v/>
      </c>
      <c r="F192">
        <f>CONCATENATE($A$2, $A$1, $A192, F$2)</f>
        <v/>
      </c>
      <c r="G192">
        <f>CONCATENATE($A$2, $A$1, $A192, G$2)</f>
        <v/>
      </c>
      <c r="H192">
        <f>CONCATENATE($A$2, $A$1, $A192, H$2)</f>
        <v/>
      </c>
      <c r="I192">
        <f>CONCATENATE($A$2, $A$1, $A192, I$2)</f>
        <v/>
      </c>
      <c r="J192">
        <f>CONCATENATE($A$2, $A$1, $A192, J$2)</f>
        <v/>
      </c>
      <c r="K192">
        <f>CurrAttrValue(D192, 0)</f>
        <v/>
      </c>
      <c r="L192">
        <f>CurrAttrValue(E192, 0)</f>
        <v/>
      </c>
      <c r="M192">
        <f>CurrAttrValue(H192, 0)</f>
        <v/>
      </c>
      <c r="N192">
        <f>CurrAttrValue(I192, 0)</f>
        <v/>
      </c>
      <c r="O192">
        <f>CurrAttrValue(J192, 0)</f>
        <v/>
      </c>
      <c r="P192" s="5">
        <f>"139"</f>
        <v/>
      </c>
      <c r="Q192" s="6">
        <f>"АОсс. Низкое давление масла-смазки  "</f>
        <v/>
      </c>
      <c r="R192" s="7">
        <f>IF(N192, S192, "")</f>
        <v/>
      </c>
      <c r="S192" s="7">
        <f>CurrAttrValue(C192, 0)</f>
        <v/>
      </c>
      <c r="T192" s="5">
        <f>IF(K192=-200, "д.вх.", K192)</f>
        <v/>
      </c>
      <c r="U192" s="5">
        <f>IF(L192=-200, "д.вх.", IF(N192, O192, L192))</f>
        <v/>
      </c>
      <c r="V192" s="5">
        <f>CurrAttrValue(G192, 0)</f>
        <v/>
      </c>
      <c r="W192" s="5">
        <f>IF(M192, "Блокирована", IF(N192, "Проверено", "-"))</f>
        <v/>
      </c>
    </row>
    <row r="193" ht="20" customHeight="1">
      <c r="A193">
        <f>"System.PZ.A056"</f>
        <v/>
      </c>
      <c r="B193">
        <f>CONCATENATE($A$2, $A$1, $A193, B$2)</f>
        <v/>
      </c>
      <c r="C193">
        <f>CONCATENATE($A$2, $A$1, $A193, C$2)</f>
        <v/>
      </c>
      <c r="D193">
        <f>CONCATENATE($A$2, $A$1, $A193, D$2)</f>
        <v/>
      </c>
      <c r="E193">
        <f>CONCATENATE($A$2, $A$1, $A193, E$2)</f>
        <v/>
      </c>
      <c r="F193">
        <f>CONCATENATE($A$2, $A$1, $A193, F$2)</f>
        <v/>
      </c>
      <c r="G193">
        <f>CONCATENATE($A$2, $A$1, $A193, G$2)</f>
        <v/>
      </c>
      <c r="H193">
        <f>CONCATENATE($A$2, $A$1, $A193, H$2)</f>
        <v/>
      </c>
      <c r="I193">
        <f>CONCATENATE($A$2, $A$1, $A193, I$2)</f>
        <v/>
      </c>
      <c r="J193">
        <f>CONCATENATE($A$2, $A$1, $A193, J$2)</f>
        <v/>
      </c>
      <c r="K193">
        <f>CurrAttrValue(D193, 0)</f>
        <v/>
      </c>
      <c r="L193">
        <f>CurrAttrValue(E193, 0)</f>
        <v/>
      </c>
      <c r="M193">
        <f>CurrAttrValue(H193, 0)</f>
        <v/>
      </c>
      <c r="N193">
        <f>CurrAttrValue(I193, 0)</f>
        <v/>
      </c>
      <c r="O193">
        <f>CurrAttrValue(J193, 0)</f>
        <v/>
      </c>
      <c r="P193" s="5">
        <f>"140"</f>
        <v/>
      </c>
      <c r="Q193" s="6">
        <f>"АОсс. Высокая температура масла на входе Н  "</f>
        <v/>
      </c>
      <c r="R193" s="7">
        <f>IF(N193, S193, "")</f>
        <v/>
      </c>
      <c r="S193" s="7">
        <f>CurrAttrValue(C193, 0)</f>
        <v/>
      </c>
      <c r="T193" s="5">
        <f>IF(K193=-200, "д.вх.", K193)</f>
        <v/>
      </c>
      <c r="U193" s="5">
        <f>IF(L193=-200, "д.вх.", IF(N193, O193, L193))</f>
        <v/>
      </c>
      <c r="V193" s="5">
        <f>CurrAttrValue(G193, 0)</f>
        <v/>
      </c>
      <c r="W193" s="5">
        <f>IF(M193, "Блокирована", IF(N193, "Проверено", "-"))</f>
        <v/>
      </c>
    </row>
    <row r="194" ht="20" customHeight="1">
      <c r="A194">
        <f>"System.PZ.A057"</f>
        <v/>
      </c>
      <c r="B194">
        <f>CONCATENATE($A$2, $A$1, $A194, B$2)</f>
        <v/>
      </c>
      <c r="C194">
        <f>CONCATENATE($A$2, $A$1, $A194, C$2)</f>
        <v/>
      </c>
      <c r="D194">
        <f>CONCATENATE($A$2, $A$1, $A194, D$2)</f>
        <v/>
      </c>
      <c r="E194">
        <f>CONCATENATE($A$2, $A$1, $A194, E$2)</f>
        <v/>
      </c>
      <c r="F194">
        <f>CONCATENATE($A$2, $A$1, $A194, F$2)</f>
        <v/>
      </c>
      <c r="G194">
        <f>CONCATENATE($A$2, $A$1, $A194, G$2)</f>
        <v/>
      </c>
      <c r="H194">
        <f>CONCATENATE($A$2, $A$1, $A194, H$2)</f>
        <v/>
      </c>
      <c r="I194">
        <f>CONCATENATE($A$2, $A$1, $A194, I$2)</f>
        <v/>
      </c>
      <c r="J194">
        <f>CONCATENATE($A$2, $A$1, $A194, J$2)</f>
        <v/>
      </c>
      <c r="K194">
        <f>CurrAttrValue(D194, 0)</f>
        <v/>
      </c>
      <c r="L194">
        <f>CurrAttrValue(E194, 0)</f>
        <v/>
      </c>
      <c r="M194">
        <f>CurrAttrValue(H194, 0)</f>
        <v/>
      </c>
      <c r="N194">
        <f>CurrAttrValue(I194, 0)</f>
        <v/>
      </c>
      <c r="O194">
        <f>CurrAttrValue(J194, 0)</f>
        <v/>
      </c>
      <c r="P194" s="5">
        <f>"141"</f>
        <v/>
      </c>
      <c r="Q194" s="6">
        <f>"АОсс. Уровень масла в МБН аварийный  "</f>
        <v/>
      </c>
      <c r="R194" s="7">
        <f>IF(N194, S194, "")</f>
        <v/>
      </c>
      <c r="S194" s="7">
        <f>CurrAttrValue(C194, 0)</f>
        <v/>
      </c>
      <c r="T194" s="5">
        <f>IF(K194=-200, "д.вх.", K194)</f>
        <v/>
      </c>
      <c r="U194" s="5">
        <f>IF(L194=-200, "д.вх.", IF(N194, O194, L194))</f>
        <v/>
      </c>
      <c r="V194" s="5">
        <f>CurrAttrValue(G194, 0)</f>
        <v/>
      </c>
      <c r="W194" s="5">
        <f>IF(M194, "Блокирована", IF(N194, "Проверено", "-"))</f>
        <v/>
      </c>
    </row>
    <row r="195" ht="20" customHeight="1">
      <c r="A195">
        <f>"System.PZ.A058"</f>
        <v/>
      </c>
      <c r="B195">
        <f>CONCATENATE($A$2, $A$1, $A195, B$2)</f>
        <v/>
      </c>
      <c r="C195">
        <f>CONCATENATE($A$2, $A$1, $A195, C$2)</f>
        <v/>
      </c>
      <c r="D195">
        <f>CONCATENATE($A$2, $A$1, $A195, D$2)</f>
        <v/>
      </c>
      <c r="E195">
        <f>CONCATENATE($A$2, $A$1, $A195, E$2)</f>
        <v/>
      </c>
      <c r="F195">
        <f>CONCATENATE($A$2, $A$1, $A195, F$2)</f>
        <v/>
      </c>
      <c r="G195">
        <f>CONCATENATE($A$2, $A$1, $A195, G$2)</f>
        <v/>
      </c>
      <c r="H195">
        <f>CONCATENATE($A$2, $A$1, $A195, H$2)</f>
        <v/>
      </c>
      <c r="I195">
        <f>CONCATENATE($A$2, $A$1, $A195, I$2)</f>
        <v/>
      </c>
      <c r="J195">
        <f>CONCATENATE($A$2, $A$1, $A195, J$2)</f>
        <v/>
      </c>
      <c r="K195">
        <f>CurrAttrValue(D195, 0)</f>
        <v/>
      </c>
      <c r="L195">
        <f>CurrAttrValue(E195, 0)</f>
        <v/>
      </c>
      <c r="M195">
        <f>CurrAttrValue(H195, 0)</f>
        <v/>
      </c>
      <c r="N195">
        <f>CurrAttrValue(I195, 0)</f>
        <v/>
      </c>
      <c r="O195">
        <f>CurrAttrValue(J195, 0)</f>
        <v/>
      </c>
      <c r="P195" s="5">
        <f>"142"</f>
        <v/>
      </c>
      <c r="Q195" s="6">
        <f>"АОсс. Пожар ГПА  "</f>
        <v/>
      </c>
      <c r="R195" s="7">
        <f>IF(N195, S195, "")</f>
        <v/>
      </c>
      <c r="S195" s="7">
        <f>CurrAttrValue(C195, 0)</f>
        <v/>
      </c>
      <c r="T195" s="5">
        <f>IF(K195=-200, "д.вх.", K195)</f>
        <v/>
      </c>
      <c r="U195" s="5">
        <f>IF(L195=-200, "д.вх.", IF(N195, O195, L195))</f>
        <v/>
      </c>
      <c r="V195" s="5">
        <f>CurrAttrValue(G195, 0)</f>
        <v/>
      </c>
      <c r="W195" s="5">
        <f>IF(M195, "Блокирована", IF(N195, "Проверено", "-"))</f>
        <v/>
      </c>
    </row>
    <row r="196" ht="20" customHeight="1">
      <c r="A196">
        <f>"System.PZ.A059"</f>
        <v/>
      </c>
      <c r="B196">
        <f>CONCATENATE($A$2, $A$1, $A196, B$2)</f>
        <v/>
      </c>
      <c r="C196">
        <f>CONCATENATE($A$2, $A$1, $A196, C$2)</f>
        <v/>
      </c>
      <c r="D196">
        <f>CONCATENATE($A$2, $A$1, $A196, D$2)</f>
        <v/>
      </c>
      <c r="E196">
        <f>CONCATENATE($A$2, $A$1, $A196, E$2)</f>
        <v/>
      </c>
      <c r="F196">
        <f>CONCATENATE($A$2, $A$1, $A196, F$2)</f>
        <v/>
      </c>
      <c r="G196">
        <f>CONCATENATE($A$2, $A$1, $A196, G$2)</f>
        <v/>
      </c>
      <c r="H196">
        <f>CONCATENATE($A$2, $A$1, $A196, H$2)</f>
        <v/>
      </c>
      <c r="I196">
        <f>CONCATENATE($A$2, $A$1, $A196, I$2)</f>
        <v/>
      </c>
      <c r="J196">
        <f>CONCATENATE($A$2, $A$1, $A196, J$2)</f>
        <v/>
      </c>
      <c r="K196">
        <f>CurrAttrValue(D196, 0)</f>
        <v/>
      </c>
      <c r="L196">
        <f>CurrAttrValue(E196, 0)</f>
        <v/>
      </c>
      <c r="M196">
        <f>CurrAttrValue(H196, 0)</f>
        <v/>
      </c>
      <c r="N196">
        <f>CurrAttrValue(I196, 0)</f>
        <v/>
      </c>
      <c r="O196">
        <f>CurrAttrValue(J196, 0)</f>
        <v/>
      </c>
      <c r="P196" s="5">
        <f>"143"</f>
        <v/>
      </c>
      <c r="Q196" s="6">
        <f>"АОсс. Загазованность ГПА опасная  "</f>
        <v/>
      </c>
      <c r="R196" s="7">
        <f>IF(N196, S196, "")</f>
        <v/>
      </c>
      <c r="S196" s="7">
        <f>CurrAttrValue(C196, 0)</f>
        <v/>
      </c>
      <c r="T196" s="5">
        <f>IF(K196=-200, "д.вх.", K196)</f>
        <v/>
      </c>
      <c r="U196" s="5">
        <f>IF(L196=-200, "д.вх.", IF(N196, O196, L196))</f>
        <v/>
      </c>
      <c r="V196" s="5">
        <f>CurrAttrValue(G196, 0)</f>
        <v/>
      </c>
      <c r="W196" s="5">
        <f>IF(M196, "Блокирована", IF(N196, "Проверено", "-"))</f>
        <v/>
      </c>
    </row>
    <row r="197" ht="20" customHeight="1">
      <c r="A197">
        <f>"System.PZ.A060"</f>
        <v/>
      </c>
      <c r="B197">
        <f>CONCATENATE($A$2, $A$1, $A197, B$2)</f>
        <v/>
      </c>
      <c r="C197">
        <f>CONCATENATE($A$2, $A$1, $A197, C$2)</f>
        <v/>
      </c>
      <c r="D197">
        <f>CONCATENATE($A$2, $A$1, $A197, D$2)</f>
        <v/>
      </c>
      <c r="E197">
        <f>CONCATENATE($A$2, $A$1, $A197, E$2)</f>
        <v/>
      </c>
      <c r="F197">
        <f>CONCATENATE($A$2, $A$1, $A197, F$2)</f>
        <v/>
      </c>
      <c r="G197">
        <f>CONCATENATE($A$2, $A$1, $A197, G$2)</f>
        <v/>
      </c>
      <c r="H197">
        <f>CONCATENATE($A$2, $A$1, $A197, H$2)</f>
        <v/>
      </c>
      <c r="I197">
        <f>CONCATENATE($A$2, $A$1, $A197, I$2)</f>
        <v/>
      </c>
      <c r="J197">
        <f>CONCATENATE($A$2, $A$1, $A197, J$2)</f>
        <v/>
      </c>
      <c r="K197">
        <f>CurrAttrValue(D197, 0)</f>
        <v/>
      </c>
      <c r="L197">
        <f>CurrAttrValue(E197, 0)</f>
        <v/>
      </c>
      <c r="M197">
        <f>CurrAttrValue(H197, 0)</f>
        <v/>
      </c>
      <c r="N197">
        <f>CurrAttrValue(I197, 0)</f>
        <v/>
      </c>
      <c r="O197">
        <f>CurrAttrValue(J197, 0)</f>
        <v/>
      </c>
      <c r="P197" s="5">
        <f>"144"</f>
        <v/>
      </c>
      <c r="Q197" s="6">
        <f>"АОсс. Высокая температура нагнетателя на выходе Н  "</f>
        <v/>
      </c>
      <c r="R197" s="7">
        <f>IF(N197, S197, "")</f>
        <v/>
      </c>
      <c r="S197" s="7">
        <f>CurrAttrValue(C197, 0)</f>
        <v/>
      </c>
      <c r="T197" s="5">
        <f>IF(K197=-200, "д.вх.", K197)</f>
        <v/>
      </c>
      <c r="U197" s="5">
        <f>IF(L197=-200, "д.вх.", IF(N197, O197, L197))</f>
        <v/>
      </c>
      <c r="V197" s="5">
        <f>CurrAttrValue(G197, 0)</f>
        <v/>
      </c>
      <c r="W197" s="5">
        <f>IF(M197, "Блокирована", IF(N197, "Проверено", "-"))</f>
        <v/>
      </c>
    </row>
    <row r="198" ht="20" customHeight="1">
      <c r="A198">
        <f>"System.PZ.A061"</f>
        <v/>
      </c>
      <c r="B198">
        <f>CONCATENATE($A$2, $A$1, $A198, B$2)</f>
        <v/>
      </c>
      <c r="C198">
        <f>CONCATENATE($A$2, $A$1, $A198, C$2)</f>
        <v/>
      </c>
      <c r="D198">
        <f>CONCATENATE($A$2, $A$1, $A198, D$2)</f>
        <v/>
      </c>
      <c r="E198">
        <f>CONCATENATE($A$2, $A$1, $A198, E$2)</f>
        <v/>
      </c>
      <c r="F198">
        <f>CONCATENATE($A$2, $A$1, $A198, F$2)</f>
        <v/>
      </c>
      <c r="G198">
        <f>CONCATENATE($A$2, $A$1, $A198, G$2)</f>
        <v/>
      </c>
      <c r="H198">
        <f>CONCATENATE($A$2, $A$1, $A198, H$2)</f>
        <v/>
      </c>
      <c r="I198">
        <f>CONCATENATE($A$2, $A$1, $A198, I$2)</f>
        <v/>
      </c>
      <c r="J198">
        <f>CONCATENATE($A$2, $A$1, $A198, J$2)</f>
        <v/>
      </c>
      <c r="K198">
        <f>CurrAttrValue(D198, 0)</f>
        <v/>
      </c>
      <c r="L198">
        <f>CurrAttrValue(E198, 0)</f>
        <v/>
      </c>
      <c r="M198">
        <f>CurrAttrValue(H198, 0)</f>
        <v/>
      </c>
      <c r="N198">
        <f>CurrAttrValue(I198, 0)</f>
        <v/>
      </c>
      <c r="O198">
        <f>CurrAttrValue(J198, 0)</f>
        <v/>
      </c>
      <c r="P198" s="5">
        <f>"145"</f>
        <v/>
      </c>
      <c r="Q198" s="6">
        <f>"АОсс. Высокий осевой сдвиг ротора нагнетателя  "</f>
        <v/>
      </c>
      <c r="R198" s="7">
        <f>IF(N198, S198, "")</f>
        <v/>
      </c>
      <c r="S198" s="7">
        <f>CurrAttrValue(C198, 0)</f>
        <v/>
      </c>
      <c r="T198" s="5">
        <f>IF(K198=-200, "д.вх.", K198)</f>
        <v/>
      </c>
      <c r="U198" s="5">
        <f>IF(L198=-200, "д.вх.", IF(N198, O198, L198))</f>
        <v/>
      </c>
      <c r="V198" s="5">
        <f>CurrAttrValue(G198, 0)</f>
        <v/>
      </c>
      <c r="W198" s="5">
        <f>IF(M198, "Блокирована", IF(N198, "Проверено", "-"))</f>
        <v/>
      </c>
    </row>
    <row r="199" ht="20" customHeight="1">
      <c r="A199">
        <f>"System.PZ.A062"</f>
        <v/>
      </c>
      <c r="B199">
        <f>CONCATENATE($A$2, $A$1, $A199, B$2)</f>
        <v/>
      </c>
      <c r="C199">
        <f>CONCATENATE($A$2, $A$1, $A199, C$2)</f>
        <v/>
      </c>
      <c r="D199">
        <f>CONCATENATE($A$2, $A$1, $A199, D$2)</f>
        <v/>
      </c>
      <c r="E199">
        <f>CONCATENATE($A$2, $A$1, $A199, E$2)</f>
        <v/>
      </c>
      <c r="F199">
        <f>CONCATENATE($A$2, $A$1, $A199, F$2)</f>
        <v/>
      </c>
      <c r="G199">
        <f>CONCATENATE($A$2, $A$1, $A199, G$2)</f>
        <v/>
      </c>
      <c r="H199">
        <f>CONCATENATE($A$2, $A$1, $A199, H$2)</f>
        <v/>
      </c>
      <c r="I199">
        <f>CONCATENATE($A$2, $A$1, $A199, I$2)</f>
        <v/>
      </c>
      <c r="J199">
        <f>CONCATENATE($A$2, $A$1, $A199, J$2)</f>
        <v/>
      </c>
      <c r="K199">
        <f>CurrAttrValue(D199, 0)</f>
        <v/>
      </c>
      <c r="L199">
        <f>CurrAttrValue(E199, 0)</f>
        <v/>
      </c>
      <c r="M199">
        <f>CurrAttrValue(H199, 0)</f>
        <v/>
      </c>
      <c r="N199">
        <f>CurrAttrValue(I199, 0)</f>
        <v/>
      </c>
      <c r="O199">
        <f>CurrAttrValue(J199, 0)</f>
        <v/>
      </c>
      <c r="P199" s="5">
        <f>"146"</f>
        <v/>
      </c>
      <c r="Q199" s="6">
        <f>"АОсс. Высокий осевой сдвиг ротора нагнетателя  "</f>
        <v/>
      </c>
      <c r="R199" s="7">
        <f>IF(N199, S199, "")</f>
        <v/>
      </c>
      <c r="S199" s="7">
        <f>CurrAttrValue(C199, 0)</f>
        <v/>
      </c>
      <c r="T199" s="5">
        <f>IF(K199=-200, "д.вх.", K199)</f>
        <v/>
      </c>
      <c r="U199" s="5">
        <f>IF(L199=-200, "д.вх.", IF(N199, O199, L199))</f>
        <v/>
      </c>
      <c r="V199" s="5">
        <f>CurrAttrValue(G199, 0)</f>
        <v/>
      </c>
      <c r="W199" s="5">
        <f>IF(M199, "Блокирована", IF(N199, "Проверено", "-"))</f>
        <v/>
      </c>
    </row>
    <row r="200" ht="20" customHeight="1">
      <c r="A200">
        <f>"System.PZ.A063"</f>
        <v/>
      </c>
      <c r="B200">
        <f>CONCATENATE($A$2, $A$1, $A200, B$2)</f>
        <v/>
      </c>
      <c r="C200">
        <f>CONCATENATE($A$2, $A$1, $A200, C$2)</f>
        <v/>
      </c>
      <c r="D200">
        <f>CONCATENATE($A$2, $A$1, $A200, D$2)</f>
        <v/>
      </c>
      <c r="E200">
        <f>CONCATENATE($A$2, $A$1, $A200, E$2)</f>
        <v/>
      </c>
      <c r="F200">
        <f>CONCATENATE($A$2, $A$1, $A200, F$2)</f>
        <v/>
      </c>
      <c r="G200">
        <f>CONCATENATE($A$2, $A$1, $A200, G$2)</f>
        <v/>
      </c>
      <c r="H200">
        <f>CONCATENATE($A$2, $A$1, $A200, H$2)</f>
        <v/>
      </c>
      <c r="I200">
        <f>CONCATENATE($A$2, $A$1, $A200, I$2)</f>
        <v/>
      </c>
      <c r="J200">
        <f>CONCATENATE($A$2, $A$1, $A200, J$2)</f>
        <v/>
      </c>
      <c r="K200">
        <f>CurrAttrValue(D200, 0)</f>
        <v/>
      </c>
      <c r="L200">
        <f>CurrAttrValue(E200, 0)</f>
        <v/>
      </c>
      <c r="M200">
        <f>CurrAttrValue(H200, 0)</f>
        <v/>
      </c>
      <c r="N200">
        <f>CurrAttrValue(I200, 0)</f>
        <v/>
      </c>
      <c r="O200">
        <f>CurrAttrValue(J200, 0)</f>
        <v/>
      </c>
      <c r="P200" s="5">
        <f>"147"</f>
        <v/>
      </c>
      <c r="Q200" s="6">
        <f>"АОсс. Высокое виброперемещение ПО Н (гор.)  "</f>
        <v/>
      </c>
      <c r="R200" s="7">
        <f>IF(N200, S200, "")</f>
        <v/>
      </c>
      <c r="S200" s="7">
        <f>CurrAttrValue(C200, 0)</f>
        <v/>
      </c>
      <c r="T200" s="5">
        <f>IF(K200=-200, "д.вх.", K200)</f>
        <v/>
      </c>
      <c r="U200" s="5">
        <f>IF(L200=-200, "д.вх.", IF(N200, O200, L200))</f>
        <v/>
      </c>
      <c r="V200" s="5">
        <f>CurrAttrValue(G200, 0)</f>
        <v/>
      </c>
      <c r="W200" s="5">
        <f>IF(M200, "Блокирована", IF(N200, "Проверено", "-"))</f>
        <v/>
      </c>
    </row>
    <row r="201" ht="20" customHeight="1">
      <c r="A201">
        <f>"System.PZ.A064"</f>
        <v/>
      </c>
      <c r="B201">
        <f>CONCATENATE($A$2, $A$1, $A201, B$2)</f>
        <v/>
      </c>
      <c r="C201">
        <f>CONCATENATE($A$2, $A$1, $A201, C$2)</f>
        <v/>
      </c>
      <c r="D201">
        <f>CONCATENATE($A$2, $A$1, $A201, D$2)</f>
        <v/>
      </c>
      <c r="E201">
        <f>CONCATENATE($A$2, $A$1, $A201, E$2)</f>
        <v/>
      </c>
      <c r="F201">
        <f>CONCATENATE($A$2, $A$1, $A201, F$2)</f>
        <v/>
      </c>
      <c r="G201">
        <f>CONCATENATE($A$2, $A$1, $A201, G$2)</f>
        <v/>
      </c>
      <c r="H201">
        <f>CONCATENATE($A$2, $A$1, $A201, H$2)</f>
        <v/>
      </c>
      <c r="I201">
        <f>CONCATENATE($A$2, $A$1, $A201, I$2)</f>
        <v/>
      </c>
      <c r="J201">
        <f>CONCATENATE($A$2, $A$1, $A201, J$2)</f>
        <v/>
      </c>
      <c r="K201">
        <f>CurrAttrValue(D201, 0)</f>
        <v/>
      </c>
      <c r="L201">
        <f>CurrAttrValue(E201, 0)</f>
        <v/>
      </c>
      <c r="M201">
        <f>CurrAttrValue(H201, 0)</f>
        <v/>
      </c>
      <c r="N201">
        <f>CurrAttrValue(I201, 0)</f>
        <v/>
      </c>
      <c r="O201">
        <f>CurrAttrValue(J201, 0)</f>
        <v/>
      </c>
      <c r="P201" s="5">
        <f>"148"</f>
        <v/>
      </c>
      <c r="Q201" s="6">
        <f>"АОсс. Высокое виброперемещение ПО Н (верт.)  "</f>
        <v/>
      </c>
      <c r="R201" s="7">
        <f>IF(N201, S201, "")</f>
        <v/>
      </c>
      <c r="S201" s="7">
        <f>CurrAttrValue(C201, 0)</f>
        <v/>
      </c>
      <c r="T201" s="5">
        <f>IF(K201=-200, "д.вх.", K201)</f>
        <v/>
      </c>
      <c r="U201" s="5">
        <f>IF(L201=-200, "д.вх.", IF(N201, O201, L201))</f>
        <v/>
      </c>
      <c r="V201" s="5">
        <f>CurrAttrValue(G201, 0)</f>
        <v/>
      </c>
      <c r="W201" s="5">
        <f>IF(M201, "Блокирована", IF(N201, "Проверено", "-"))</f>
        <v/>
      </c>
    </row>
    <row r="202" ht="20" customHeight="1">
      <c r="A202">
        <f>"System.PZ.A065"</f>
        <v/>
      </c>
      <c r="B202">
        <f>CONCATENATE($A$2, $A$1, $A202, B$2)</f>
        <v/>
      </c>
      <c r="C202">
        <f>CONCATENATE($A$2, $A$1, $A202, C$2)</f>
        <v/>
      </c>
      <c r="D202">
        <f>CONCATENATE($A$2, $A$1, $A202, D$2)</f>
        <v/>
      </c>
      <c r="E202">
        <f>CONCATENATE($A$2, $A$1, $A202, E$2)</f>
        <v/>
      </c>
      <c r="F202">
        <f>CONCATENATE($A$2, $A$1, $A202, F$2)</f>
        <v/>
      </c>
      <c r="G202">
        <f>CONCATENATE($A$2, $A$1, $A202, G$2)</f>
        <v/>
      </c>
      <c r="H202">
        <f>CONCATENATE($A$2, $A$1, $A202, H$2)</f>
        <v/>
      </c>
      <c r="I202">
        <f>CONCATENATE($A$2, $A$1, $A202, I$2)</f>
        <v/>
      </c>
      <c r="J202">
        <f>CONCATENATE($A$2, $A$1, $A202, J$2)</f>
        <v/>
      </c>
      <c r="K202">
        <f>CurrAttrValue(D202, 0)</f>
        <v/>
      </c>
      <c r="L202">
        <f>CurrAttrValue(E202, 0)</f>
        <v/>
      </c>
      <c r="M202">
        <f>CurrAttrValue(H202, 0)</f>
        <v/>
      </c>
      <c r="N202">
        <f>CurrAttrValue(I202, 0)</f>
        <v/>
      </c>
      <c r="O202">
        <f>CurrAttrValue(J202, 0)</f>
        <v/>
      </c>
      <c r="P202" s="5">
        <f>"149"</f>
        <v/>
      </c>
      <c r="Q202" s="6">
        <f>"АОсс. Высокое виброперемещение ЗО Н (гор.)  "</f>
        <v/>
      </c>
      <c r="R202" s="7">
        <f>IF(N202, S202, "")</f>
        <v/>
      </c>
      <c r="S202" s="7">
        <f>CurrAttrValue(C202, 0)</f>
        <v/>
      </c>
      <c r="T202" s="5">
        <f>IF(K202=-200, "д.вх.", K202)</f>
        <v/>
      </c>
      <c r="U202" s="5">
        <f>IF(L202=-200, "д.вх.", IF(N202, O202, L202))</f>
        <v/>
      </c>
      <c r="V202" s="5">
        <f>CurrAttrValue(G202, 0)</f>
        <v/>
      </c>
      <c r="W202" s="5">
        <f>IF(M202, "Блокирована", IF(N202, "Проверено", "-"))</f>
        <v/>
      </c>
    </row>
    <row r="203" ht="20" customHeight="1">
      <c r="A203">
        <f>"System.PZ.A066"</f>
        <v/>
      </c>
      <c r="B203">
        <f>CONCATENATE($A$2, $A$1, $A203, B$2)</f>
        <v/>
      </c>
      <c r="C203">
        <f>CONCATENATE($A$2, $A$1, $A203, C$2)</f>
        <v/>
      </c>
      <c r="D203">
        <f>CONCATENATE($A$2, $A$1, $A203, D$2)</f>
        <v/>
      </c>
      <c r="E203">
        <f>CONCATENATE($A$2, $A$1, $A203, E$2)</f>
        <v/>
      </c>
      <c r="F203">
        <f>CONCATENATE($A$2, $A$1, $A203, F$2)</f>
        <v/>
      </c>
      <c r="G203">
        <f>CONCATENATE($A$2, $A$1, $A203, G$2)</f>
        <v/>
      </c>
      <c r="H203">
        <f>CONCATENATE($A$2, $A$1, $A203, H$2)</f>
        <v/>
      </c>
      <c r="I203">
        <f>CONCATENATE($A$2, $A$1, $A203, I$2)</f>
        <v/>
      </c>
      <c r="J203">
        <f>CONCATENATE($A$2, $A$1, $A203, J$2)</f>
        <v/>
      </c>
      <c r="K203">
        <f>CurrAttrValue(D203, 0)</f>
        <v/>
      </c>
      <c r="L203">
        <f>CurrAttrValue(E203, 0)</f>
        <v/>
      </c>
      <c r="M203">
        <f>CurrAttrValue(H203, 0)</f>
        <v/>
      </c>
      <c r="N203">
        <f>CurrAttrValue(I203, 0)</f>
        <v/>
      </c>
      <c r="O203">
        <f>CurrAttrValue(J203, 0)</f>
        <v/>
      </c>
      <c r="P203" s="5">
        <f>"150"</f>
        <v/>
      </c>
      <c r="Q203" s="6">
        <f>"АОсс. Высокое виброперемещение ЗО Н (верт.)  "</f>
        <v/>
      </c>
      <c r="R203" s="7">
        <f>IF(N203, S203, "")</f>
        <v/>
      </c>
      <c r="S203" s="7">
        <f>CurrAttrValue(C203, 0)</f>
        <v/>
      </c>
      <c r="T203" s="5">
        <f>IF(K203=-200, "д.вх.", K203)</f>
        <v/>
      </c>
      <c r="U203" s="5">
        <f>IF(L203=-200, "д.вх.", IF(N203, O203, L203))</f>
        <v/>
      </c>
      <c r="V203" s="5">
        <f>CurrAttrValue(G203, 0)</f>
        <v/>
      </c>
      <c r="W203" s="5">
        <f>IF(M203, "Блокирована", IF(N203, "Проверено", "-"))</f>
        <v/>
      </c>
    </row>
    <row r="204" ht="20" customHeight="1">
      <c r="A204">
        <f>"System.PZ.A067"</f>
        <v/>
      </c>
      <c r="B204">
        <f>CONCATENATE($A$2, $A$1, $A204, B$2)</f>
        <v/>
      </c>
      <c r="C204">
        <f>CONCATENATE($A$2, $A$1, $A204, C$2)</f>
        <v/>
      </c>
      <c r="D204">
        <f>CONCATENATE($A$2, $A$1, $A204, D$2)</f>
        <v/>
      </c>
      <c r="E204">
        <f>CONCATENATE($A$2, $A$1, $A204, E$2)</f>
        <v/>
      </c>
      <c r="F204">
        <f>CONCATENATE($A$2, $A$1, $A204, F$2)</f>
        <v/>
      </c>
      <c r="G204">
        <f>CONCATENATE($A$2, $A$1, $A204, G$2)</f>
        <v/>
      </c>
      <c r="H204">
        <f>CONCATENATE($A$2, $A$1, $A204, H$2)</f>
        <v/>
      </c>
      <c r="I204">
        <f>CONCATENATE($A$2, $A$1, $A204, I$2)</f>
        <v/>
      </c>
      <c r="J204">
        <f>CONCATENATE($A$2, $A$1, $A204, J$2)</f>
        <v/>
      </c>
      <c r="K204">
        <f>CurrAttrValue(D204, 0)</f>
        <v/>
      </c>
      <c r="L204">
        <f>CurrAttrValue(E204, 0)</f>
        <v/>
      </c>
      <c r="M204">
        <f>CurrAttrValue(H204, 0)</f>
        <v/>
      </c>
      <c r="N204">
        <f>CurrAttrValue(I204, 0)</f>
        <v/>
      </c>
      <c r="O204">
        <f>CurrAttrValue(J204, 0)</f>
        <v/>
      </c>
      <c r="P204" s="5">
        <f>"151"</f>
        <v/>
      </c>
      <c r="Q204" s="6">
        <f>"АОсс. Самопроизвольное закрытие крана 1  "</f>
        <v/>
      </c>
      <c r="R204" s="7">
        <f>IF(N204, S204, "")</f>
        <v/>
      </c>
      <c r="S204" s="7">
        <f>CurrAttrValue(C204, 0)</f>
        <v/>
      </c>
      <c r="T204" s="5">
        <f>IF(K204=-200, "д.вх.", K204)</f>
        <v/>
      </c>
      <c r="U204" s="5">
        <f>IF(L204=-200, "д.вх.", IF(N204, O204, L204))</f>
        <v/>
      </c>
      <c r="V204" s="5">
        <f>CurrAttrValue(G204, 0)</f>
        <v/>
      </c>
      <c r="W204" s="5">
        <f>IF(M204, "Блокирована", IF(N204, "Проверено", "-"))</f>
        <v/>
      </c>
    </row>
    <row r="205" ht="20" customHeight="1">
      <c r="A205">
        <f>"System.PZ.A068"</f>
        <v/>
      </c>
      <c r="B205">
        <f>CONCATENATE($A$2, $A$1, $A205, B$2)</f>
        <v/>
      </c>
      <c r="C205">
        <f>CONCATENATE($A$2, $A$1, $A205, C$2)</f>
        <v/>
      </c>
      <c r="D205">
        <f>CONCATENATE($A$2, $A$1, $A205, D$2)</f>
        <v/>
      </c>
      <c r="E205">
        <f>CONCATENATE($A$2, $A$1, $A205, E$2)</f>
        <v/>
      </c>
      <c r="F205">
        <f>CONCATENATE($A$2, $A$1, $A205, F$2)</f>
        <v/>
      </c>
      <c r="G205">
        <f>CONCATENATE($A$2, $A$1, $A205, G$2)</f>
        <v/>
      </c>
      <c r="H205">
        <f>CONCATENATE($A$2, $A$1, $A205, H$2)</f>
        <v/>
      </c>
      <c r="I205">
        <f>CONCATENATE($A$2, $A$1, $A205, I$2)</f>
        <v/>
      </c>
      <c r="J205">
        <f>CONCATENATE($A$2, $A$1, $A205, J$2)</f>
        <v/>
      </c>
      <c r="K205">
        <f>CurrAttrValue(D205, 0)</f>
        <v/>
      </c>
      <c r="L205">
        <f>CurrAttrValue(E205, 0)</f>
        <v/>
      </c>
      <c r="M205">
        <f>CurrAttrValue(H205, 0)</f>
        <v/>
      </c>
      <c r="N205">
        <f>CurrAttrValue(I205, 0)</f>
        <v/>
      </c>
      <c r="O205">
        <f>CurrAttrValue(J205, 0)</f>
        <v/>
      </c>
      <c r="P205" s="5">
        <f>"152"</f>
        <v/>
      </c>
      <c r="Q205" s="6">
        <f>"АОсс. Самопроизвольное закрытие крана 2  "</f>
        <v/>
      </c>
      <c r="R205" s="7">
        <f>IF(N205, S205, "")</f>
        <v/>
      </c>
      <c r="S205" s="7">
        <f>CurrAttrValue(C205, 0)</f>
        <v/>
      </c>
      <c r="T205" s="5">
        <f>IF(K205=-200, "д.вх.", K205)</f>
        <v/>
      </c>
      <c r="U205" s="5">
        <f>IF(L205=-200, "д.вх.", IF(N205, O205, L205))</f>
        <v/>
      </c>
      <c r="V205" s="5">
        <f>CurrAttrValue(G205, 0)</f>
        <v/>
      </c>
      <c r="W205" s="5">
        <f>IF(M205, "Блокирована", IF(N205, "Проверено", "-"))</f>
        <v/>
      </c>
    </row>
    <row r="206" ht="20" customHeight="1">
      <c r="A206">
        <f>"System.PZ.A069"</f>
        <v/>
      </c>
      <c r="B206">
        <f>CONCATENATE($A$2, $A$1, $A206, B$2)</f>
        <v/>
      </c>
      <c r="C206">
        <f>CONCATENATE($A$2, $A$1, $A206, C$2)</f>
        <v/>
      </c>
      <c r="D206">
        <f>CONCATENATE($A$2, $A$1, $A206, D$2)</f>
        <v/>
      </c>
      <c r="E206">
        <f>CONCATENATE($A$2, $A$1, $A206, E$2)</f>
        <v/>
      </c>
      <c r="F206">
        <f>CONCATENATE($A$2, $A$1, $A206, F$2)</f>
        <v/>
      </c>
      <c r="G206">
        <f>CONCATENATE($A$2, $A$1, $A206, G$2)</f>
        <v/>
      </c>
      <c r="H206">
        <f>CONCATENATE($A$2, $A$1, $A206, H$2)</f>
        <v/>
      </c>
      <c r="I206">
        <f>CONCATENATE($A$2, $A$1, $A206, I$2)</f>
        <v/>
      </c>
      <c r="J206">
        <f>CONCATENATE($A$2, $A$1, $A206, J$2)</f>
        <v/>
      </c>
      <c r="K206">
        <f>CurrAttrValue(D206, 0)</f>
        <v/>
      </c>
      <c r="L206">
        <f>CurrAttrValue(E206, 0)</f>
        <v/>
      </c>
      <c r="M206">
        <f>CurrAttrValue(H206, 0)</f>
        <v/>
      </c>
      <c r="N206">
        <f>CurrAttrValue(I206, 0)</f>
        <v/>
      </c>
      <c r="O206">
        <f>CurrAttrValue(J206, 0)</f>
        <v/>
      </c>
      <c r="P206" s="5">
        <f>"153"</f>
        <v/>
      </c>
      <c r="Q206" s="6">
        <f>"АОсс. Самопроизвольное закрытие крана 6  "</f>
        <v/>
      </c>
      <c r="R206" s="7">
        <f>IF(N206, S206, "")</f>
        <v/>
      </c>
      <c r="S206" s="7">
        <f>CurrAttrValue(C206, 0)</f>
        <v/>
      </c>
      <c r="T206" s="5">
        <f>IF(K206=-200, "д.вх.", K206)</f>
        <v/>
      </c>
      <c r="U206" s="5">
        <f>IF(L206=-200, "д.вх.", IF(N206, O206, L206))</f>
        <v/>
      </c>
      <c r="V206" s="5">
        <f>CurrAttrValue(G206, 0)</f>
        <v/>
      </c>
      <c r="W206" s="5">
        <f>IF(M206, "Блокирована", IF(N206, "Проверено", "-"))</f>
        <v/>
      </c>
    </row>
    <row r="207" ht="20" customHeight="1">
      <c r="A207">
        <f>"System.PZ.A070"</f>
        <v/>
      </c>
      <c r="B207">
        <f>CONCATENATE($A$2, $A$1, $A207, B$2)</f>
        <v/>
      </c>
      <c r="C207">
        <f>CONCATENATE($A$2, $A$1, $A207, C$2)</f>
        <v/>
      </c>
      <c r="D207">
        <f>CONCATENATE($A$2, $A$1, $A207, D$2)</f>
        <v/>
      </c>
      <c r="E207">
        <f>CONCATENATE($A$2, $A$1, $A207, E$2)</f>
        <v/>
      </c>
      <c r="F207">
        <f>CONCATENATE($A$2, $A$1, $A207, F$2)</f>
        <v/>
      </c>
      <c r="G207">
        <f>CONCATENATE($A$2, $A$1, $A207, G$2)</f>
        <v/>
      </c>
      <c r="H207">
        <f>CONCATENATE($A$2, $A$1, $A207, H$2)</f>
        <v/>
      </c>
      <c r="I207">
        <f>CONCATENATE($A$2, $A$1, $A207, I$2)</f>
        <v/>
      </c>
      <c r="J207">
        <f>CONCATENATE($A$2, $A$1, $A207, J$2)</f>
        <v/>
      </c>
      <c r="K207">
        <f>CurrAttrValue(D207, 0)</f>
        <v/>
      </c>
      <c r="L207">
        <f>CurrAttrValue(E207, 0)</f>
        <v/>
      </c>
      <c r="M207">
        <f>CurrAttrValue(H207, 0)</f>
        <v/>
      </c>
      <c r="N207">
        <f>CurrAttrValue(I207, 0)</f>
        <v/>
      </c>
      <c r="O207">
        <f>CurrAttrValue(J207, 0)</f>
        <v/>
      </c>
      <c r="P207" s="5">
        <f>"154"</f>
        <v/>
      </c>
      <c r="Q207" s="6">
        <f>"АОсс. Время работы ВС велико  "</f>
        <v/>
      </c>
      <c r="R207" s="7">
        <f>IF(N207, S207, "")</f>
        <v/>
      </c>
      <c r="S207" s="7">
        <f>CurrAttrValue(C207, 0)</f>
        <v/>
      </c>
      <c r="T207" s="5">
        <f>IF(K207=-200, "д.вх.", K207)</f>
        <v/>
      </c>
      <c r="U207" s="5">
        <f>IF(L207=-200, "д.вх.", IF(N207, O207, L207))</f>
        <v/>
      </c>
      <c r="V207" s="5">
        <f>CurrAttrValue(G207, 0)</f>
        <v/>
      </c>
      <c r="W207" s="5">
        <f>IF(M207, "Блокирована", IF(N207, "Проверено", "-"))</f>
        <v/>
      </c>
    </row>
    <row r="208" ht="20" customHeight="1">
      <c r="A208">
        <f>"System.PZ.A071"</f>
        <v/>
      </c>
      <c r="B208">
        <f>CONCATENATE($A$2, $A$1, $A208, B$2)</f>
        <v/>
      </c>
      <c r="C208">
        <f>CONCATENATE($A$2, $A$1, $A208, C$2)</f>
        <v/>
      </c>
      <c r="D208">
        <f>CONCATENATE($A$2, $A$1, $A208, D$2)</f>
        <v/>
      </c>
      <c r="E208">
        <f>CONCATENATE($A$2, $A$1, $A208, E$2)</f>
        <v/>
      </c>
      <c r="F208">
        <f>CONCATENATE($A$2, $A$1, $A208, F$2)</f>
        <v/>
      </c>
      <c r="G208">
        <f>CONCATENATE($A$2, $A$1, $A208, G$2)</f>
        <v/>
      </c>
      <c r="H208">
        <f>CONCATENATE($A$2, $A$1, $A208, H$2)</f>
        <v/>
      </c>
      <c r="I208">
        <f>CONCATENATE($A$2, $A$1, $A208, I$2)</f>
        <v/>
      </c>
      <c r="J208">
        <f>CONCATENATE($A$2, $A$1, $A208, J$2)</f>
        <v/>
      </c>
      <c r="K208">
        <f>CurrAttrValue(D208, 0)</f>
        <v/>
      </c>
      <c r="L208">
        <f>CurrAttrValue(E208, 0)</f>
        <v/>
      </c>
      <c r="M208">
        <f>CurrAttrValue(H208, 0)</f>
        <v/>
      </c>
      <c r="N208">
        <f>CurrAttrValue(I208, 0)</f>
        <v/>
      </c>
      <c r="O208">
        <f>CurrAttrValue(J208, 0)</f>
        <v/>
      </c>
      <c r="P208" s="5">
        <f>"155"</f>
        <v/>
      </c>
      <c r="Q208" s="6">
        <f>"АОсс. Кнопка АО нажата (ПРУ)  "</f>
        <v/>
      </c>
      <c r="R208" s="7">
        <f>IF(N208, S208, "")</f>
        <v/>
      </c>
      <c r="S208" s="7">
        <f>CurrAttrValue(C208, 0)</f>
        <v/>
      </c>
      <c r="T208" s="5">
        <f>IF(K208=-200, "д.вх.", K208)</f>
        <v/>
      </c>
      <c r="U208" s="5">
        <f>IF(L208=-200, "д.вх.", IF(N208, O208, L208))</f>
        <v/>
      </c>
      <c r="V208" s="5">
        <f>CurrAttrValue(G208, 0)</f>
        <v/>
      </c>
      <c r="W208" s="5">
        <f>IF(M208, "Блокирована", IF(N208, "Проверено", "-"))</f>
        <v/>
      </c>
    </row>
    <row r="209" ht="20" customHeight="1">
      <c r="A209">
        <f>"System.PZ.A072"</f>
        <v/>
      </c>
      <c r="B209">
        <f>CONCATENATE($A$2, $A$1, $A209, B$2)</f>
        <v/>
      </c>
      <c r="C209">
        <f>CONCATENATE($A$2, $A$1, $A209, C$2)</f>
        <v/>
      </c>
      <c r="D209">
        <f>CONCATENATE($A$2, $A$1, $A209, D$2)</f>
        <v/>
      </c>
      <c r="E209">
        <f>CONCATENATE($A$2, $A$1, $A209, E$2)</f>
        <v/>
      </c>
      <c r="F209">
        <f>CONCATENATE($A$2, $A$1, $A209, F$2)</f>
        <v/>
      </c>
      <c r="G209">
        <f>CONCATENATE($A$2, $A$1, $A209, G$2)</f>
        <v/>
      </c>
      <c r="H209">
        <f>CONCATENATE($A$2, $A$1, $A209, H$2)</f>
        <v/>
      </c>
      <c r="I209">
        <f>CONCATENATE($A$2, $A$1, $A209, I$2)</f>
        <v/>
      </c>
      <c r="J209">
        <f>CONCATENATE($A$2, $A$1, $A209, J$2)</f>
        <v/>
      </c>
      <c r="K209">
        <f>CurrAttrValue(D209, 0)</f>
        <v/>
      </c>
      <c r="L209">
        <f>CurrAttrValue(E209, 0)</f>
        <v/>
      </c>
      <c r="M209">
        <f>CurrAttrValue(H209, 0)</f>
        <v/>
      </c>
      <c r="N209">
        <f>CurrAttrValue(I209, 0)</f>
        <v/>
      </c>
      <c r="O209">
        <f>CurrAttrValue(J209, 0)</f>
        <v/>
      </c>
      <c r="P209" s="5">
        <f>"156"</f>
        <v/>
      </c>
      <c r="Q209" s="6">
        <f>"АОсс. Кнопка ЭО на ПРУ нажата  "</f>
        <v/>
      </c>
      <c r="R209" s="7">
        <f>IF(N209, S209, "")</f>
        <v/>
      </c>
      <c r="S209" s="7">
        <f>CurrAttrValue(C209, 0)</f>
        <v/>
      </c>
      <c r="T209" s="5">
        <f>IF(K209=-200, "д.вх.", K209)</f>
        <v/>
      </c>
      <c r="U209" s="5">
        <f>IF(L209=-200, "д.вх.", IF(N209, O209, L209))</f>
        <v/>
      </c>
      <c r="V209" s="5">
        <f>CurrAttrValue(G209, 0)</f>
        <v/>
      </c>
      <c r="W209" s="5">
        <f>IF(M209, "Блокирована", IF(N209, "Проверено", "-"))</f>
        <v/>
      </c>
    </row>
    <row r="212" ht="35" customHeight="1">
      <c r="Q212" s="8">
        <f>"должность"</f>
        <v/>
      </c>
      <c r="R212" s="9" t="n"/>
      <c r="S212" s="8">
        <f>"ФИО"</f>
        <v/>
      </c>
      <c r="T212" s="9" t="n"/>
      <c r="U212" s="8">
        <f>"подпись"</f>
        <v/>
      </c>
    </row>
    <row r="213" ht="35" customHeight="1">
      <c r="Q213" s="8">
        <f>"должность"</f>
        <v/>
      </c>
      <c r="R213" s="9" t="n"/>
      <c r="S213" s="8">
        <f>"ФИО"</f>
        <v/>
      </c>
      <c r="T213" s="9" t="n"/>
      <c r="U213" s="8">
        <f>"подпись"</f>
        <v/>
      </c>
    </row>
    <row r="214" ht="35" customHeight="1">
      <c r="Q214" s="8">
        <f>"должность"</f>
        <v/>
      </c>
      <c r="R214" s="9" t="n"/>
      <c r="S214" s="8">
        <f>"ФИО"</f>
        <v/>
      </c>
      <c r="T214" s="9" t="n"/>
      <c r="U214" s="8">
        <f>"подпись"</f>
        <v/>
      </c>
    </row>
    <row r="216" ht="25" customHeight="1">
      <c r="Q216" s="1">
        <f>"Протокол проверки защит ГПА №2 на "</f>
        <v/>
      </c>
      <c r="R216" s="2">
        <f>R1</f>
        <v/>
      </c>
      <c r="S216" s="3">
        <f>S1</f>
        <v/>
      </c>
    </row>
    <row r="218" ht="20" customHeight="1">
      <c r="P218" s="4">
        <f>"№"</f>
        <v/>
      </c>
      <c r="Q218" s="4">
        <f>"Наименование защиты  "</f>
        <v/>
      </c>
      <c r="R218" s="4">
        <f>"Таймер"</f>
        <v/>
      </c>
      <c r="S218" s="4">
        <f>"Задержка"</f>
        <v/>
      </c>
      <c r="T218" s="4">
        <f>"Уставка"</f>
        <v/>
      </c>
      <c r="U218" s="4">
        <f>"Значение"</f>
        <v/>
      </c>
      <c r="V218" s="4">
        <f>"Eд.изм"</f>
        <v/>
      </c>
      <c r="W218" s="4">
        <f>"Отметка о проверке"</f>
        <v/>
      </c>
    </row>
    <row r="219" ht="20" customHeight="1">
      <c r="A219">
        <f>"System.PZ.A073"</f>
        <v/>
      </c>
      <c r="B219">
        <f>CONCATENATE($A$2, $A$1, $A219, B$2)</f>
        <v/>
      </c>
      <c r="C219">
        <f>CONCATENATE($A$2, $A$1, $A219, C$2)</f>
        <v/>
      </c>
      <c r="D219">
        <f>CONCATENATE($A$2, $A$1, $A219, D$2)</f>
        <v/>
      </c>
      <c r="E219">
        <f>CONCATENATE($A$2, $A$1, $A219, E$2)</f>
        <v/>
      </c>
      <c r="F219">
        <f>CONCATENATE($A$2, $A$1, $A219, F$2)</f>
        <v/>
      </c>
      <c r="G219">
        <f>CONCATENATE($A$2, $A$1, $A219, G$2)</f>
        <v/>
      </c>
      <c r="H219">
        <f>CONCATENATE($A$2, $A$1, $A219, H$2)</f>
        <v/>
      </c>
      <c r="I219">
        <f>CONCATENATE($A$2, $A$1, $A219, I$2)</f>
        <v/>
      </c>
      <c r="J219">
        <f>CONCATENATE($A$2, $A$1, $A219, J$2)</f>
        <v/>
      </c>
      <c r="K219">
        <f>CurrAttrValue(D219, 0)</f>
        <v/>
      </c>
      <c r="L219">
        <f>CurrAttrValue(E219, 0)</f>
        <v/>
      </c>
      <c r="M219">
        <f>CurrAttrValue(H219, 0)</f>
        <v/>
      </c>
      <c r="N219">
        <f>CurrAttrValue(I219, 0)</f>
        <v/>
      </c>
      <c r="O219">
        <f>CurrAttrValue(J219, 0)</f>
        <v/>
      </c>
      <c r="P219" s="5">
        <f>"157"</f>
        <v/>
      </c>
      <c r="Q219" s="6">
        <f>"АОсс. АО от САУ КЦ  "</f>
        <v/>
      </c>
      <c r="R219" s="7">
        <f>IF(N219, S219, "")</f>
        <v/>
      </c>
      <c r="S219" s="7">
        <f>CurrAttrValue(C219, 0)</f>
        <v/>
      </c>
      <c r="T219" s="5">
        <f>IF(K219=-200, "д.вх.", K219)</f>
        <v/>
      </c>
      <c r="U219" s="5">
        <f>IF(L219=-200, "д.вх.", IF(N219, O219, L219))</f>
        <v/>
      </c>
      <c r="V219" s="5">
        <f>CurrAttrValue(G219, 0)</f>
        <v/>
      </c>
      <c r="W219" s="5">
        <f>IF(M219, "Блокирована", IF(N219, "Проверено", "-"))</f>
        <v/>
      </c>
    </row>
    <row r="220" ht="20" customHeight="1">
      <c r="A220">
        <f>"System.PZ.A074"</f>
        <v/>
      </c>
      <c r="B220">
        <f>CONCATENATE($A$2, $A$1, $A220, B$2)</f>
        <v/>
      </c>
      <c r="C220">
        <f>CONCATENATE($A$2, $A$1, $A220, C$2)</f>
        <v/>
      </c>
      <c r="D220">
        <f>CONCATENATE($A$2, $A$1, $A220, D$2)</f>
        <v/>
      </c>
      <c r="E220">
        <f>CONCATENATE($A$2, $A$1, $A220, E$2)</f>
        <v/>
      </c>
      <c r="F220">
        <f>CONCATENATE($A$2, $A$1, $A220, F$2)</f>
        <v/>
      </c>
      <c r="G220">
        <f>CONCATENATE($A$2, $A$1, $A220, G$2)</f>
        <v/>
      </c>
      <c r="H220">
        <f>CONCATENATE($A$2, $A$1, $A220, H$2)</f>
        <v/>
      </c>
      <c r="I220">
        <f>CONCATENATE($A$2, $A$1, $A220, I$2)</f>
        <v/>
      </c>
      <c r="J220">
        <f>CONCATENATE($A$2, $A$1, $A220, J$2)</f>
        <v/>
      </c>
      <c r="K220">
        <f>CurrAttrValue(D220, 0)</f>
        <v/>
      </c>
      <c r="L220">
        <f>CurrAttrValue(E220, 0)</f>
        <v/>
      </c>
      <c r="M220">
        <f>CurrAttrValue(H220, 0)</f>
        <v/>
      </c>
      <c r="N220">
        <f>CurrAttrValue(I220, 0)</f>
        <v/>
      </c>
      <c r="O220">
        <f>CurrAttrValue(J220, 0)</f>
        <v/>
      </c>
      <c r="P220" s="5">
        <f>"158"</f>
        <v/>
      </c>
      <c r="Q220" s="6">
        <f>"АОсс. ЭАО от САУ КЦ  "</f>
        <v/>
      </c>
      <c r="R220" s="7">
        <f>IF(N220, S220, "")</f>
        <v/>
      </c>
      <c r="S220" s="7">
        <f>CurrAttrValue(C220, 0)</f>
        <v/>
      </c>
      <c r="T220" s="5">
        <f>IF(K220=-200, "д.вх.", K220)</f>
        <v/>
      </c>
      <c r="U220" s="5">
        <f>IF(L220=-200, "д.вх.", IF(N220, O220, L220))</f>
        <v/>
      </c>
      <c r="V220" s="5">
        <f>CurrAttrValue(G220, 0)</f>
        <v/>
      </c>
      <c r="W220" s="5">
        <f>IF(M220, "Блокирована", IF(N220, "Проверено", "-"))</f>
        <v/>
      </c>
    </row>
    <row r="221" ht="20" customHeight="1">
      <c r="A221">
        <f>"System.PZ.A075"</f>
        <v/>
      </c>
      <c r="B221">
        <f>CONCATENATE($A$2, $A$1, $A221, B$2)</f>
        <v/>
      </c>
      <c r="C221">
        <f>CONCATENATE($A$2, $A$1, $A221, C$2)</f>
        <v/>
      </c>
      <c r="D221">
        <f>CONCATENATE($A$2, $A$1, $A221, D$2)</f>
        <v/>
      </c>
      <c r="E221">
        <f>CONCATENATE($A$2, $A$1, $A221, E$2)</f>
        <v/>
      </c>
      <c r="F221">
        <f>CONCATENATE($A$2, $A$1, $A221, F$2)</f>
        <v/>
      </c>
      <c r="G221">
        <f>CONCATENATE($A$2, $A$1, $A221, G$2)</f>
        <v/>
      </c>
      <c r="H221">
        <f>CONCATENATE($A$2, $A$1, $A221, H$2)</f>
        <v/>
      </c>
      <c r="I221">
        <f>CONCATENATE($A$2, $A$1, $A221, I$2)</f>
        <v/>
      </c>
      <c r="J221">
        <f>CONCATENATE($A$2, $A$1, $A221, J$2)</f>
        <v/>
      </c>
      <c r="K221">
        <f>CurrAttrValue(D221, 0)</f>
        <v/>
      </c>
      <c r="L221">
        <f>CurrAttrValue(E221, 0)</f>
        <v/>
      </c>
      <c r="M221">
        <f>CurrAttrValue(H221, 0)</f>
        <v/>
      </c>
      <c r="N221">
        <f>CurrAttrValue(I221, 0)</f>
        <v/>
      </c>
      <c r="O221">
        <f>CurrAttrValue(J221, 0)</f>
        <v/>
      </c>
      <c r="P221" s="5">
        <f>"159"</f>
        <v/>
      </c>
      <c r="Q221" s="6">
        <f>"АОсс. АОсс по команде оператора  "</f>
        <v/>
      </c>
      <c r="R221" s="7">
        <f>IF(N221, S221, "")</f>
        <v/>
      </c>
      <c r="S221" s="7">
        <f>CurrAttrValue(C221, 0)</f>
        <v/>
      </c>
      <c r="T221" s="5">
        <f>IF(K221=-200, "д.вх.", K221)</f>
        <v/>
      </c>
      <c r="U221" s="5">
        <f>IF(L221=-200, "д.вх.", IF(N221, O221, L221))</f>
        <v/>
      </c>
      <c r="V221" s="5">
        <f>CurrAttrValue(G221, 0)</f>
        <v/>
      </c>
      <c r="W221" s="5">
        <f>IF(M221, "Блокирована", IF(N221, "Проверено", "-"))</f>
        <v/>
      </c>
    </row>
    <row r="222" ht="20" customHeight="1">
      <c r="A222">
        <f>"System.PZ.A076"</f>
        <v/>
      </c>
      <c r="B222">
        <f>CONCATENATE($A$2, $A$1, $A222, B$2)</f>
        <v/>
      </c>
      <c r="C222">
        <f>CONCATENATE($A$2, $A$1, $A222, C$2)</f>
        <v/>
      </c>
      <c r="D222">
        <f>CONCATENATE($A$2, $A$1, $A222, D$2)</f>
        <v/>
      </c>
      <c r="E222">
        <f>CONCATENATE($A$2, $A$1, $A222, E$2)</f>
        <v/>
      </c>
      <c r="F222">
        <f>CONCATENATE($A$2, $A$1, $A222, F$2)</f>
        <v/>
      </c>
      <c r="G222">
        <f>CONCATENATE($A$2, $A$1, $A222, G$2)</f>
        <v/>
      </c>
      <c r="H222">
        <f>CONCATENATE($A$2, $A$1, $A222, H$2)</f>
        <v/>
      </c>
      <c r="I222">
        <f>CONCATENATE($A$2, $A$1, $A222, I$2)</f>
        <v/>
      </c>
      <c r="J222">
        <f>CONCATENATE($A$2, $A$1, $A222, J$2)</f>
        <v/>
      </c>
      <c r="K222">
        <f>CurrAttrValue(D222, 0)</f>
        <v/>
      </c>
      <c r="L222">
        <f>CurrAttrValue(E222, 0)</f>
        <v/>
      </c>
      <c r="M222">
        <f>CurrAttrValue(H222, 0)</f>
        <v/>
      </c>
      <c r="N222">
        <f>CurrAttrValue(I222, 0)</f>
        <v/>
      </c>
      <c r="O222">
        <f>CurrAttrValue(J222, 0)</f>
        <v/>
      </c>
      <c r="P222" s="5">
        <f>"160"</f>
        <v/>
      </c>
      <c r="Q222" s="6">
        <f>"АОбс. АОбс по команде оператора  "</f>
        <v/>
      </c>
      <c r="R222" s="7">
        <f>IF(N222, S222, "")</f>
        <v/>
      </c>
      <c r="S222" s="7">
        <f>CurrAttrValue(C222, 0)</f>
        <v/>
      </c>
      <c r="T222" s="5">
        <f>IF(K222=-200, "д.вх.", K222)</f>
        <v/>
      </c>
      <c r="U222" s="5">
        <f>IF(L222=-200, "д.вх.", IF(N222, O222, L222))</f>
        <v/>
      </c>
      <c r="V222" s="5">
        <f>CurrAttrValue(G222, 0)</f>
        <v/>
      </c>
      <c r="W222" s="5">
        <f>IF(M222, "Блокирована", IF(N222, "Проверено", "-"))</f>
        <v/>
      </c>
    </row>
    <row r="223" ht="20" customHeight="1">
      <c r="A223">
        <f>"System.PZ.A077"</f>
        <v/>
      </c>
      <c r="B223">
        <f>CONCATENATE($A$2, $A$1, $A223, B$2)</f>
        <v/>
      </c>
      <c r="C223">
        <f>CONCATENATE($A$2, $A$1, $A223, C$2)</f>
        <v/>
      </c>
      <c r="D223">
        <f>CONCATENATE($A$2, $A$1, $A223, D$2)</f>
        <v/>
      </c>
      <c r="E223">
        <f>CONCATENATE($A$2, $A$1, $A223, E$2)</f>
        <v/>
      </c>
      <c r="F223">
        <f>CONCATENATE($A$2, $A$1, $A223, F$2)</f>
        <v/>
      </c>
      <c r="G223">
        <f>CONCATENATE($A$2, $A$1, $A223, G$2)</f>
        <v/>
      </c>
      <c r="H223">
        <f>CONCATENATE($A$2, $A$1, $A223, H$2)</f>
        <v/>
      </c>
      <c r="I223">
        <f>CONCATENATE($A$2, $A$1, $A223, I$2)</f>
        <v/>
      </c>
      <c r="J223">
        <f>CONCATENATE($A$2, $A$1, $A223, J$2)</f>
        <v/>
      </c>
      <c r="K223">
        <f>CurrAttrValue(D223, 0)</f>
        <v/>
      </c>
      <c r="L223">
        <f>CurrAttrValue(E223, 0)</f>
        <v/>
      </c>
      <c r="M223">
        <f>CurrAttrValue(H223, 0)</f>
        <v/>
      </c>
      <c r="N223">
        <f>CurrAttrValue(I223, 0)</f>
        <v/>
      </c>
      <c r="O223">
        <f>CurrAttrValue(J223, 0)</f>
        <v/>
      </c>
      <c r="P223" s="5">
        <f>"161"</f>
        <v/>
      </c>
      <c r="Q223" s="6">
        <f>"АОсс. АОсс по команде оператора с ПРУ  "</f>
        <v/>
      </c>
      <c r="R223" s="7">
        <f>IF(N223, S223, "")</f>
        <v/>
      </c>
      <c r="S223" s="7">
        <f>CurrAttrValue(C223, 0)</f>
        <v/>
      </c>
      <c r="T223" s="5">
        <f>IF(K223=-200, "д.вх.", K223)</f>
        <v/>
      </c>
      <c r="U223" s="5">
        <f>IF(L223=-200, "д.вх.", IF(N223, O223, L223))</f>
        <v/>
      </c>
      <c r="V223" s="5">
        <f>CurrAttrValue(G223, 0)</f>
        <v/>
      </c>
      <c r="W223" s="5">
        <f>IF(M223, "Блокирована", IF(N223, "Проверено", "-"))</f>
        <v/>
      </c>
    </row>
    <row r="224" ht="20" customHeight="1">
      <c r="A224">
        <f>"System.PZ.A078"</f>
        <v/>
      </c>
      <c r="B224">
        <f>CONCATENATE($A$2, $A$1, $A224, B$2)</f>
        <v/>
      </c>
      <c r="C224">
        <f>CONCATENATE($A$2, $A$1, $A224, C$2)</f>
        <v/>
      </c>
      <c r="D224">
        <f>CONCATENATE($A$2, $A$1, $A224, D$2)</f>
        <v/>
      </c>
      <c r="E224">
        <f>CONCATENATE($A$2, $A$1, $A224, E$2)</f>
        <v/>
      </c>
      <c r="F224">
        <f>CONCATENATE($A$2, $A$1, $A224, F$2)</f>
        <v/>
      </c>
      <c r="G224">
        <f>CONCATENATE($A$2, $A$1, $A224, G$2)</f>
        <v/>
      </c>
      <c r="H224">
        <f>CONCATENATE($A$2, $A$1, $A224, H$2)</f>
        <v/>
      </c>
      <c r="I224">
        <f>CONCATENATE($A$2, $A$1, $A224, I$2)</f>
        <v/>
      </c>
      <c r="J224">
        <f>CONCATENATE($A$2, $A$1, $A224, J$2)</f>
        <v/>
      </c>
      <c r="K224">
        <f>CurrAttrValue(D224, 0)</f>
        <v/>
      </c>
      <c r="L224">
        <f>CurrAttrValue(E224, 0)</f>
        <v/>
      </c>
      <c r="M224">
        <f>CurrAttrValue(H224, 0)</f>
        <v/>
      </c>
      <c r="N224">
        <f>CurrAttrValue(I224, 0)</f>
        <v/>
      </c>
      <c r="O224">
        <f>CurrAttrValue(J224, 0)</f>
        <v/>
      </c>
      <c r="P224" s="5">
        <f>"162"</f>
        <v/>
      </c>
      <c r="Q224" s="6">
        <f>"АОбс. АОбс по команде оператора с ПРУ  "</f>
        <v/>
      </c>
      <c r="R224" s="7">
        <f>IF(N224, S224, "")</f>
        <v/>
      </c>
      <c r="S224" s="7">
        <f>CurrAttrValue(C224, 0)</f>
        <v/>
      </c>
      <c r="T224" s="5">
        <f>IF(K224=-200, "д.вх.", K224)</f>
        <v/>
      </c>
      <c r="U224" s="5">
        <f>IF(L224=-200, "д.вх.", IF(N224, O224, L224))</f>
        <v/>
      </c>
      <c r="V224" s="5">
        <f>CurrAttrValue(G224, 0)</f>
        <v/>
      </c>
      <c r="W224" s="5">
        <f>IF(M224, "Блокирована", IF(N224, "Проверено", "-"))</f>
        <v/>
      </c>
    </row>
    <row r="225" ht="20" customHeight="1">
      <c r="A225">
        <f>"System.PZ.A079"</f>
        <v/>
      </c>
      <c r="B225">
        <f>CONCATENATE($A$2, $A$1, $A225, B$2)</f>
        <v/>
      </c>
      <c r="C225">
        <f>CONCATENATE($A$2, $A$1, $A225, C$2)</f>
        <v/>
      </c>
      <c r="D225">
        <f>CONCATENATE($A$2, $A$1, $A225, D$2)</f>
        <v/>
      </c>
      <c r="E225">
        <f>CONCATENATE($A$2, $A$1, $A225, E$2)</f>
        <v/>
      </c>
      <c r="F225">
        <f>CONCATENATE($A$2, $A$1, $A225, F$2)</f>
        <v/>
      </c>
      <c r="G225">
        <f>CONCATENATE($A$2, $A$1, $A225, G$2)</f>
        <v/>
      </c>
      <c r="H225">
        <f>CONCATENATE($A$2, $A$1, $A225, H$2)</f>
        <v/>
      </c>
      <c r="I225">
        <f>CONCATENATE($A$2, $A$1, $A225, I$2)</f>
        <v/>
      </c>
      <c r="J225">
        <f>CONCATENATE($A$2, $A$1, $A225, J$2)</f>
        <v/>
      </c>
      <c r="K225">
        <f>CurrAttrValue(D225, 0)</f>
        <v/>
      </c>
      <c r="L225">
        <f>CurrAttrValue(E225, 0)</f>
        <v/>
      </c>
      <c r="M225">
        <f>CurrAttrValue(H225, 0)</f>
        <v/>
      </c>
      <c r="N225">
        <f>CurrAttrValue(I225, 0)</f>
        <v/>
      </c>
      <c r="O225">
        <f>CurrAttrValue(J225, 0)</f>
        <v/>
      </c>
      <c r="P225" s="5">
        <f>"163"</f>
        <v/>
      </c>
      <c r="Q225" s="6">
        <f>"АОсс. БЭО сработал (от AD100)  "</f>
        <v/>
      </c>
      <c r="R225" s="7">
        <f>IF(N225, S225, "")</f>
        <v/>
      </c>
      <c r="S225" s="7">
        <f>CurrAttrValue(C225, 0)</f>
        <v/>
      </c>
      <c r="T225" s="5">
        <f>IF(K225=-200, "д.вх.", K225)</f>
        <v/>
      </c>
      <c r="U225" s="5">
        <f>IF(L225=-200, "д.вх.", IF(N225, O225, L225))</f>
        <v/>
      </c>
      <c r="V225" s="5">
        <f>CurrAttrValue(G225, 0)</f>
        <v/>
      </c>
      <c r="W225" s="5">
        <f>IF(M225, "Блокирована", IF(N225, "Проверено", "-"))</f>
        <v/>
      </c>
    </row>
    <row r="226" ht="20" customHeight="1">
      <c r="A226">
        <f>"System.PZ.A080"</f>
        <v/>
      </c>
      <c r="B226">
        <f>CONCATENATE($A$2, $A$1, $A226, B$2)</f>
        <v/>
      </c>
      <c r="C226">
        <f>CONCATENATE($A$2, $A$1, $A226, C$2)</f>
        <v/>
      </c>
      <c r="D226">
        <f>CONCATENATE($A$2, $A$1, $A226, D$2)</f>
        <v/>
      </c>
      <c r="E226">
        <f>CONCATENATE($A$2, $A$1, $A226, E$2)</f>
        <v/>
      </c>
      <c r="F226">
        <f>CONCATENATE($A$2, $A$1, $A226, F$2)</f>
        <v/>
      </c>
      <c r="G226">
        <f>CONCATENATE($A$2, $A$1, $A226, G$2)</f>
        <v/>
      </c>
      <c r="H226">
        <f>CONCATENATE($A$2, $A$1, $A226, H$2)</f>
        <v/>
      </c>
      <c r="I226">
        <f>CONCATENATE($A$2, $A$1, $A226, I$2)</f>
        <v/>
      </c>
      <c r="J226">
        <f>CONCATENATE($A$2, $A$1, $A226, J$2)</f>
        <v/>
      </c>
      <c r="K226">
        <f>CurrAttrValue(D226, 0)</f>
        <v/>
      </c>
      <c r="L226">
        <f>CurrAttrValue(E226, 0)</f>
        <v/>
      </c>
      <c r="M226">
        <f>CurrAttrValue(H226, 0)</f>
        <v/>
      </c>
      <c r="N226">
        <f>CurrAttrValue(I226, 0)</f>
        <v/>
      </c>
      <c r="O226">
        <f>CurrAttrValue(J226, 0)</f>
        <v/>
      </c>
      <c r="P226" s="5">
        <f>"164"</f>
        <v/>
      </c>
      <c r="Q226" s="6">
        <f>"АОсс. Авария от ПЛК (СТ AD100)  "</f>
        <v/>
      </c>
      <c r="R226" s="7">
        <f>IF(N226, S226, "")</f>
        <v/>
      </c>
      <c r="S226" s="7">
        <f>CurrAttrValue(C226, 0)</f>
        <v/>
      </c>
      <c r="T226" s="5">
        <f>IF(K226=-200, "д.вх.", K226)</f>
        <v/>
      </c>
      <c r="U226" s="5">
        <f>IF(L226=-200, "д.вх.", IF(N226, O226, L226))</f>
        <v/>
      </c>
      <c r="V226" s="5">
        <f>CurrAttrValue(G226, 0)</f>
        <v/>
      </c>
      <c r="W226" s="5">
        <f>IF(M226, "Блокирована", IF(N226, "Проверено", "-"))</f>
        <v/>
      </c>
    </row>
    <row r="227" ht="20" customHeight="1">
      <c r="A227">
        <f>"System.PZ.A081"</f>
        <v/>
      </c>
      <c r="B227">
        <f>CONCATENATE($A$2, $A$1, $A227, B$2)</f>
        <v/>
      </c>
      <c r="C227">
        <f>CONCATENATE($A$2, $A$1, $A227, C$2)</f>
        <v/>
      </c>
      <c r="D227">
        <f>CONCATENATE($A$2, $A$1, $A227, D$2)</f>
        <v/>
      </c>
      <c r="E227">
        <f>CONCATENATE($A$2, $A$1, $A227, E$2)</f>
        <v/>
      </c>
      <c r="F227">
        <f>CONCATENATE($A$2, $A$1, $A227, F$2)</f>
        <v/>
      </c>
      <c r="G227">
        <f>CONCATENATE($A$2, $A$1, $A227, G$2)</f>
        <v/>
      </c>
      <c r="H227">
        <f>CONCATENATE($A$2, $A$1, $A227, H$2)</f>
        <v/>
      </c>
      <c r="I227">
        <f>CONCATENATE($A$2, $A$1, $A227, I$2)</f>
        <v/>
      </c>
      <c r="J227">
        <f>CONCATENATE($A$2, $A$1, $A227, J$2)</f>
        <v/>
      </c>
      <c r="K227">
        <f>CurrAttrValue(D227, 0)</f>
        <v/>
      </c>
      <c r="L227">
        <f>CurrAttrValue(E227, 0)</f>
        <v/>
      </c>
      <c r="M227">
        <f>CurrAttrValue(H227, 0)</f>
        <v/>
      </c>
      <c r="N227">
        <f>CurrAttrValue(I227, 0)</f>
        <v/>
      </c>
      <c r="O227">
        <f>CurrAttrValue(J227, 0)</f>
        <v/>
      </c>
      <c r="P227" s="5">
        <f>"165"</f>
        <v/>
      </c>
      <c r="Q227" s="6">
        <f>"АОсс. Нет связи с ПЛК AD100  "</f>
        <v/>
      </c>
      <c r="R227" s="7">
        <f>IF(N227, S227, "")</f>
        <v/>
      </c>
      <c r="S227" s="7">
        <f>CurrAttrValue(C227, 0)</f>
        <v/>
      </c>
      <c r="T227" s="5">
        <f>IF(K227=-200, "д.вх.", K227)</f>
        <v/>
      </c>
      <c r="U227" s="5">
        <f>IF(L227=-200, "д.вх.", IF(N227, O227, L227))</f>
        <v/>
      </c>
      <c r="V227" s="5">
        <f>CurrAttrValue(G227, 0)</f>
        <v/>
      </c>
      <c r="W227" s="5">
        <f>IF(M227, "Блокирована", IF(N227, "Проверено", "-"))</f>
        <v/>
      </c>
    </row>
    <row r="228" ht="20" customHeight="1">
      <c r="A228">
        <f>"System.PZ.A082"</f>
        <v/>
      </c>
      <c r="B228">
        <f>CONCATENATE($A$2, $A$1, $A228, B$2)</f>
        <v/>
      </c>
      <c r="C228">
        <f>CONCATENATE($A$2, $A$1, $A228, C$2)</f>
        <v/>
      </c>
      <c r="D228">
        <f>CONCATENATE($A$2, $A$1, $A228, D$2)</f>
        <v/>
      </c>
      <c r="E228">
        <f>CONCATENATE($A$2, $A$1, $A228, E$2)</f>
        <v/>
      </c>
      <c r="F228">
        <f>CONCATENATE($A$2, $A$1, $A228, F$2)</f>
        <v/>
      </c>
      <c r="G228">
        <f>CONCATENATE($A$2, $A$1, $A228, G$2)</f>
        <v/>
      </c>
      <c r="H228">
        <f>CONCATENATE($A$2, $A$1, $A228, H$2)</f>
        <v/>
      </c>
      <c r="I228">
        <f>CONCATENATE($A$2, $A$1, $A228, I$2)</f>
        <v/>
      </c>
      <c r="J228">
        <f>CONCATENATE($A$2, $A$1, $A228, J$2)</f>
        <v/>
      </c>
      <c r="K228">
        <f>CurrAttrValue(D228, 0)</f>
        <v/>
      </c>
      <c r="L228">
        <f>CurrAttrValue(E228, 0)</f>
        <v/>
      </c>
      <c r="M228">
        <f>CurrAttrValue(H228, 0)</f>
        <v/>
      </c>
      <c r="N228">
        <f>CurrAttrValue(I228, 0)</f>
        <v/>
      </c>
      <c r="O228">
        <f>CurrAttrValue(J228, 0)</f>
        <v/>
      </c>
      <c r="P228" s="5">
        <f>"166"</f>
        <v/>
      </c>
      <c r="Q228" s="6">
        <f>"АОбс. Отсутствие питание ВВОД3 ИМ ГТУ (=27В)  "</f>
        <v/>
      </c>
      <c r="R228" s="7">
        <f>IF(N228, S228, "")</f>
        <v/>
      </c>
      <c r="S228" s="7">
        <f>CurrAttrValue(C228, 0)</f>
        <v/>
      </c>
      <c r="T228" s="5">
        <f>IF(K228=-200, "д.вх.", K228)</f>
        <v/>
      </c>
      <c r="U228" s="5">
        <f>IF(L228=-200, "д.вх.", IF(N228, O228, L228))</f>
        <v/>
      </c>
      <c r="V228" s="5">
        <f>CurrAttrValue(G228, 0)</f>
        <v/>
      </c>
      <c r="W228" s="5">
        <f>IF(M228, "Блокирована", IF(N228, "Проверено", "-"))</f>
        <v/>
      </c>
    </row>
    <row r="231" ht="35" customHeight="1">
      <c r="Q231" s="8">
        <f>"должность"</f>
        <v/>
      </c>
      <c r="R231" s="9" t="n"/>
      <c r="S231" s="8">
        <f>"ФИО"</f>
        <v/>
      </c>
      <c r="T231" s="9" t="n"/>
      <c r="U231" s="8">
        <f>"подпись"</f>
        <v/>
      </c>
    </row>
    <row r="232" ht="35" customHeight="1">
      <c r="Q232" s="8">
        <f>"должность"</f>
        <v/>
      </c>
      <c r="R232" s="9" t="n"/>
      <c r="S232" s="8">
        <f>"ФИО"</f>
        <v/>
      </c>
      <c r="T232" s="9" t="n"/>
      <c r="U232" s="8">
        <f>"подпись"</f>
        <v/>
      </c>
    </row>
    <row r="233" ht="35" customHeight="1">
      <c r="Q233" s="8">
        <f>"должность"</f>
        <v/>
      </c>
      <c r="R233" s="9" t="n"/>
      <c r="S233" s="8">
        <f>"ФИО"</f>
        <v/>
      </c>
      <c r="T233" s="9" t="n"/>
      <c r="U233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2022-08-04T15:13:52Z</dcterms:created>
  <dcterms:modified xmlns:dcterms="http://purl.org/dc/terms/" xmlns:xsi="http://www.w3.org/2001/XMLSchema-instance" xsi:type="dcterms:W3CDTF">2022-08-04T15:13:52Z</dcterms:modified>
</cp:coreProperties>
</file>