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1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"GPA2."</f>
        <v/>
      </c>
      <c r="B1">
        <f>".Value;1"</f>
        <v/>
      </c>
      <c r="E1" s="1">
        <f>"Срез накопленных значений по наработке ГПА №2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"System.CNT.SK_Swap"</f>
        <v/>
      </c>
      <c r="D4" s="6">
        <f>"1"</f>
        <v/>
      </c>
      <c r="E4" s="7">
        <f>"СК. Стопорный клапан  "</f>
        <v/>
      </c>
      <c r="F4" s="6">
        <f>CurrAttrValue(B4, 0)</f>
        <v/>
      </c>
      <c r="G4" s="6">
        <f>"-"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"System.CNT.KP1_Swap"</f>
        <v/>
      </c>
      <c r="D5" s="6">
        <f>"2"</f>
        <v/>
      </c>
      <c r="E5" s="7">
        <f>"КПВ4001. Клапан подачи воздуха в КШТ от ВОД1  "</f>
        <v/>
      </c>
      <c r="F5" s="6">
        <f>CurrAttrValue(B5, 0)</f>
        <v/>
      </c>
      <c r="G5" s="6">
        <f>"-"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"System.CNT.KP2_Swap"</f>
        <v/>
      </c>
      <c r="D6" s="6">
        <f>"3"</f>
        <v/>
      </c>
      <c r="E6" s="7">
        <f>"КПВ4002. Клапан подачи воздуха в КШТ от ВОД2  "</f>
        <v/>
      </c>
      <c r="F6" s="6">
        <f>CurrAttrValue(B6, 0)</f>
        <v/>
      </c>
      <c r="G6" s="6">
        <f>"-"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"System.CNT.KP3_1_Swap"</f>
        <v/>
      </c>
      <c r="D7" s="6">
        <f>"4"</f>
        <v/>
      </c>
      <c r="E7" s="7">
        <f>"КПВ4003. Клапан на выходе КШТ(секция 1)  "</f>
        <v/>
      </c>
      <c r="F7" s="6">
        <f>CurrAttrValue(B7, 0)</f>
        <v/>
      </c>
      <c r="G7" s="6">
        <f>"-"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"System.CNT.KP3_2_Swap"</f>
        <v/>
      </c>
      <c r="D8" s="6">
        <f>"5"</f>
        <v/>
      </c>
      <c r="E8" s="7">
        <f>"КПВ4003. Клапан на выходе КШТ(секция 2)  "</f>
        <v/>
      </c>
      <c r="F8" s="6">
        <f>CurrAttrValue(B8, 0)</f>
        <v/>
      </c>
      <c r="G8" s="6">
        <f>"-"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"System.CNT.KP3_3_Swap"</f>
        <v/>
      </c>
      <c r="D9" s="6">
        <f>"6"</f>
        <v/>
      </c>
      <c r="E9" s="7">
        <f>"КПВ4003. Клапан на выходе КШТ(секция 3)  "</f>
        <v/>
      </c>
      <c r="F9" s="6">
        <f>CurrAttrValue(B9, 0)</f>
        <v/>
      </c>
      <c r="G9" s="6">
        <f>"-"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"System.CNT.KP4_Swap"</f>
        <v/>
      </c>
      <c r="D10" s="6">
        <f>"7"</f>
        <v/>
      </c>
      <c r="E10" s="7">
        <f>"КПВ4004. Клапан подачи воздуха в КШТ от АВГМ  "</f>
        <v/>
      </c>
      <c r="F10" s="6">
        <f>CurrAttrValue(B10, 0)</f>
        <v/>
      </c>
      <c r="G10" s="6">
        <f>"-"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"System.CNT.KP5_Swap"</f>
        <v/>
      </c>
      <c r="D11" s="6">
        <f>"8"</f>
        <v/>
      </c>
      <c r="E11" s="7">
        <f>"КПВ4201. Клапан охлаждения трансмиссии  "</f>
        <v/>
      </c>
      <c r="F11" s="6">
        <f>CurrAttrValue(B11, 0)</f>
        <v/>
      </c>
      <c r="G11" s="6">
        <f>"-"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"System.CNT.KP7_Swap"</f>
        <v/>
      </c>
      <c r="D12" s="6">
        <f>"9"</f>
        <v/>
      </c>
      <c r="E12" s="7">
        <f>"КПВ4101. Клапан подачи воздуха в ангар от АВГМ  "</f>
        <v/>
      </c>
      <c r="F12" s="6">
        <f>CurrAttrValue(B12, 0)</f>
        <v/>
      </c>
      <c r="G12" s="6">
        <f>"-"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"System.CNT.Kr1_Swap"</f>
        <v/>
      </c>
      <c r="D13" s="6">
        <f>"10"</f>
        <v/>
      </c>
      <c r="E13" s="7">
        <f>"Кран №1  "</f>
        <v/>
      </c>
      <c r="F13" s="6">
        <f>CurrAttrValue(B13, 0)</f>
        <v/>
      </c>
      <c r="G13" s="6">
        <f>"-"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"System.CNT.Kr12_Swap"</f>
        <v/>
      </c>
      <c r="D14" s="6">
        <f>"11"</f>
        <v/>
      </c>
      <c r="E14" s="7">
        <f>"Кран №12  "</f>
        <v/>
      </c>
      <c r="F14" s="6">
        <f>CurrAttrValue(B14, 0)</f>
        <v/>
      </c>
      <c r="G14" s="6">
        <f>"-"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"System.CNT.Kr12bis_Swap"</f>
        <v/>
      </c>
      <c r="D15" s="6">
        <f>"12"</f>
        <v/>
      </c>
      <c r="E15" s="7">
        <f>"Кран №12бис  "</f>
        <v/>
      </c>
      <c r="F15" s="6">
        <f>CurrAttrValue(B15, 0)</f>
        <v/>
      </c>
      <c r="G15" s="6">
        <f>"-"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"System.CNT.Kr15_Swap"</f>
        <v/>
      </c>
      <c r="D16" s="6">
        <f>"13"</f>
        <v/>
      </c>
      <c r="E16" s="7">
        <f>"Кран №15  "</f>
        <v/>
      </c>
      <c r="F16" s="6">
        <f>CurrAttrValue(B16, 0)</f>
        <v/>
      </c>
      <c r="G16" s="6">
        <f>"-"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"System.CNT.Kr15_1_Swap"</f>
        <v/>
      </c>
      <c r="D17" s="6">
        <f>"14"</f>
        <v/>
      </c>
      <c r="E17" s="7">
        <f>"Кран №15.1  "</f>
        <v/>
      </c>
      <c r="F17" s="6">
        <f>CurrAttrValue(B17, 0)</f>
        <v/>
      </c>
      <c r="G17" s="6">
        <f>"-"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"System.CNT.Kr16_Swap"</f>
        <v/>
      </c>
      <c r="D18" s="6">
        <f>"15"</f>
        <v/>
      </c>
      <c r="E18" s="7">
        <f>"Кран №16  "</f>
        <v/>
      </c>
      <c r="F18" s="6">
        <f>CurrAttrValue(B18, 0)</f>
        <v/>
      </c>
      <c r="G18" s="6">
        <f>"-"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"System.CNT.Kr16_1_Swap"</f>
        <v/>
      </c>
      <c r="D19" s="6">
        <f>"16"</f>
        <v/>
      </c>
      <c r="E19" s="7">
        <f>"Кран №16.1  "</f>
        <v/>
      </c>
      <c r="F19" s="6">
        <f>CurrAttrValue(B19, 0)</f>
        <v/>
      </c>
      <c r="G19" s="6">
        <f>"-"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"System.CNT.Kr2_Swap"</f>
        <v/>
      </c>
      <c r="D20" s="6">
        <f>"17"</f>
        <v/>
      </c>
      <c r="E20" s="7">
        <f>"Кран №2  "</f>
        <v/>
      </c>
      <c r="F20" s="6">
        <f>CurrAttrValue(B20, 0)</f>
        <v/>
      </c>
      <c r="G20" s="6">
        <f>"-"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"System.CNT.Kr4_Swap"</f>
        <v/>
      </c>
      <c r="D21" s="6">
        <f>"18"</f>
        <v/>
      </c>
      <c r="E21" s="7">
        <f>"Кран №4  "</f>
        <v/>
      </c>
      <c r="F21" s="6">
        <f>CurrAttrValue(B21, 0)</f>
        <v/>
      </c>
      <c r="G21" s="6">
        <f>"-"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накопленных значений по наработке ГПА №2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"System.CNT.Kr5_Swap"</f>
        <v/>
      </c>
      <c r="D28" s="6">
        <f>"19"</f>
        <v/>
      </c>
      <c r="E28" s="7">
        <f>"Кран №5  "</f>
        <v/>
      </c>
      <c r="F28" s="6">
        <f>CurrAttrValue(B28, 0)</f>
        <v/>
      </c>
      <c r="G28" s="6">
        <f>"-"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"System.CNT.Kr6_Swap"</f>
        <v/>
      </c>
      <c r="D29" s="6">
        <f>"20"</f>
        <v/>
      </c>
      <c r="E29" s="7">
        <f>"Кран №6  "</f>
        <v/>
      </c>
      <c r="F29" s="6">
        <f>CurrAttrValue(B29, 0)</f>
        <v/>
      </c>
      <c r="G29" s="6">
        <f>"-"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"System.CNT.Kr9_Swap"</f>
        <v/>
      </c>
      <c r="D30" s="6">
        <f>"21"</f>
        <v/>
      </c>
      <c r="E30" s="7">
        <f>"Кран №9  "</f>
        <v/>
      </c>
      <c r="F30" s="6">
        <f>CurrAttrValue(B30, 0)</f>
        <v/>
      </c>
      <c r="G30" s="6">
        <f>"-"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"System.CNT.Kr9a_Swap"</f>
        <v/>
      </c>
      <c r="D31" s="6">
        <f>"22"</f>
        <v/>
      </c>
      <c r="E31" s="7">
        <f>"Кран №9a  "</f>
        <v/>
      </c>
      <c r="F31" s="6">
        <f>CurrAttrValue(B31, 0)</f>
        <v/>
      </c>
      <c r="G31" s="6">
        <f>"-"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"System.CNT.PE1_Swap"</f>
        <v/>
      </c>
      <c r="D32" s="6">
        <f>"23"</f>
        <v/>
      </c>
      <c r="E32" s="7">
        <f>"ПЕ1. Клапан вентиляции ангара №1  "</f>
        <v/>
      </c>
      <c r="F32" s="6">
        <f>CurrAttrValue(B32, 0)</f>
        <v/>
      </c>
      <c r="G32" s="6">
        <f>"-"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"System.CNT.PE2_Swap"</f>
        <v/>
      </c>
      <c r="D33" s="6">
        <f>"24"</f>
        <v/>
      </c>
      <c r="E33" s="7">
        <f>"ПЕ2. Клапан вентиляции ангара №2  "</f>
        <v/>
      </c>
      <c r="F33" s="6">
        <f>CurrAttrValue(B33, 0)</f>
        <v/>
      </c>
      <c r="G33" s="6">
        <f>"-"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"System.CNT.AZ11_WorkTime"</f>
        <v/>
      </c>
      <c r="D34" s="6">
        <f>"25"</f>
        <v/>
      </c>
      <c r="E34" s="7">
        <f>"АЗ-1. Агрегат зажигания №1  "</f>
        <v/>
      </c>
      <c r="F34" s="6">
        <f>CurrAttrValue(B34, 0)</f>
        <v/>
      </c>
      <c r="G34" s="6">
        <f>"час"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"System.CNT.AZ12_WorkTime"</f>
        <v/>
      </c>
      <c r="D35" s="6">
        <f>"26"</f>
        <v/>
      </c>
      <c r="E35" s="7">
        <f>"АЗ-2. Агрегат зажигания №2  "</f>
        <v/>
      </c>
      <c r="F35" s="6">
        <f>CurrAttrValue(B35, 0)</f>
        <v/>
      </c>
      <c r="G35" s="6">
        <f>"час"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"System.CNT.EnBVP_WorkTime"</f>
        <v/>
      </c>
      <c r="D36" s="6">
        <f>"27"</f>
        <v/>
      </c>
      <c r="E36" s="7">
        <f>"Электронагреватель БПВ  "</f>
        <v/>
      </c>
      <c r="F36" s="6">
        <f>CurrAttrValue(B36, 0)</f>
        <v/>
      </c>
      <c r="G36" s="6">
        <f>"час"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"System.CNT.VnMOD1_WorkTime"</f>
        <v/>
      </c>
      <c r="D37" s="6">
        <f>"28"</f>
        <v/>
      </c>
      <c r="E37" s="7">
        <f>"ВМОД1. Вентилятор маслоохладителя двигателя №1  "</f>
        <v/>
      </c>
      <c r="F37" s="6">
        <f>CurrAttrValue(B37, 0)</f>
        <v/>
      </c>
      <c r="G37" s="6">
        <f>"час"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"System.CNT.VnMON1_WorkTime"</f>
        <v/>
      </c>
      <c r="D38" s="6">
        <f>"29"</f>
        <v/>
      </c>
      <c r="E38" s="7">
        <f>"ВМОН1. Вентилятор маслоохладителя нагнетателя №1  "</f>
        <v/>
      </c>
      <c r="F38" s="6">
        <f>CurrAttrValue(B38, 0)</f>
        <v/>
      </c>
      <c r="G38" s="6">
        <f>"час"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"System.CNT.VnANG1_WorkTime"</f>
        <v/>
      </c>
      <c r="D39" s="6">
        <f>"30"</f>
        <v/>
      </c>
      <c r="E39" s="7">
        <f>"Вентилятор машинного зала (основной)  "</f>
        <v/>
      </c>
      <c r="F39" s="6">
        <f>CurrAttrValue(B39, 0)</f>
        <v/>
      </c>
      <c r="G39" s="6">
        <f>"час"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"System.CNT.VnANG2_WorkTime"</f>
        <v/>
      </c>
      <c r="D40" s="6">
        <f>"31"</f>
        <v/>
      </c>
      <c r="E40" s="7">
        <f>"Вентилятор машинного зала (летний)  "</f>
        <v/>
      </c>
      <c r="F40" s="6">
        <f>CurrAttrValue(B40, 0)</f>
        <v/>
      </c>
      <c r="G40" s="6">
        <f>"час"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"System.CNT.VnANG3_WorkTime"</f>
        <v/>
      </c>
      <c r="D41" s="6">
        <f>"32"</f>
        <v/>
      </c>
      <c r="E41" s="7">
        <f>"Вентилятор загазованности (резервный)  "</f>
        <v/>
      </c>
      <c r="F41" s="6">
        <f>CurrAttrValue(B41, 0)</f>
        <v/>
      </c>
      <c r="G41" s="6">
        <f>"час"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"System.CNT.VnMOD2_WorkTime"</f>
        <v/>
      </c>
      <c r="D42" s="6">
        <f>"33"</f>
        <v/>
      </c>
      <c r="E42" s="7">
        <f>"ВМОД2. Вентилятор маслоохладителя двигателя №2  "</f>
        <v/>
      </c>
      <c r="F42" s="6">
        <f>CurrAttrValue(B42, 0)</f>
        <v/>
      </c>
      <c r="G42" s="6">
        <f>"час"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"System.CNT.VnMON2_WorkTime"</f>
        <v/>
      </c>
      <c r="D43" s="6">
        <f>"34"</f>
        <v/>
      </c>
      <c r="E43" s="7">
        <f>"ВМОН2. Вентилятор маслоохладителя нагнетателя №2  "</f>
        <v/>
      </c>
      <c r="F43" s="6">
        <f>CurrAttrValue(B43, 0)</f>
        <v/>
      </c>
      <c r="G43" s="6">
        <f>"час"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"System.CNT.VnANG4_WorkTime"</f>
        <v/>
      </c>
      <c r="D44" s="6">
        <f>"35"</f>
        <v/>
      </c>
      <c r="E44" s="7">
        <f>"Вентилятор загазованности ангара (основной)  "</f>
        <v/>
      </c>
      <c r="F44" s="6">
        <f>CurrAttrValue(B44, 0)</f>
        <v/>
      </c>
      <c r="G44" s="6">
        <f>"час"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"System.CNT.VnEnMOD1_WorkTime"</f>
        <v/>
      </c>
      <c r="D45" s="6">
        <f>"36"</f>
        <v/>
      </c>
      <c r="E45" s="7">
        <f>"ВнЭМОД1. Вентилятор №1 электронагревателя МОД  "</f>
        <v/>
      </c>
      <c r="F45" s="6">
        <f>CurrAttrValue(B45, 0)</f>
        <v/>
      </c>
      <c r="G45" s="6">
        <f>"час"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накопленных значений по наработке ГПА №2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"System.CNT.VnEnMON1_WorkTime"</f>
        <v/>
      </c>
      <c r="D52" s="6">
        <f>"37"</f>
        <v/>
      </c>
      <c r="E52" s="7">
        <f>"ВнЭМОН1. Вентилятор №1 электронагревателя МОН  "</f>
        <v/>
      </c>
      <c r="F52" s="6">
        <f>CurrAttrValue(B52, 0)</f>
        <v/>
      </c>
      <c r="G52" s="6">
        <f>"час"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"System.CNT.EnTS_WorkTime"</f>
        <v/>
      </c>
      <c r="D53" s="6">
        <f>"38"</f>
        <v/>
      </c>
      <c r="E53" s="7">
        <f>"Технол.Эн.систем  "</f>
        <v/>
      </c>
      <c r="F53" s="6">
        <f>CurrAttrValue(B53, 0)</f>
        <v/>
      </c>
      <c r="G53" s="6">
        <f>"час"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"System.CNT.VOD1_WorkTime"</f>
        <v/>
      </c>
      <c r="D54" s="6">
        <f>"39"</f>
        <v/>
      </c>
      <c r="E54" s="7">
        <f>"ВОД1. Вентилятор обдува двигателя №1  "</f>
        <v/>
      </c>
      <c r="F54" s="6">
        <f>CurrAttrValue(B54, 0)</f>
        <v/>
      </c>
      <c r="G54" s="6">
        <f>"час"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"System.CNT.VOD2_WorkTime"</f>
        <v/>
      </c>
      <c r="D55" s="6">
        <f>"40"</f>
        <v/>
      </c>
      <c r="E55" s="7">
        <f>"ВОД2. Вентилятор обдува двигателя №2  "</f>
        <v/>
      </c>
      <c r="F55" s="6">
        <f>CurrAttrValue(B55, 0)</f>
        <v/>
      </c>
      <c r="G55" s="6">
        <f>"час"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"System.CNT.VOD3_WorkTime"</f>
        <v/>
      </c>
      <c r="D56" s="6">
        <f>"41"</f>
        <v/>
      </c>
      <c r="E56" s="7">
        <f>"ВОД3. Вентилятор обдува двигателя №3  "</f>
        <v/>
      </c>
      <c r="F56" s="6">
        <f>CurrAttrValue(B56, 0)</f>
        <v/>
      </c>
      <c r="G56" s="6">
        <f>"час"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"System.CNT.VOT1_WorkTime"</f>
        <v/>
      </c>
      <c r="D57" s="6">
        <f>"42"</f>
        <v/>
      </c>
      <c r="E57" s="7">
        <f>"ВОТ1. Вентилятор обдува трансмиссии №1  "</f>
        <v/>
      </c>
      <c r="F57" s="6">
        <f>CurrAttrValue(B57, 0)</f>
        <v/>
      </c>
      <c r="G57" s="6">
        <f>"час"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"System.CNT.VOT2_WorkTime"</f>
        <v/>
      </c>
      <c r="D58" s="6">
        <f>"43"</f>
        <v/>
      </c>
      <c r="E58" s="7">
        <f>"ВОТ2. Вентилятор обдува трансмиссии №2  "</f>
        <v/>
      </c>
      <c r="F58" s="6">
        <f>CurrAttrValue(B58, 0)</f>
        <v/>
      </c>
      <c r="G58" s="6">
        <f>"час"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"System.CNT.KlPP1_Swap"</f>
        <v/>
      </c>
      <c r="D59" s="6">
        <f>"44"</f>
        <v/>
      </c>
      <c r="E59" s="7">
        <f>"Клапан противопож.  "</f>
        <v/>
      </c>
      <c r="F59" s="6">
        <f>CurrAttrValue(B59, 0)</f>
        <v/>
      </c>
      <c r="G59" s="6">
        <f>"-"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"System.CNT.KrSLM_Swap"</f>
        <v/>
      </c>
      <c r="D60" s="6">
        <f>"45"</f>
        <v/>
      </c>
      <c r="E60" s="7">
        <f>"Кр. слива масла КЭП6203  "</f>
        <v/>
      </c>
      <c r="F60" s="6">
        <f>CurrAttrValue(B60, 0)</f>
        <v/>
      </c>
      <c r="G60" s="6">
        <f>"-"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"System.CNT.ZsAR_Swap"</f>
        <v/>
      </c>
      <c r="D61" s="6">
        <f>"46"</f>
        <v/>
      </c>
      <c r="E61" s="7">
        <f>"ЗсЗАР. Заслонка защиты от авторотации  "</f>
        <v/>
      </c>
      <c r="F61" s="6">
        <f>CurrAttrValue(B61, 0)</f>
        <v/>
      </c>
      <c r="G61" s="6">
        <f>"-"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"System.CNT.ZsVOU_Swap"</f>
        <v/>
      </c>
      <c r="D62" s="6">
        <f>"47"</f>
        <v/>
      </c>
      <c r="E62" s="7">
        <f>"ЗсПОС ВОУ. Заслонка подачи воздуха в ПОС ВОУ  "</f>
        <v/>
      </c>
      <c r="F62" s="6">
        <f>CurrAttrValue(B62, 0)</f>
        <v/>
      </c>
      <c r="G62" s="6">
        <f>"-"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"System.CNT.KE1_Swap"</f>
        <v/>
      </c>
      <c r="D63" s="6">
        <f>"48"</f>
        <v/>
      </c>
      <c r="E63" s="7">
        <f>"Кран МСД КЭ1 (на МА)  "</f>
        <v/>
      </c>
      <c r="F63" s="6">
        <f>CurrAttrValue(B63, 0)</f>
        <v/>
      </c>
      <c r="G63" s="6">
        <f>"-"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"System.CNT.KE2_Swap"</f>
        <v/>
      </c>
      <c r="D64" s="6">
        <f>"49"</f>
        <v/>
      </c>
      <c r="E64" s="7">
        <f>"Кран МСД КЭ2 (на пуске)  "</f>
        <v/>
      </c>
      <c r="F64" s="6">
        <f>CurrAttrValue(B64, 0)</f>
        <v/>
      </c>
      <c r="G64" s="6">
        <f>"-"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"System.CNT.KE3_Swap"</f>
        <v/>
      </c>
      <c r="D65" s="6">
        <f>"50"</f>
        <v/>
      </c>
      <c r="E65" s="7">
        <f>"Кран МСД КЭ3 (вход ГМТ)  "</f>
        <v/>
      </c>
      <c r="F65" s="6">
        <f>CurrAttrValue(B65, 0)</f>
        <v/>
      </c>
      <c r="G65" s="6">
        <f>"-"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"System.CNT.KE4_Swap"</f>
        <v/>
      </c>
      <c r="D66" s="6">
        <f>"51"</f>
        <v/>
      </c>
      <c r="E66" s="7">
        <f>"Кран МСД КЭ4 (Слив с МО)  "</f>
        <v/>
      </c>
      <c r="F66" s="6">
        <f>CurrAttrValue(B66, 0)</f>
        <v/>
      </c>
      <c r="G66" s="6">
        <f>"-"</f>
        <v/>
      </c>
    </row>
    <row r="67" ht="20" customHeight="1">
      <c r="A67" s="5">
        <f>CONCATENATE($A$2, $A$1, C67, $B$2)</f>
        <v/>
      </c>
      <c r="B67" s="5">
        <f>CONCATENATE($A$2, $A$1, C67, $B$1)</f>
        <v/>
      </c>
      <c r="C67" s="5">
        <f>"System.CNT.KBV1_WorkTime"</f>
        <v/>
      </c>
      <c r="D67" s="6">
        <f>"52"</f>
        <v/>
      </c>
      <c r="E67" s="7">
        <f>"КБВ1. Компрессор барьерного воздуха №1  "</f>
        <v/>
      </c>
      <c r="F67" s="6">
        <f>CurrAttrValue(B67, 0)</f>
        <v/>
      </c>
      <c r="G67" s="6">
        <f>"час"</f>
        <v/>
      </c>
    </row>
    <row r="68" ht="20" customHeight="1">
      <c r="A68" s="5">
        <f>CONCATENATE($A$2, $A$1, C68, $B$2)</f>
        <v/>
      </c>
      <c r="B68" s="5">
        <f>CONCATENATE($A$2, $A$1, C68, $B$1)</f>
        <v/>
      </c>
      <c r="C68" s="5">
        <f>"System.CNT.KBV2_WorkTime"</f>
        <v/>
      </c>
      <c r="D68" s="6">
        <f>"53"</f>
        <v/>
      </c>
      <c r="E68" s="7">
        <f>"КБВ2. Компрессор барьерного воздуха №2  "</f>
        <v/>
      </c>
      <c r="F68" s="6">
        <f>CurrAttrValue(B68, 0)</f>
        <v/>
      </c>
      <c r="G68" s="6">
        <f>"час"</f>
        <v/>
      </c>
    </row>
    <row r="69" ht="20" customHeight="1">
      <c r="A69" s="5">
        <f>CONCATENATE($A$2, $A$1, C69, $B$2)</f>
        <v/>
      </c>
      <c r="B69" s="5">
        <f>CONCATENATE($A$2, $A$1, C69, $B$1)</f>
        <v/>
      </c>
      <c r="C69" s="5">
        <f>"System.CNT.KrPMMBD_Swap"</f>
        <v/>
      </c>
      <c r="D69" s="6">
        <f>"54"</f>
        <v/>
      </c>
      <c r="E69" s="7">
        <f>"Кран перемешивания масла в МБД  "</f>
        <v/>
      </c>
      <c r="F69" s="6">
        <f>CurrAttrValue(B69, 0)</f>
        <v/>
      </c>
      <c r="G69" s="6">
        <f>"-"</f>
        <v/>
      </c>
    </row>
    <row r="72" ht="35" customHeight="1">
      <c r="E72" s="8">
        <f>"должность"</f>
        <v/>
      </c>
      <c r="F72" s="8">
        <f>"ФИО"</f>
        <v/>
      </c>
      <c r="G72" s="8">
        <f>"подпись"</f>
        <v/>
      </c>
    </row>
    <row r="73" ht="40" customHeight="1">
      <c r="E73" s="1">
        <f>"Срез накопленных значений по наработке ГПА №2 на "</f>
        <v/>
      </c>
      <c r="F73" s="2">
        <f>F1</f>
        <v/>
      </c>
      <c r="G73" s="3">
        <f>G1</f>
        <v/>
      </c>
    </row>
    <row r="75" ht="20" customHeight="1">
      <c r="D75" s="4">
        <f>"№"</f>
        <v/>
      </c>
      <c r="E75" s="4">
        <f>"Наименование параметра  "</f>
        <v/>
      </c>
      <c r="F75" s="4">
        <f>"Значение"</f>
        <v/>
      </c>
      <c r="G75" s="4">
        <f>"Ед. изм"</f>
        <v/>
      </c>
    </row>
    <row r="76" ht="20" customHeight="1">
      <c r="A76" s="5">
        <f>CONCATENATE($A$2, $A$1, C76, $B$2)</f>
        <v/>
      </c>
      <c r="B76" s="5">
        <f>CONCATENATE($A$2, $A$1, C76, $B$1)</f>
        <v/>
      </c>
      <c r="C76" s="5">
        <f>"System.CNT.EnMOD1_WorkTime"</f>
        <v/>
      </c>
      <c r="D76" s="6">
        <f>"55"</f>
        <v/>
      </c>
      <c r="E76" s="7">
        <f>"ЭМОД1. Электронагреватель МОД №1  "</f>
        <v/>
      </c>
      <c r="F76" s="6">
        <f>CurrAttrValue(B76, 0)</f>
        <v/>
      </c>
      <c r="G76" s="6">
        <f>"час"</f>
        <v/>
      </c>
    </row>
    <row r="77" ht="20" customHeight="1">
      <c r="A77" s="5">
        <f>CONCATENATE($A$2, $A$1, C77, $B$2)</f>
        <v/>
      </c>
      <c r="B77" s="5">
        <f>CONCATENATE($A$2, $A$1, C77, $B$1)</f>
        <v/>
      </c>
      <c r="C77" s="5">
        <f>"System.CNT.EnMON1_WorkTime"</f>
        <v/>
      </c>
      <c r="D77" s="6">
        <f>"56"</f>
        <v/>
      </c>
      <c r="E77" s="7">
        <f>"ЭМОН1. Электронагреватель МОН №1  "</f>
        <v/>
      </c>
      <c r="F77" s="6">
        <f>CurrAttrValue(B77, 0)</f>
        <v/>
      </c>
      <c r="G77" s="6">
        <f>"час"</f>
        <v/>
      </c>
    </row>
    <row r="78" ht="20" customHeight="1">
      <c r="A78" s="5">
        <f>CONCATENATE($A$2, $A$1, C78, $B$2)</f>
        <v/>
      </c>
      <c r="B78" s="5">
        <f>CONCATENATE($A$2, $A$1, C78, $B$1)</f>
        <v/>
      </c>
      <c r="C78" s="5">
        <f>"System.CNT.AVV_BKA_WorkTime"</f>
        <v/>
      </c>
      <c r="D78" s="6">
        <f>"57"</f>
        <v/>
      </c>
      <c r="E78" s="7">
        <f>"АВВ БКА  "</f>
        <v/>
      </c>
      <c r="F78" s="6">
        <f>CurrAttrValue(B78, 0)</f>
        <v/>
      </c>
      <c r="G78" s="6">
        <f>"час"</f>
        <v/>
      </c>
    </row>
    <row r="79" ht="20" customHeight="1">
      <c r="A79" s="5">
        <f>CONCATENATE($A$2, $A$1, C79, $B$2)</f>
        <v/>
      </c>
      <c r="B79" s="5">
        <f>CONCATENATE($A$2, $A$1, C79, $B$1)</f>
        <v/>
      </c>
      <c r="C79" s="5">
        <f>"System.CNT.Kr_AM_Drain_Swap"</f>
        <v/>
      </c>
      <c r="D79" s="6">
        <f>"58"</f>
        <v/>
      </c>
      <c r="E79" s="7">
        <f>"КЭП6202. Кран слива масла из аккумулятора масла ЦБК  "</f>
        <v/>
      </c>
      <c r="F79" s="6">
        <f>CurrAttrValue(B79, 0)</f>
        <v/>
      </c>
      <c r="G79" s="6">
        <f>"-"</f>
        <v/>
      </c>
    </row>
    <row r="80" ht="20" customHeight="1">
      <c r="A80" s="5">
        <f>CONCATENATE($A$2, $A$1, C80, $B$2)</f>
        <v/>
      </c>
      <c r="B80" s="5">
        <f>CONCATENATE($A$2, $A$1, C80, $B$1)</f>
        <v/>
      </c>
      <c r="C80" s="5">
        <f>"System.CNT.KrSLM_MOCBN_WorkTime"</f>
        <v/>
      </c>
      <c r="D80" s="6">
        <f>"59"</f>
        <v/>
      </c>
      <c r="E80" s="7">
        <f>"КЭП6201. Кран слива масла из МО ЦБК  "</f>
        <v/>
      </c>
      <c r="F80" s="6">
        <f>CurrAttrValue(B80, 0)</f>
        <v/>
      </c>
      <c r="G80" s="6">
        <f>"час"</f>
        <v/>
      </c>
    </row>
    <row r="81" ht="20" customHeight="1">
      <c r="A81" s="5">
        <f>CONCATENATE($A$2, $A$1, C81, $B$2)</f>
        <v/>
      </c>
      <c r="B81" s="5">
        <f>CONCATENATE($A$2, $A$1, C81, $B$1)</f>
        <v/>
      </c>
      <c r="C81" s="5">
        <f>"System.CNT.NsN1_WorkTime"</f>
        <v/>
      </c>
      <c r="D81" s="6">
        <f>"60"</f>
        <v/>
      </c>
      <c r="E81" s="7">
        <f>"Насос церкуляционный ГТД  "</f>
        <v/>
      </c>
      <c r="F81" s="6">
        <f>CurrAttrValue(B81, 0)</f>
        <v/>
      </c>
      <c r="G81" s="6">
        <f>"час"</f>
        <v/>
      </c>
    </row>
    <row r="82" ht="20" customHeight="1">
      <c r="A82" s="5">
        <f>CONCATENATE($A$2, $A$1, C82, $B$2)</f>
        <v/>
      </c>
      <c r="B82" s="5">
        <f>CONCATENATE($A$2, $A$1, C82, $B$1)</f>
        <v/>
      </c>
      <c r="C82" s="5">
        <f>"System.CNT.NsN2_WorkTime"</f>
        <v/>
      </c>
      <c r="D82" s="6">
        <f>"61"</f>
        <v/>
      </c>
      <c r="E82" s="7">
        <f>"Н2 МСД. Насос откачки от ГТД  "</f>
        <v/>
      </c>
      <c r="F82" s="6">
        <f>CurrAttrValue(B82, 0)</f>
        <v/>
      </c>
      <c r="G82" s="6">
        <f>"час"</f>
        <v/>
      </c>
    </row>
    <row r="83" ht="20" customHeight="1">
      <c r="A83" s="5">
        <f>CONCATENATE($A$2, $A$1, C83, $B$2)</f>
        <v/>
      </c>
      <c r="B83" s="5">
        <f>CONCATENATE($A$2, $A$1, C83, $B$1)</f>
        <v/>
      </c>
      <c r="C83" s="5">
        <f>"System.CNT.NsN3_WorkTime"</f>
        <v/>
      </c>
      <c r="D83" s="6">
        <f>"62"</f>
        <v/>
      </c>
      <c r="E83" s="7">
        <f>"Насос предпусковой ГТД  "</f>
        <v/>
      </c>
      <c r="F83" s="6">
        <f>CurrAttrValue(B83, 0)</f>
        <v/>
      </c>
      <c r="G83" s="6">
        <f>"час"</f>
        <v/>
      </c>
    </row>
    <row r="84" ht="20" customHeight="1">
      <c r="A84" s="5">
        <f>CONCATENATE($A$2, $A$1, C84, $B$2)</f>
        <v/>
      </c>
      <c r="B84" s="5">
        <f>CONCATENATE($A$2, $A$1, C84, $B$1)</f>
        <v/>
      </c>
      <c r="C84" s="5">
        <f>"System.CNT.NsMSN_WorkTime"</f>
        <v/>
      </c>
      <c r="D84" s="6">
        <f>"63"</f>
        <v/>
      </c>
      <c r="E84" s="7">
        <f>"НСП МСН. Насоса смазки компрессора  "</f>
        <v/>
      </c>
      <c r="F84" s="6">
        <f>CurrAttrValue(B84, 0)</f>
        <v/>
      </c>
      <c r="G84" s="6">
        <f>"час"</f>
        <v/>
      </c>
    </row>
    <row r="85" ht="20" customHeight="1">
      <c r="A85" s="5">
        <f>CONCATENATE($A$2, $A$1, C85, $B$2)</f>
        <v/>
      </c>
      <c r="B85" s="5">
        <f>CONCATENATE($A$2, $A$1, C85, $B$1)</f>
        <v/>
      </c>
      <c r="C85" s="5">
        <f>"System.CNT.NsC_MBN_WorkTime"</f>
        <v/>
      </c>
      <c r="D85" s="6">
        <f>"64"</f>
        <v/>
      </c>
      <c r="E85" s="7">
        <f>"НсЦ ЦБК. Насос циркуляции масла МБК  "</f>
        <v/>
      </c>
      <c r="F85" s="6">
        <f>CurrAttrValue(B85, 0)</f>
        <v/>
      </c>
      <c r="G85" s="6">
        <f>"час"</f>
        <v/>
      </c>
    </row>
    <row r="86" ht="20" customHeight="1">
      <c r="A86" s="5">
        <f>CONCATENATE($A$2, $A$1, C86, $B$2)</f>
        <v/>
      </c>
      <c r="B86" s="5">
        <f>CONCATENATE($A$2, $A$1, C86, $B$1)</f>
        <v/>
      </c>
      <c r="C86" s="5">
        <f>"System.CNT.Sound_WorkTime"</f>
        <v/>
      </c>
      <c r="D86" s="6">
        <f>"65"</f>
        <v/>
      </c>
      <c r="E86" s="7">
        <f>"Сирена  "</f>
        <v/>
      </c>
      <c r="F86" s="6">
        <f>CurrAttrValue(B86, 0)</f>
        <v/>
      </c>
      <c r="G86" s="6">
        <f>"час"</f>
        <v/>
      </c>
    </row>
    <row r="87" ht="20" customHeight="1">
      <c r="A87" s="5">
        <f>CONCATENATE($A$2, $A$1, C87, $B$2)</f>
        <v/>
      </c>
      <c r="B87" s="5">
        <f>CONCATENATE($A$2, $A$1, C87, $B$1)</f>
        <v/>
      </c>
      <c r="C87" s="5">
        <f>"System.CNT.EnMBD1_WorkTime"</f>
        <v/>
      </c>
      <c r="D87" s="6">
        <f>"66"</f>
        <v/>
      </c>
      <c r="E87" s="7">
        <f>"ЭнМБД1. Электронагреватель масла №1 в МБД  "</f>
        <v/>
      </c>
      <c r="F87" s="6">
        <f>CurrAttrValue(B87, 0)</f>
        <v/>
      </c>
      <c r="G87" s="6">
        <f>"час"</f>
        <v/>
      </c>
    </row>
    <row r="88" ht="20" customHeight="1">
      <c r="A88" s="5">
        <f>CONCATENATE($A$2, $A$1, C88, $B$2)</f>
        <v/>
      </c>
      <c r="B88" s="5">
        <f>CONCATENATE($A$2, $A$1, C88, $B$1)</f>
        <v/>
      </c>
      <c r="C88" s="5">
        <f>"System.CNT.EnMBD2_WorkTime"</f>
        <v/>
      </c>
      <c r="D88" s="6">
        <f>"67"</f>
        <v/>
      </c>
      <c r="E88" s="7">
        <f>"ЭнМБД2. Электронагреватель масла №2 в МБД  "</f>
        <v/>
      </c>
      <c r="F88" s="6">
        <f>CurrAttrValue(B88, 0)</f>
        <v/>
      </c>
      <c r="G88" s="6">
        <f>"час"</f>
        <v/>
      </c>
    </row>
    <row r="89" ht="20" customHeight="1">
      <c r="A89" s="5">
        <f>CONCATENATE($A$2, $A$1, C89, $B$2)</f>
        <v/>
      </c>
      <c r="B89" s="5">
        <f>CONCATENATE($A$2, $A$1, C89, $B$1)</f>
        <v/>
      </c>
      <c r="C89" s="5">
        <f>"System.CNT.EnMBN1_WorkTime"</f>
        <v/>
      </c>
      <c r="D89" s="6">
        <f>"68"</f>
        <v/>
      </c>
      <c r="E89" s="7">
        <f>"ЭнМБН1. Электронагреватель масла №1 в МБН  "</f>
        <v/>
      </c>
      <c r="F89" s="6">
        <f>CurrAttrValue(B89, 0)</f>
        <v/>
      </c>
      <c r="G89" s="6">
        <f>"час"</f>
        <v/>
      </c>
    </row>
    <row r="90" ht="20" customHeight="1">
      <c r="A90" s="5">
        <f>CONCATENATE($A$2, $A$1, C90, $B$2)</f>
        <v/>
      </c>
      <c r="B90" s="5">
        <f>CONCATENATE($A$2, $A$1, C90, $B$1)</f>
        <v/>
      </c>
      <c r="C90" s="5">
        <f>"System.CNT.EnMBN2_WorkTime"</f>
        <v/>
      </c>
      <c r="D90" s="6">
        <f>"69"</f>
        <v/>
      </c>
      <c r="E90" s="7">
        <f>"ЭнМБН2. Электронагреватель масла №2 в МБН  "</f>
        <v/>
      </c>
      <c r="F90" s="6">
        <f>CurrAttrValue(B90, 0)</f>
        <v/>
      </c>
      <c r="G90" s="6">
        <f>"час"</f>
        <v/>
      </c>
    </row>
    <row r="91" ht="20" customHeight="1">
      <c r="A91" s="5">
        <f>CONCATENATE($A$2, $A$1, C91, $B$2)</f>
        <v/>
      </c>
      <c r="B91" s="5">
        <f>CONCATENATE($A$2, $A$1, C91, $B$1)</f>
        <v/>
      </c>
      <c r="C91" s="5">
        <f>"System.CNT.EnMBN3_WorkTime"</f>
        <v/>
      </c>
      <c r="D91" s="6">
        <f>"70"</f>
        <v/>
      </c>
      <c r="E91" s="7">
        <f>"ЭнМБН3. Электронагреватель масла №3 в МБН  "</f>
        <v/>
      </c>
      <c r="F91" s="6">
        <f>CurrAttrValue(B91, 0)</f>
        <v/>
      </c>
      <c r="G91" s="6">
        <f>"час"</f>
        <v/>
      </c>
    </row>
    <row r="92" ht="20" customHeight="1">
      <c r="A92" s="5">
        <f>CONCATENATE($A$2, $A$1, C92, $B$2)</f>
        <v/>
      </c>
      <c r="B92" s="5">
        <f>CONCATENATE($A$2, $A$1, C92, $B$1)</f>
        <v/>
      </c>
      <c r="C92" s="5">
        <f>"System.CNT.EnMBN4_WorkTime"</f>
        <v/>
      </c>
      <c r="D92" s="6">
        <f>"71"</f>
        <v/>
      </c>
      <c r="E92" s="7">
        <f>"ЭнМБН4. Электронагреватель масла №4 в МБН  "</f>
        <v/>
      </c>
      <c r="F92" s="6">
        <f>CurrAttrValue(B92, 0)</f>
        <v/>
      </c>
      <c r="G92" s="6">
        <f>"час"</f>
        <v/>
      </c>
    </row>
    <row r="93" ht="20" customHeight="1">
      <c r="A93" s="5">
        <f>CONCATENATE($A$2, $A$1, C93, $B$2)</f>
        <v/>
      </c>
      <c r="B93" s="5">
        <f>CONCATENATE($A$2, $A$1, C93, $B$1)</f>
        <v/>
      </c>
      <c r="C93" s="5">
        <f>"System.CNT.EnBG1_WorkTime"</f>
        <v/>
      </c>
      <c r="D93" s="6">
        <f>"72"</f>
        <v/>
      </c>
      <c r="E93" s="7">
        <f>"ЭнБГ1. Электронагреватель буферного газа №1  "</f>
        <v/>
      </c>
      <c r="F93" s="6">
        <f>CurrAttrValue(B93, 0)</f>
        <v/>
      </c>
      <c r="G93" s="6">
        <f>"час"</f>
        <v/>
      </c>
    </row>
    <row r="96" ht="35" customHeight="1">
      <c r="E96" s="8">
        <f>"должность"</f>
        <v/>
      </c>
      <c r="F96" s="8">
        <f>"ФИО"</f>
        <v/>
      </c>
      <c r="G96" s="8">
        <f>"подпись"</f>
        <v/>
      </c>
    </row>
    <row r="97" ht="40" customHeight="1">
      <c r="E97" s="1">
        <f>"Срез накопленных значений по наработке ГПА №2 на "</f>
        <v/>
      </c>
      <c r="F97" s="2">
        <f>F1</f>
        <v/>
      </c>
      <c r="G97" s="3">
        <f>G1</f>
        <v/>
      </c>
    </row>
    <row r="99" ht="20" customHeight="1">
      <c r="D99" s="4">
        <f>"№"</f>
        <v/>
      </c>
      <c r="E99" s="4">
        <f>"Наименование параметра  "</f>
        <v/>
      </c>
      <c r="F99" s="4">
        <f>"Значение"</f>
        <v/>
      </c>
      <c r="G99" s="4">
        <f>"Ед. изм"</f>
        <v/>
      </c>
    </row>
    <row r="100" ht="20" customHeight="1">
      <c r="A100" s="5">
        <f>CONCATENATE($A$2, $A$1, C100, $B$2)</f>
        <v/>
      </c>
      <c r="B100" s="5">
        <f>CONCATENATE($A$2, $A$1, C100, $B$1)</f>
        <v/>
      </c>
      <c r="C100" s="5">
        <f>"System.CNT.EnBG2_WorkTime"</f>
        <v/>
      </c>
      <c r="D100" s="6">
        <f>"73"</f>
        <v/>
      </c>
      <c r="E100" s="7">
        <f>"ЭнБГ2. Электронагреватель буферного газа №2  "</f>
        <v/>
      </c>
      <c r="F100" s="6">
        <f>CurrAttrValue(B100, 0)</f>
        <v/>
      </c>
      <c r="G100" s="6">
        <f>"час"</f>
        <v/>
      </c>
    </row>
    <row r="101" ht="20" customHeight="1">
      <c r="A101" s="5">
        <f>CONCATENATE($A$2, $A$1, C101, $B$2)</f>
        <v/>
      </c>
      <c r="B101" s="5">
        <f>CONCATENATE($A$2, $A$1, C101, $B$1)</f>
        <v/>
      </c>
      <c r="C101" s="5">
        <f>"System.CNT.EnBG3_WorkTime"</f>
        <v/>
      </c>
      <c r="D101" s="6">
        <f>"74"</f>
        <v/>
      </c>
      <c r="E101" s="7">
        <f>"ЭнБГ3. Электронагреватель буферного газа №3  "</f>
        <v/>
      </c>
      <c r="F101" s="6">
        <f>CurrAttrValue(B101, 0)</f>
        <v/>
      </c>
      <c r="G101" s="6">
        <f>"час"</f>
        <v/>
      </c>
    </row>
    <row r="102" ht="20" customHeight="1">
      <c r="A102" s="5">
        <f>CONCATENATE($A$2, $A$1, C102, $B$2)</f>
        <v/>
      </c>
      <c r="B102" s="5">
        <f>CONCATENATE($A$2, $A$1, C102, $B$1)</f>
        <v/>
      </c>
      <c r="C102" s="5">
        <f>"System.CNT.EnBKARM_WorkTime"</f>
        <v/>
      </c>
      <c r="D102" s="6">
        <f>"75"</f>
        <v/>
      </c>
      <c r="E102" s="7">
        <f>"Электронагреватель блок-контроля арматуры  "</f>
        <v/>
      </c>
      <c r="F102" s="6">
        <f>CurrAttrValue(B102, 0)</f>
        <v/>
      </c>
      <c r="G102" s="6">
        <f>"час"</f>
        <v/>
      </c>
    </row>
    <row r="103" ht="20" customHeight="1">
      <c r="A103" s="5">
        <f>CONCATENATE($A$2, $A$1, C103, $B$2)</f>
        <v/>
      </c>
      <c r="B103" s="5">
        <f>CONCATENATE($A$2, $A$1, C103, $B$1)</f>
        <v/>
      </c>
      <c r="C103" s="5">
        <f>"System.CNT.EnRoof_WorkTime"</f>
        <v/>
      </c>
      <c r="D103" s="6">
        <f>"76"</f>
        <v/>
      </c>
      <c r="E103" s="7">
        <f>"Электронагреватель кромки крыши  "</f>
        <v/>
      </c>
      <c r="F103" s="6">
        <f>CurrAttrValue(B103, 0)</f>
        <v/>
      </c>
      <c r="G103" s="6">
        <f>"час"</f>
        <v/>
      </c>
    </row>
    <row r="104" ht="20" customHeight="1">
      <c r="A104" s="5">
        <f>CONCATENATE($A$2, $A$1, C104, $B$2)</f>
        <v/>
      </c>
      <c r="B104" s="5">
        <f>CONCATENATE($A$2, $A$1, C104, $B$1)</f>
        <v/>
      </c>
      <c r="C104" s="5">
        <f>"System.CNT.EnChnl1_WorkTime"</f>
        <v/>
      </c>
      <c r="D104" s="6">
        <f>"77"</f>
        <v/>
      </c>
      <c r="E104" s="7">
        <f>"Электронагреватель канальный 1  "</f>
        <v/>
      </c>
      <c r="F104" s="6">
        <f>CurrAttrValue(B104, 0)</f>
        <v/>
      </c>
      <c r="G104" s="6">
        <f>"час"</f>
        <v/>
      </c>
    </row>
    <row r="105" ht="20" customHeight="1">
      <c r="A105" s="5">
        <f>CONCATENATE($A$2, $A$1, C105, $B$2)</f>
        <v/>
      </c>
      <c r="B105" s="5">
        <f>CONCATENATE($A$2, $A$1, C105, $B$1)</f>
        <v/>
      </c>
      <c r="C105" s="5">
        <f>"System.CNT.EnChnl2_WorkTime"</f>
        <v/>
      </c>
      <c r="D105" s="6">
        <f>"78"</f>
        <v/>
      </c>
      <c r="E105" s="7">
        <f>"Электронагреватель канальный 2  "</f>
        <v/>
      </c>
      <c r="F105" s="6">
        <f>CurrAttrValue(B105, 0)</f>
        <v/>
      </c>
      <c r="G105" s="6">
        <f>"час"</f>
        <v/>
      </c>
    </row>
    <row r="106" ht="20" customHeight="1">
      <c r="A106" s="5">
        <f>CONCATENATE($A$2, $A$1, C106, $B$2)</f>
        <v/>
      </c>
      <c r="B106" s="5">
        <f>CONCATENATE($A$2, $A$1, C106, $B$1)</f>
        <v/>
      </c>
      <c r="C106" s="5">
        <f>"System.CNT.ZsOV1_WorkTime"</f>
        <v/>
      </c>
      <c r="D106" s="6">
        <f>"79"</f>
        <v/>
      </c>
      <c r="E106" s="7">
        <f>"Заслонка №1 отбора от ГТД  "</f>
        <v/>
      </c>
      <c r="F106" s="6">
        <f>CurrAttrValue(B106, 0)</f>
        <v/>
      </c>
      <c r="G106" s="6">
        <f>"час"</f>
        <v/>
      </c>
    </row>
    <row r="107" ht="20" customHeight="1">
      <c r="A107" s="5">
        <f>CONCATENATE($A$2, $A$1, C107, $B$2)</f>
        <v/>
      </c>
      <c r="B107" s="5">
        <f>CONCATENATE($A$2, $A$1, C107, $B$1)</f>
        <v/>
      </c>
      <c r="C107" s="5">
        <f>"System.CNT.ZsOV2_WorkTime"</f>
        <v/>
      </c>
      <c r="D107" s="6">
        <f>"80"</f>
        <v/>
      </c>
      <c r="E107" s="7">
        <f>"Заслонка №2 отбора от ГТД  "</f>
        <v/>
      </c>
      <c r="F107" s="6">
        <f>CurrAttrValue(B107, 0)</f>
        <v/>
      </c>
      <c r="G107" s="6">
        <f>"час"</f>
        <v/>
      </c>
    </row>
    <row r="108" ht="20" customHeight="1">
      <c r="A108" s="5">
        <f>CONCATENATE($A$2, $A$1, C108, $B$2)</f>
        <v/>
      </c>
      <c r="B108" s="5">
        <f>CONCATENATE($A$2, $A$1, C108, $B$1)</f>
        <v/>
      </c>
      <c r="C108" s="5">
        <f>"System.CNT.ZsOV3_WorkTime"</f>
        <v/>
      </c>
      <c r="D108" s="6">
        <f>"81"</f>
        <v/>
      </c>
      <c r="E108" s="7">
        <f>"Заслонка №3 отбора от ГТД  "</f>
        <v/>
      </c>
      <c r="F108" s="6">
        <f>CurrAttrValue(B108, 0)</f>
        <v/>
      </c>
      <c r="G108" s="6">
        <f>"час"</f>
        <v/>
      </c>
    </row>
    <row r="109" ht="20" customHeight="1">
      <c r="A109" s="5">
        <f>CONCATENATE($A$2, $A$1, C109, $B$2)</f>
        <v/>
      </c>
      <c r="B109" s="5">
        <f>CONCATENATE($A$2, $A$1, C109, $B$1)</f>
        <v/>
      </c>
      <c r="C109" s="5">
        <f>"System.CNT.ZsOV4_WorkTime"</f>
        <v/>
      </c>
      <c r="D109" s="6">
        <f>"82"</f>
        <v/>
      </c>
      <c r="E109" s="7">
        <f>"Заслонка №4 отбора от ГТД  "</f>
        <v/>
      </c>
      <c r="F109" s="6">
        <f>CurrAttrValue(B109, 0)</f>
        <v/>
      </c>
      <c r="G109" s="6">
        <f>"час"</f>
        <v/>
      </c>
    </row>
    <row r="110" ht="20" customHeight="1">
      <c r="A110" s="5">
        <f>CONCATENATE($A$2, $A$1, C110, $B$2)</f>
        <v/>
      </c>
      <c r="B110" s="5">
        <f>CONCATENATE($A$2, $A$1, C110, $B$1)</f>
        <v/>
      </c>
      <c r="C110" s="5">
        <f>"System.CNT.VnBET1_WorkTime"</f>
        <v/>
      </c>
      <c r="D110" s="6">
        <f>"83"</f>
        <v/>
      </c>
      <c r="E110" s="7">
        <f>"Кондиционер №1 БЭТ  "</f>
        <v/>
      </c>
      <c r="F110" s="6">
        <f>CurrAttrValue(B110, 0)</f>
        <v/>
      </c>
      <c r="G110" s="6">
        <f>"час"</f>
        <v/>
      </c>
    </row>
    <row r="111" ht="20" customHeight="1">
      <c r="A111" s="5">
        <f>CONCATENATE($A$2, $A$1, C111, $B$2)</f>
        <v/>
      </c>
      <c r="B111" s="5">
        <f>CONCATENATE($A$2, $A$1, C111, $B$1)</f>
        <v/>
      </c>
      <c r="C111" s="5">
        <f>"System.CNT.VnBET2_WorkTime"</f>
        <v/>
      </c>
      <c r="D111" s="6">
        <f>"84"</f>
        <v/>
      </c>
      <c r="E111" s="7">
        <f>"Кондиционер №2 БЭТ  "</f>
        <v/>
      </c>
      <c r="F111" s="6">
        <f>CurrAttrValue(B111, 0)</f>
        <v/>
      </c>
      <c r="G111" s="6">
        <f>"час"</f>
        <v/>
      </c>
    </row>
    <row r="112" ht="20" customHeight="1">
      <c r="A112" s="5">
        <f>CONCATENATE($A$2, $A$1, C112, $B$2)</f>
        <v/>
      </c>
      <c r="B112" s="5">
        <f>CONCATENATE($A$2, $A$1, C112, $B$1)</f>
        <v/>
      </c>
      <c r="C112" s="5">
        <f>"System.CNT.VnSAU1_WorkTime"</f>
        <v/>
      </c>
      <c r="D112" s="6">
        <f>"85"</f>
        <v/>
      </c>
      <c r="E112" s="7">
        <f>"Кондиционер №1 БСАУ  "</f>
        <v/>
      </c>
      <c r="F112" s="6">
        <f>CurrAttrValue(B112, 0)</f>
        <v/>
      </c>
      <c r="G112" s="6">
        <f>"час"</f>
        <v/>
      </c>
    </row>
    <row r="113" ht="20" customHeight="1">
      <c r="A113" s="5">
        <f>CONCATENATE($A$2, $A$1, C113, $B$2)</f>
        <v/>
      </c>
      <c r="B113" s="5">
        <f>CONCATENATE($A$2, $A$1, C113, $B$1)</f>
        <v/>
      </c>
      <c r="C113" s="5">
        <f>"System.CNT.VnSAU2_WorkTime"</f>
        <v/>
      </c>
      <c r="D113" s="6">
        <f>"86"</f>
        <v/>
      </c>
      <c r="E113" s="7">
        <f>"Кондиционер №2 БСАУ  "</f>
        <v/>
      </c>
      <c r="F113" s="6">
        <f>CurrAttrValue(B113, 0)</f>
        <v/>
      </c>
      <c r="G113" s="6">
        <f>"час"</f>
        <v/>
      </c>
    </row>
    <row r="114" ht="20" customHeight="1">
      <c r="A114" s="5">
        <f>CONCATENATE($A$2, $A$1, C114, $B$2)</f>
        <v/>
      </c>
      <c r="B114" s="5">
        <f>CONCATENATE($A$2, $A$1, C114, $B$1)</f>
        <v/>
      </c>
      <c r="C114" s="5">
        <f>"System.CNT.EnSAU_WorkTime"</f>
        <v/>
      </c>
      <c r="D114" s="6">
        <f>"87"</f>
        <v/>
      </c>
      <c r="E114" s="7">
        <f>"Электронагреватель блока САУ  "</f>
        <v/>
      </c>
      <c r="F114" s="6">
        <f>CurrAttrValue(B114, 0)</f>
        <v/>
      </c>
      <c r="G114" s="6">
        <f>"час"</f>
        <v/>
      </c>
    </row>
    <row r="115" ht="20" customHeight="1">
      <c r="A115" s="5">
        <f>CONCATENATE($A$2, $A$1, C115, $B$2)</f>
        <v/>
      </c>
      <c r="B115" s="5">
        <f>CONCATENATE($A$2, $A$1, C115, $B$1)</f>
        <v/>
      </c>
      <c r="C115" s="5">
        <f>"System.CNT.EnBET_WorkTime"</f>
        <v/>
      </c>
      <c r="D115" s="6">
        <f>"88"</f>
        <v/>
      </c>
      <c r="E115" s="7">
        <f>"Электронагреватель БЭТ №1  "</f>
        <v/>
      </c>
      <c r="F115" s="6">
        <f>CurrAttrValue(B115, 0)</f>
        <v/>
      </c>
      <c r="G115" s="6">
        <f>"час"</f>
        <v/>
      </c>
    </row>
    <row r="116" ht="20" customHeight="1">
      <c r="A116" s="5">
        <f>CONCATENATE($A$2, $A$1, C116, $B$2)</f>
        <v/>
      </c>
      <c r="B116" s="5">
        <f>CONCATENATE($A$2, $A$1, C116, $B$1)</f>
        <v/>
      </c>
      <c r="C116" s="5">
        <f>"System.CNT.EnBET2_WorkTime"</f>
        <v/>
      </c>
      <c r="D116" s="6">
        <f>"89"</f>
        <v/>
      </c>
      <c r="E116" s="7">
        <f>"Электронагреватель вентилятора БЭТ  "</f>
        <v/>
      </c>
      <c r="F116" s="6">
        <f>CurrAttrValue(B116, 0)</f>
        <v/>
      </c>
      <c r="G116" s="6">
        <f>"час"</f>
        <v/>
      </c>
    </row>
    <row r="117" ht="20" customHeight="1">
      <c r="A117" s="5">
        <f>CONCATENATE($A$2, $A$1, C117, $B$2)</f>
        <v/>
      </c>
      <c r="B117" s="5">
        <f>CONCATENATE($A$2, $A$1, C117, $B$1)</f>
        <v/>
      </c>
      <c r="C117" s="5">
        <f>"System.CNT.EnSAU2_WorkTime"</f>
        <v/>
      </c>
      <c r="D117" s="6">
        <f>"90"</f>
        <v/>
      </c>
      <c r="E117" s="7">
        <f>"Электронагреватель вентилятора БСАУ  "</f>
        <v/>
      </c>
      <c r="F117" s="6">
        <f>CurrAttrValue(B117, 0)</f>
        <v/>
      </c>
      <c r="G117" s="6">
        <f>"час"</f>
        <v/>
      </c>
    </row>
    <row r="120" ht="35" customHeight="1">
      <c r="E120" s="8">
        <f>"должность"</f>
        <v/>
      </c>
      <c r="F120" s="8">
        <f>"ФИО"</f>
        <v/>
      </c>
      <c r="G120" s="8">
        <f>"подпись"</f>
        <v/>
      </c>
    </row>
    <row r="121" ht="40" customHeight="1">
      <c r="E121" s="1">
        <f>"Срез накопленных значений по наработке ГПА №2 на "</f>
        <v/>
      </c>
      <c r="F121" s="2">
        <f>F1</f>
        <v/>
      </c>
      <c r="G121" s="3">
        <f>G1</f>
        <v/>
      </c>
    </row>
    <row r="123" ht="20" customHeight="1">
      <c r="D123" s="4">
        <f>"№"</f>
        <v/>
      </c>
      <c r="E123" s="4">
        <f>"Наименование параметра  "</f>
        <v/>
      </c>
      <c r="F123" s="4">
        <f>"Значение"</f>
        <v/>
      </c>
      <c r="G123" s="4">
        <f>"Ед. изм"</f>
        <v/>
      </c>
    </row>
    <row r="124" ht="20" customHeight="1">
      <c r="A124" s="5">
        <f>CONCATENATE($A$2, $A$1, C124, $B$2)</f>
        <v/>
      </c>
      <c r="B124" s="5">
        <f>CONCATENATE($A$2, $A$1, C124, $B$1)</f>
        <v/>
      </c>
      <c r="C124" s="5">
        <f>"System.CNT.VnSHL1_WorkTime"</f>
        <v/>
      </c>
      <c r="D124" s="6">
        <f>"91"</f>
        <v/>
      </c>
      <c r="E124" s="7">
        <f>"Вентилятор ШЛ1  "</f>
        <v/>
      </c>
      <c r="F124" s="6">
        <f>CurrAttrValue(B124, 0)</f>
        <v/>
      </c>
      <c r="G124" s="6">
        <f>"час"</f>
        <v/>
      </c>
    </row>
    <row r="125" ht="20" customHeight="1">
      <c r="A125" s="5">
        <f>CONCATENATE($A$2, $A$1, C125, $B$2)</f>
        <v/>
      </c>
      <c r="B125" s="5">
        <f>CONCATENATE($A$2, $A$1, C125, $B$1)</f>
        <v/>
      </c>
      <c r="C125" s="5">
        <f>"System.CNT.VnSHL2_WorkTime"</f>
        <v/>
      </c>
      <c r="D125" s="6">
        <f>"92"</f>
        <v/>
      </c>
      <c r="E125" s="7">
        <f>"Вентилятор ШЛ2  "</f>
        <v/>
      </c>
      <c r="F125" s="6">
        <f>CurrAttrValue(B125, 0)</f>
        <v/>
      </c>
      <c r="G125" s="6">
        <f>"час"</f>
        <v/>
      </c>
    </row>
    <row r="126" ht="20" customHeight="1">
      <c r="A126" s="5">
        <f>CONCATENATE($A$2, $A$1, C126, $B$2)</f>
        <v/>
      </c>
      <c r="B126" s="5">
        <f>CONCATENATE($A$2, $A$1, C126, $B$1)</f>
        <v/>
      </c>
      <c r="C126" s="5">
        <f>"System.CNT.VnSHL34_WorkTime"</f>
        <v/>
      </c>
      <c r="D126" s="6">
        <f>"93"</f>
        <v/>
      </c>
      <c r="E126" s="7">
        <f>"Вентиляторы ШЛ3и4  "</f>
        <v/>
      </c>
      <c r="F126" s="6">
        <f>CurrAttrValue(B126, 0)</f>
        <v/>
      </c>
      <c r="G126" s="6">
        <f>"час"</f>
        <v/>
      </c>
    </row>
    <row r="127" ht="20" customHeight="1">
      <c r="A127" s="5">
        <f>CONCATENATE($A$2, $A$1, C127, $B$2)</f>
        <v/>
      </c>
      <c r="B127" s="5">
        <f>CONCATENATE($A$2, $A$1, C127, $B$1)</f>
        <v/>
      </c>
      <c r="C127" s="5">
        <f>"System.CNT.BET_Zaz_WorkTime"</f>
        <v/>
      </c>
      <c r="D127" s="6">
        <f>"94"</f>
        <v/>
      </c>
      <c r="E127" s="7">
        <f>"Заслонки БЭТ  "</f>
        <v/>
      </c>
      <c r="F127" s="6">
        <f>CurrAttrValue(B127, 0)</f>
        <v/>
      </c>
      <c r="G127" s="6">
        <f>"час"</f>
        <v/>
      </c>
    </row>
    <row r="128" ht="20" customHeight="1">
      <c r="A128" s="5">
        <f>CONCATENATE($A$2, $A$1, C128, $B$2)</f>
        <v/>
      </c>
      <c r="B128" s="5">
        <f>CONCATENATE($A$2, $A$1, C128, $B$1)</f>
        <v/>
      </c>
      <c r="C128" s="5">
        <f>"System.CNT.SAU_Zaz_WorkTime"</f>
        <v/>
      </c>
      <c r="D128" s="6">
        <f>"95"</f>
        <v/>
      </c>
      <c r="E128" s="7">
        <f>"Заслонки САУ  "</f>
        <v/>
      </c>
      <c r="F128" s="6">
        <f>CurrAttrValue(B128, 0)</f>
        <v/>
      </c>
      <c r="G128" s="6">
        <f>"час"</f>
        <v/>
      </c>
    </row>
    <row r="131" ht="35" customHeight="1">
      <c r="E131" s="8">
        <f>"должность"</f>
        <v/>
      </c>
      <c r="F131" s="8">
        <f>"ФИО"</f>
        <v/>
      </c>
      <c r="G131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