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  <font>
      <name val="Arial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0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width="7" customWidth="1" min="16" max="16"/>
    <col width="105" customWidth="1" min="17" max="17"/>
    <col width="15" customWidth="1" min="18" max="18"/>
    <col width="15" customWidth="1" min="19" max="19"/>
    <col width="13" customWidth="1" min="20" max="20"/>
    <col width="15" customWidth="1" min="21" max="21"/>
    <col width="12" customWidth="1" min="22" max="22"/>
    <col width="30" customWidth="1" min="23" max="23"/>
  </cols>
  <sheetData>
    <row r="1" ht="25" customHeight="1">
      <c r="A1">
        <f>"GPA6."</f>
        <v/>
      </c>
      <c r="Q1" s="1">
        <f>"Протокол проверки защит ГПА №6 на  "</f>
        <v/>
      </c>
      <c r="R1" s="2">
        <f>NOW()</f>
        <v/>
      </c>
      <c r="S1" s="3">
        <f>NOW()</f>
        <v/>
      </c>
    </row>
    <row r="2">
      <c r="A2">
        <f>"Получение данных с OPC UA@"</f>
        <v/>
      </c>
      <c r="B2">
        <f>".TRDELAY;1"</f>
        <v/>
      </c>
      <c r="C2">
        <f>".TDELAY;1"</f>
        <v/>
      </c>
      <c r="D2">
        <f>".SETPOINT;1"</f>
        <v/>
      </c>
      <c r="E2">
        <f>".VALUE;1"</f>
        <v/>
      </c>
      <c r="F2">
        <f>".VALUE.5501;1"</f>
        <v/>
      </c>
      <c r="G2">
        <f>".VALUE.100;1"</f>
        <v/>
      </c>
      <c r="H2">
        <f>".BLOCKED;1"</f>
        <v/>
      </c>
      <c r="I2">
        <f>".CHECK;1"</f>
        <v/>
      </c>
      <c r="J2">
        <f>".CHECKVALUE;1"</f>
        <v/>
      </c>
    </row>
    <row r="3" ht="20" customHeight="1">
      <c r="B3">
        <f>"Таймер"</f>
        <v/>
      </c>
      <c r="C3">
        <f>"Задержка"</f>
        <v/>
      </c>
      <c r="D3">
        <f>"Уставка"</f>
        <v/>
      </c>
      <c r="E3">
        <f>"Значение"</f>
        <v/>
      </c>
      <c r="F3">
        <f>"Название"</f>
        <v/>
      </c>
      <c r="G3">
        <f>"ед.измерения"</f>
        <v/>
      </c>
      <c r="P3" s="4">
        <f>"№"</f>
        <v/>
      </c>
      <c r="Q3" s="4">
        <f>"Наименование защиты  "</f>
        <v/>
      </c>
      <c r="R3" s="4">
        <f>"Таймер"</f>
        <v/>
      </c>
      <c r="S3" s="4">
        <f>"Задержка"</f>
        <v/>
      </c>
      <c r="T3" s="4">
        <f>"Уставка"</f>
        <v/>
      </c>
      <c r="U3" s="4">
        <f>"Значение"</f>
        <v/>
      </c>
      <c r="V3" s="4">
        <f>"Eд.изм"</f>
        <v/>
      </c>
      <c r="W3" s="4">
        <f>"Отметка о проверке"</f>
        <v/>
      </c>
    </row>
    <row r="4" ht="20" customHeight="1">
      <c r="A4">
        <f>"System.PZ.A000"</f>
        <v/>
      </c>
      <c r="B4">
        <f>CONCATENATE($A$2, $A$1, $A4, B$2)</f>
        <v/>
      </c>
      <c r="C4">
        <f>CONCATENATE($A$2, $A$1, $A4, C$2)</f>
        <v/>
      </c>
      <c r="D4">
        <f>CONCATENATE($A$2, $A$1, $A4, D$2)</f>
        <v/>
      </c>
      <c r="E4">
        <f>CONCATENATE($A$2, $A$1, $A4, E$2)</f>
        <v/>
      </c>
      <c r="F4">
        <f>CONCATENATE($A$2, $A$1, $A4, F$2)</f>
        <v/>
      </c>
      <c r="G4">
        <f>CONCATENATE($A$2, $A$1, $A4, G$2)</f>
        <v/>
      </c>
      <c r="H4">
        <f>CONCATENATE($A$2, $A$1, $A4, H$2)</f>
        <v/>
      </c>
      <c r="I4">
        <f>CONCATENATE($A$2, $A$1, $A4, I$2)</f>
        <v/>
      </c>
      <c r="J4">
        <f>CONCATENATE($A$2, $A$1, $A4, J$2)</f>
        <v/>
      </c>
      <c r="K4">
        <f>CurrAttrValue(D4, 0)</f>
        <v/>
      </c>
      <c r="L4">
        <f>CurrAttrValue(E4, 0)</f>
        <v/>
      </c>
      <c r="M4">
        <f>CurrAttrValue(H4, 0)</f>
        <v/>
      </c>
      <c r="N4">
        <f>CurrAttrValue(I4, 0)</f>
        <v/>
      </c>
      <c r="O4">
        <f>CurrAttrValue(J4, 0)</f>
        <v/>
      </c>
      <c r="P4" s="5">
        <f>"1"</f>
        <v/>
      </c>
      <c r="Q4" s="6">
        <f>"АОбс. От ТР: Аварийно-высокая Nнд  "</f>
        <v/>
      </c>
      <c r="R4" s="7">
        <f>IF(N4, S4, "")</f>
        <v/>
      </c>
      <c r="S4" s="7">
        <f>CurrAttrValue(C4, 0)</f>
        <v/>
      </c>
      <c r="T4" s="5">
        <f>IF(K4=-200, "д.вх.", K4)</f>
        <v/>
      </c>
      <c r="U4" s="5">
        <f>IF(L4=-200, "д.вх.", IF(N4, O4, L4))</f>
        <v/>
      </c>
      <c r="V4" s="5">
        <f>CurrAttrValue(G4, 0)</f>
        <v/>
      </c>
      <c r="W4" s="5">
        <f>IF(M4, "Блокирована", IF(N4, "Проверено", "-"))</f>
        <v/>
      </c>
    </row>
    <row r="5" ht="20" customHeight="1">
      <c r="A5">
        <f>"System.PZ.A001"</f>
        <v/>
      </c>
      <c r="B5">
        <f>CONCATENATE($A$2, $A$1, $A5, B$2)</f>
        <v/>
      </c>
      <c r="C5">
        <f>CONCATENATE($A$2, $A$1, $A5, C$2)</f>
        <v/>
      </c>
      <c r="D5">
        <f>CONCATENATE($A$2, $A$1, $A5, D$2)</f>
        <v/>
      </c>
      <c r="E5">
        <f>CONCATENATE($A$2, $A$1, $A5, E$2)</f>
        <v/>
      </c>
      <c r="F5">
        <f>CONCATENATE($A$2, $A$1, $A5, F$2)</f>
        <v/>
      </c>
      <c r="G5">
        <f>CONCATENATE($A$2, $A$1, $A5, G$2)</f>
        <v/>
      </c>
      <c r="H5">
        <f>CONCATENATE($A$2, $A$1, $A5, H$2)</f>
        <v/>
      </c>
      <c r="I5">
        <f>CONCATENATE($A$2, $A$1, $A5, I$2)</f>
        <v/>
      </c>
      <c r="J5">
        <f>CONCATENATE($A$2, $A$1, $A5, J$2)</f>
        <v/>
      </c>
      <c r="K5">
        <f>CurrAttrValue(D5, 0)</f>
        <v/>
      </c>
      <c r="L5">
        <f>CurrAttrValue(E5, 0)</f>
        <v/>
      </c>
      <c r="M5">
        <f>CurrAttrValue(H5, 0)</f>
        <v/>
      </c>
      <c r="N5">
        <f>CurrAttrValue(I5, 0)</f>
        <v/>
      </c>
      <c r="O5">
        <f>CurrAttrValue(J5, 0)</f>
        <v/>
      </c>
      <c r="P5" s="5">
        <f>"2"</f>
        <v/>
      </c>
      <c r="Q5" s="6">
        <f>"АОбс. От ТР: Отказ канала Nнд  "</f>
        <v/>
      </c>
      <c r="R5" s="7">
        <f>IF(N5, S5, "")</f>
        <v/>
      </c>
      <c r="S5" s="7">
        <f>CurrAttrValue(C5, 0)</f>
        <v/>
      </c>
      <c r="T5" s="5">
        <f>IF(K5=-200, "д.вх.", K5)</f>
        <v/>
      </c>
      <c r="U5" s="5">
        <f>IF(L5=-200, "д.вх.", IF(N5, O5, L5))</f>
        <v/>
      </c>
      <c r="V5" s="5">
        <f>CurrAttrValue(G5, 0)</f>
        <v/>
      </c>
      <c r="W5" s="5">
        <f>IF(M5, "Блокирована", IF(N5, "Проверено", "-"))</f>
        <v/>
      </c>
    </row>
    <row r="6" ht="20" customHeight="1">
      <c r="A6">
        <f>"System.PZ.A002"</f>
        <v/>
      </c>
      <c r="B6">
        <f>CONCATENATE($A$2, $A$1, $A6, B$2)</f>
        <v/>
      </c>
      <c r="C6">
        <f>CONCATENATE($A$2, $A$1, $A6, C$2)</f>
        <v/>
      </c>
      <c r="D6">
        <f>CONCATENATE($A$2, $A$1, $A6, D$2)</f>
        <v/>
      </c>
      <c r="E6">
        <f>CONCATENATE($A$2, $A$1, $A6, E$2)</f>
        <v/>
      </c>
      <c r="F6">
        <f>CONCATENATE($A$2, $A$1, $A6, F$2)</f>
        <v/>
      </c>
      <c r="G6">
        <f>CONCATENATE($A$2, $A$1, $A6, G$2)</f>
        <v/>
      </c>
      <c r="H6">
        <f>CONCATENATE($A$2, $A$1, $A6, H$2)</f>
        <v/>
      </c>
      <c r="I6">
        <f>CONCATENATE($A$2, $A$1, $A6, I$2)</f>
        <v/>
      </c>
      <c r="J6">
        <f>CONCATENATE($A$2, $A$1, $A6, J$2)</f>
        <v/>
      </c>
      <c r="K6">
        <f>CurrAttrValue(D6, 0)</f>
        <v/>
      </c>
      <c r="L6">
        <f>CurrAttrValue(E6, 0)</f>
        <v/>
      </c>
      <c r="M6">
        <f>CurrAttrValue(H6, 0)</f>
        <v/>
      </c>
      <c r="N6">
        <f>CurrAttrValue(I6, 0)</f>
        <v/>
      </c>
      <c r="O6">
        <f>CurrAttrValue(J6, 0)</f>
        <v/>
      </c>
      <c r="P6" s="5">
        <f>"3"</f>
        <v/>
      </c>
      <c r="Q6" s="6">
        <f>"АОбс. От ТР: Аварийно-высокая Nвд  "</f>
        <v/>
      </c>
      <c r="R6" s="7">
        <f>IF(N6, S6, "")</f>
        <v/>
      </c>
      <c r="S6" s="7">
        <f>CurrAttrValue(C6, 0)</f>
        <v/>
      </c>
      <c r="T6" s="5">
        <f>IF(K6=-200, "д.вх.", K6)</f>
        <v/>
      </c>
      <c r="U6" s="5">
        <f>IF(L6=-200, "д.вх.", IF(N6, O6, L6))</f>
        <v/>
      </c>
      <c r="V6" s="5">
        <f>CurrAttrValue(G6, 0)</f>
        <v/>
      </c>
      <c r="W6" s="5">
        <f>IF(M6, "Блокирована", IF(N6, "Проверено", "-"))</f>
        <v/>
      </c>
    </row>
    <row r="7" ht="20" customHeight="1">
      <c r="A7">
        <f>"System.PZ.A003"</f>
        <v/>
      </c>
      <c r="B7">
        <f>CONCATENATE($A$2, $A$1, $A7, B$2)</f>
        <v/>
      </c>
      <c r="C7">
        <f>CONCATENATE($A$2, $A$1, $A7, C$2)</f>
        <v/>
      </c>
      <c r="D7">
        <f>CONCATENATE($A$2, $A$1, $A7, D$2)</f>
        <v/>
      </c>
      <c r="E7">
        <f>CONCATENATE($A$2, $A$1, $A7, E$2)</f>
        <v/>
      </c>
      <c r="F7">
        <f>CONCATENATE($A$2, $A$1, $A7, F$2)</f>
        <v/>
      </c>
      <c r="G7">
        <f>CONCATENATE($A$2, $A$1, $A7, G$2)</f>
        <v/>
      </c>
      <c r="H7">
        <f>CONCATENATE($A$2, $A$1, $A7, H$2)</f>
        <v/>
      </c>
      <c r="I7">
        <f>CONCATENATE($A$2, $A$1, $A7, I$2)</f>
        <v/>
      </c>
      <c r="J7">
        <f>CONCATENATE($A$2, $A$1, $A7, J$2)</f>
        <v/>
      </c>
      <c r="K7">
        <f>CurrAttrValue(D7, 0)</f>
        <v/>
      </c>
      <c r="L7">
        <f>CurrAttrValue(E7, 0)</f>
        <v/>
      </c>
      <c r="M7">
        <f>CurrAttrValue(H7, 0)</f>
        <v/>
      </c>
      <c r="N7">
        <f>CurrAttrValue(I7, 0)</f>
        <v/>
      </c>
      <c r="O7">
        <f>CurrAttrValue(J7, 0)</f>
        <v/>
      </c>
      <c r="P7" s="5">
        <f>"4"</f>
        <v/>
      </c>
      <c r="Q7" s="6">
        <f>"АОбс. От ТР: Отказ канала Nвд  "</f>
        <v/>
      </c>
      <c r="R7" s="7">
        <f>IF(N7, S7, "")</f>
        <v/>
      </c>
      <c r="S7" s="7">
        <f>CurrAttrValue(C7, 0)</f>
        <v/>
      </c>
      <c r="T7" s="5">
        <f>IF(K7=-200, "д.вх.", K7)</f>
        <v/>
      </c>
      <c r="U7" s="5">
        <f>IF(L7=-200, "д.вх.", IF(N7, O7, L7))</f>
        <v/>
      </c>
      <c r="V7" s="5">
        <f>CurrAttrValue(G7, 0)</f>
        <v/>
      </c>
      <c r="W7" s="5">
        <f>IF(M7, "Блокирована", IF(N7, "Проверено", "-"))</f>
        <v/>
      </c>
    </row>
    <row r="8" ht="20" customHeight="1">
      <c r="A8">
        <f>"System.PZ.A004"</f>
        <v/>
      </c>
      <c r="B8">
        <f>CONCATENATE($A$2, $A$1, $A8, B$2)</f>
        <v/>
      </c>
      <c r="C8">
        <f>CONCATENATE($A$2, $A$1, $A8, C$2)</f>
        <v/>
      </c>
      <c r="D8">
        <f>CONCATENATE($A$2, $A$1, $A8, D$2)</f>
        <v/>
      </c>
      <c r="E8">
        <f>CONCATENATE($A$2, $A$1, $A8, E$2)</f>
        <v/>
      </c>
      <c r="F8">
        <f>CONCATENATE($A$2, $A$1, $A8, F$2)</f>
        <v/>
      </c>
      <c r="G8">
        <f>CONCATENATE($A$2, $A$1, $A8, G$2)</f>
        <v/>
      </c>
      <c r="H8">
        <f>CONCATENATE($A$2, $A$1, $A8, H$2)</f>
        <v/>
      </c>
      <c r="I8">
        <f>CONCATENATE($A$2, $A$1, $A8, I$2)</f>
        <v/>
      </c>
      <c r="J8">
        <f>CONCATENATE($A$2, $A$1, $A8, J$2)</f>
        <v/>
      </c>
      <c r="K8">
        <f>CurrAttrValue(D8, 0)</f>
        <v/>
      </c>
      <c r="L8">
        <f>CurrAttrValue(E8, 0)</f>
        <v/>
      </c>
      <c r="M8">
        <f>CurrAttrValue(H8, 0)</f>
        <v/>
      </c>
      <c r="N8">
        <f>CurrAttrValue(I8, 0)</f>
        <v/>
      </c>
      <c r="O8">
        <f>CurrAttrValue(J8, 0)</f>
        <v/>
      </c>
      <c r="P8" s="5">
        <f>"5"</f>
        <v/>
      </c>
      <c r="Q8" s="6">
        <f>"АОбс. От ТР: Аварийно-высокая Nст  "</f>
        <v/>
      </c>
      <c r="R8" s="7">
        <f>IF(N8, S8, "")</f>
        <v/>
      </c>
      <c r="S8" s="7">
        <f>CurrAttrValue(C8, 0)</f>
        <v/>
      </c>
      <c r="T8" s="5">
        <f>IF(K8=-200, "д.вх.", K8)</f>
        <v/>
      </c>
      <c r="U8" s="5">
        <f>IF(L8=-200, "д.вх.", IF(N8, O8, L8))</f>
        <v/>
      </c>
      <c r="V8" s="5">
        <f>CurrAttrValue(G8, 0)</f>
        <v/>
      </c>
      <c r="W8" s="5">
        <f>IF(M8, "Блокирована", IF(N8, "Проверено", "-"))</f>
        <v/>
      </c>
    </row>
    <row r="9" ht="20" customHeight="1">
      <c r="A9">
        <f>"System.PZ.A005"</f>
        <v/>
      </c>
      <c r="B9">
        <f>CONCATENATE($A$2, $A$1, $A9, B$2)</f>
        <v/>
      </c>
      <c r="C9">
        <f>CONCATENATE($A$2, $A$1, $A9, C$2)</f>
        <v/>
      </c>
      <c r="D9">
        <f>CONCATENATE($A$2, $A$1, $A9, D$2)</f>
        <v/>
      </c>
      <c r="E9">
        <f>CONCATENATE($A$2, $A$1, $A9, E$2)</f>
        <v/>
      </c>
      <c r="F9">
        <f>CONCATENATE($A$2, $A$1, $A9, F$2)</f>
        <v/>
      </c>
      <c r="G9">
        <f>CONCATENATE($A$2, $A$1, $A9, G$2)</f>
        <v/>
      </c>
      <c r="H9">
        <f>CONCATENATE($A$2, $A$1, $A9, H$2)</f>
        <v/>
      </c>
      <c r="I9">
        <f>CONCATENATE($A$2, $A$1, $A9, I$2)</f>
        <v/>
      </c>
      <c r="J9">
        <f>CONCATENATE($A$2, $A$1, $A9, J$2)</f>
        <v/>
      </c>
      <c r="K9">
        <f>CurrAttrValue(D9, 0)</f>
        <v/>
      </c>
      <c r="L9">
        <f>CurrAttrValue(E9, 0)</f>
        <v/>
      </c>
      <c r="M9">
        <f>CurrAttrValue(H9, 0)</f>
        <v/>
      </c>
      <c r="N9">
        <f>CurrAttrValue(I9, 0)</f>
        <v/>
      </c>
      <c r="O9">
        <f>CurrAttrValue(J9, 0)</f>
        <v/>
      </c>
      <c r="P9" s="5">
        <f>"6"</f>
        <v/>
      </c>
      <c r="Q9" s="6">
        <f>"АОбс. От ТР: Отказ канала Nст  "</f>
        <v/>
      </c>
      <c r="R9" s="7">
        <f>IF(N9, S9, "")</f>
        <v/>
      </c>
      <c r="S9" s="7">
        <f>CurrAttrValue(C9, 0)</f>
        <v/>
      </c>
      <c r="T9" s="5">
        <f>IF(K9=-200, "д.вх.", K9)</f>
        <v/>
      </c>
      <c r="U9" s="5">
        <f>IF(L9=-200, "д.вх.", IF(N9, O9, L9))</f>
        <v/>
      </c>
      <c r="V9" s="5">
        <f>CurrAttrValue(G9, 0)</f>
        <v/>
      </c>
      <c r="W9" s="5">
        <f>IF(M9, "Блокирована", IF(N9, "Проверено", "-"))</f>
        <v/>
      </c>
    </row>
    <row r="10" ht="20" customHeight="1">
      <c r="A10">
        <f>"System.PZ.A006"</f>
        <v/>
      </c>
      <c r="B10">
        <f>CONCATENATE($A$2, $A$1, $A10, B$2)</f>
        <v/>
      </c>
      <c r="C10">
        <f>CONCATENATE($A$2, $A$1, $A10, C$2)</f>
        <v/>
      </c>
      <c r="D10">
        <f>CONCATENATE($A$2, $A$1, $A10, D$2)</f>
        <v/>
      </c>
      <c r="E10">
        <f>CONCATENATE($A$2, $A$1, $A10, E$2)</f>
        <v/>
      </c>
      <c r="F10">
        <f>CONCATENATE($A$2, $A$1, $A10, F$2)</f>
        <v/>
      </c>
      <c r="G10">
        <f>CONCATENATE($A$2, $A$1, $A10, G$2)</f>
        <v/>
      </c>
      <c r="H10">
        <f>CONCATENATE($A$2, $A$1, $A10, H$2)</f>
        <v/>
      </c>
      <c r="I10">
        <f>CONCATENATE($A$2, $A$1, $A10, I$2)</f>
        <v/>
      </c>
      <c r="J10">
        <f>CONCATENATE($A$2, $A$1, $A10, J$2)</f>
        <v/>
      </c>
      <c r="K10">
        <f>CurrAttrValue(D10, 0)</f>
        <v/>
      </c>
      <c r="L10">
        <f>CurrAttrValue(E10, 0)</f>
        <v/>
      </c>
      <c r="M10">
        <f>CurrAttrValue(H10, 0)</f>
        <v/>
      </c>
      <c r="N10">
        <f>CurrAttrValue(I10, 0)</f>
        <v/>
      </c>
      <c r="O10">
        <f>CurrAttrValue(J10, 0)</f>
        <v/>
      </c>
      <c r="P10" s="5">
        <f>"7"</f>
        <v/>
      </c>
      <c r="Q10" s="6">
        <f>"АОбс. От ТР: Аварийно-низкая Тг за ТНД  "</f>
        <v/>
      </c>
      <c r="R10" s="7">
        <f>IF(N10, S10, "")</f>
        <v/>
      </c>
      <c r="S10" s="7">
        <f>CurrAttrValue(C10, 0)</f>
        <v/>
      </c>
      <c r="T10" s="5">
        <f>IF(K10=-200, "д.вх.", K10)</f>
        <v/>
      </c>
      <c r="U10" s="5">
        <f>IF(L10=-200, "д.вх.", IF(N10, O10, L10))</f>
        <v/>
      </c>
      <c r="V10" s="5">
        <f>CurrAttrValue(G10, 0)</f>
        <v/>
      </c>
      <c r="W10" s="5">
        <f>IF(M10, "Блокирована", IF(N10, "Проверено", "-"))</f>
        <v/>
      </c>
    </row>
    <row r="11" ht="20" customHeight="1">
      <c r="A11">
        <f>"System.PZ.A007"</f>
        <v/>
      </c>
      <c r="B11">
        <f>CONCATENATE($A$2, $A$1, $A11, B$2)</f>
        <v/>
      </c>
      <c r="C11">
        <f>CONCATENATE($A$2, $A$1, $A11, C$2)</f>
        <v/>
      </c>
      <c r="D11">
        <f>CONCATENATE($A$2, $A$1, $A11, D$2)</f>
        <v/>
      </c>
      <c r="E11">
        <f>CONCATENATE($A$2, $A$1, $A11, E$2)</f>
        <v/>
      </c>
      <c r="F11">
        <f>CONCATENATE($A$2, $A$1, $A11, F$2)</f>
        <v/>
      </c>
      <c r="G11">
        <f>CONCATENATE($A$2, $A$1, $A11, G$2)</f>
        <v/>
      </c>
      <c r="H11">
        <f>CONCATENATE($A$2, $A$1, $A11, H$2)</f>
        <v/>
      </c>
      <c r="I11">
        <f>CONCATENATE($A$2, $A$1, $A11, I$2)</f>
        <v/>
      </c>
      <c r="J11">
        <f>CONCATENATE($A$2, $A$1, $A11, J$2)</f>
        <v/>
      </c>
      <c r="K11">
        <f>CurrAttrValue(D11, 0)</f>
        <v/>
      </c>
      <c r="L11">
        <f>CurrAttrValue(E11, 0)</f>
        <v/>
      </c>
      <c r="M11">
        <f>CurrAttrValue(H11, 0)</f>
        <v/>
      </c>
      <c r="N11">
        <f>CurrAttrValue(I11, 0)</f>
        <v/>
      </c>
      <c r="O11">
        <f>CurrAttrValue(J11, 0)</f>
        <v/>
      </c>
      <c r="P11" s="5">
        <f>"8"</f>
        <v/>
      </c>
      <c r="Q11" s="6">
        <f>"АОбс. От ТР: Аварийно-высокая Тг за ТНД  "</f>
        <v/>
      </c>
      <c r="R11" s="7">
        <f>IF(N11, S11, "")</f>
        <v/>
      </c>
      <c r="S11" s="7">
        <f>CurrAttrValue(C11, 0)</f>
        <v/>
      </c>
      <c r="T11" s="5">
        <f>IF(K11=-200, "д.вх.", K11)</f>
        <v/>
      </c>
      <c r="U11" s="5">
        <f>IF(L11=-200, "д.вх.", IF(N11, O11, L11))</f>
        <v/>
      </c>
      <c r="V11" s="5">
        <f>CurrAttrValue(G11, 0)</f>
        <v/>
      </c>
      <c r="W11" s="5">
        <f>IF(M11, "Блокирована", IF(N11, "Проверено", "-"))</f>
        <v/>
      </c>
    </row>
    <row r="12" ht="20" customHeight="1">
      <c r="A12">
        <f>"System.PZ.A008"</f>
        <v/>
      </c>
      <c r="B12">
        <f>CONCATENATE($A$2, $A$1, $A12, B$2)</f>
        <v/>
      </c>
      <c r="C12">
        <f>CONCATENATE($A$2, $A$1, $A12, C$2)</f>
        <v/>
      </c>
      <c r="D12">
        <f>CONCATENATE($A$2, $A$1, $A12, D$2)</f>
        <v/>
      </c>
      <c r="E12">
        <f>CONCATENATE($A$2, $A$1, $A12, E$2)</f>
        <v/>
      </c>
      <c r="F12">
        <f>CONCATENATE($A$2, $A$1, $A12, F$2)</f>
        <v/>
      </c>
      <c r="G12">
        <f>CONCATENATE($A$2, $A$1, $A12, G$2)</f>
        <v/>
      </c>
      <c r="H12">
        <f>CONCATENATE($A$2, $A$1, $A12, H$2)</f>
        <v/>
      </c>
      <c r="I12">
        <f>CONCATENATE($A$2, $A$1, $A12, I$2)</f>
        <v/>
      </c>
      <c r="J12">
        <f>CONCATENATE($A$2, $A$1, $A12, J$2)</f>
        <v/>
      </c>
      <c r="K12">
        <f>CurrAttrValue(D12, 0)</f>
        <v/>
      </c>
      <c r="L12">
        <f>CurrAttrValue(E12, 0)</f>
        <v/>
      </c>
      <c r="M12">
        <f>CurrAttrValue(H12, 0)</f>
        <v/>
      </c>
      <c r="N12">
        <f>CurrAttrValue(I12, 0)</f>
        <v/>
      </c>
      <c r="O12">
        <f>CurrAttrValue(J12, 0)</f>
        <v/>
      </c>
      <c r="P12" s="5">
        <f>"9"</f>
        <v/>
      </c>
      <c r="Q12" s="6">
        <f>"АОбс. От ТР: Отказ каналов Тг за ТНД  "</f>
        <v/>
      </c>
      <c r="R12" s="7">
        <f>IF(N12, S12, "")</f>
        <v/>
      </c>
      <c r="S12" s="7">
        <f>CurrAttrValue(C12, 0)</f>
        <v/>
      </c>
      <c r="T12" s="5">
        <f>IF(K12=-200, "д.вх.", K12)</f>
        <v/>
      </c>
      <c r="U12" s="5">
        <f>IF(L12=-200, "д.вх.", IF(N12, O12, L12))</f>
        <v/>
      </c>
      <c r="V12" s="5">
        <f>CurrAttrValue(G12, 0)</f>
        <v/>
      </c>
      <c r="W12" s="5">
        <f>IF(M12, "Блокирована", IF(N12, "Проверено", "-"))</f>
        <v/>
      </c>
    </row>
    <row r="13" ht="20" customHeight="1">
      <c r="A13">
        <f>"System.PZ.A009"</f>
        <v/>
      </c>
      <c r="B13">
        <f>CONCATENATE($A$2, $A$1, $A13, B$2)</f>
        <v/>
      </c>
      <c r="C13">
        <f>CONCATENATE($A$2, $A$1, $A13, C$2)</f>
        <v/>
      </c>
      <c r="D13">
        <f>CONCATENATE($A$2, $A$1, $A13, D$2)</f>
        <v/>
      </c>
      <c r="E13">
        <f>CONCATENATE($A$2, $A$1, $A13, E$2)</f>
        <v/>
      </c>
      <c r="F13">
        <f>CONCATENATE($A$2, $A$1, $A13, F$2)</f>
        <v/>
      </c>
      <c r="G13">
        <f>CONCATENATE($A$2, $A$1, $A13, G$2)</f>
        <v/>
      </c>
      <c r="H13">
        <f>CONCATENATE($A$2, $A$1, $A13, H$2)</f>
        <v/>
      </c>
      <c r="I13">
        <f>CONCATENATE($A$2, $A$1, $A13, I$2)</f>
        <v/>
      </c>
      <c r="J13">
        <f>CONCATENATE($A$2, $A$1, $A13, J$2)</f>
        <v/>
      </c>
      <c r="K13">
        <f>CurrAttrValue(D13, 0)</f>
        <v/>
      </c>
      <c r="L13">
        <f>CurrAttrValue(E13, 0)</f>
        <v/>
      </c>
      <c r="M13">
        <f>CurrAttrValue(H13, 0)</f>
        <v/>
      </c>
      <c r="N13">
        <f>CurrAttrValue(I13, 0)</f>
        <v/>
      </c>
      <c r="O13">
        <f>CurrAttrValue(J13, 0)</f>
        <v/>
      </c>
      <c r="P13" s="5">
        <f>"10"</f>
        <v/>
      </c>
      <c r="Q13" s="6">
        <f>"АОбс. От ТР: Отказ каналов Рв за КВД  "</f>
        <v/>
      </c>
      <c r="R13" s="7">
        <f>IF(N13, S13, "")</f>
        <v/>
      </c>
      <c r="S13" s="7">
        <f>CurrAttrValue(C13, 0)</f>
        <v/>
      </c>
      <c r="T13" s="5">
        <f>IF(K13=-200, "д.вх.", K13)</f>
        <v/>
      </c>
      <c r="U13" s="5">
        <f>IF(L13=-200, "д.вх.", IF(N13, O13, L13))</f>
        <v/>
      </c>
      <c r="V13" s="5">
        <f>CurrAttrValue(G13, 0)</f>
        <v/>
      </c>
      <c r="W13" s="5">
        <f>IF(M13, "Блокирована", IF(N13, "Проверено", "-"))</f>
        <v/>
      </c>
    </row>
    <row r="14" ht="20" customHeight="1">
      <c r="A14">
        <f>"System.PZ.A010"</f>
        <v/>
      </c>
      <c r="B14">
        <f>CONCATENATE($A$2, $A$1, $A14, B$2)</f>
        <v/>
      </c>
      <c r="C14">
        <f>CONCATENATE($A$2, $A$1, $A14, C$2)</f>
        <v/>
      </c>
      <c r="D14">
        <f>CONCATENATE($A$2, $A$1, $A14, D$2)</f>
        <v/>
      </c>
      <c r="E14">
        <f>CONCATENATE($A$2, $A$1, $A14, E$2)</f>
        <v/>
      </c>
      <c r="F14">
        <f>CONCATENATE($A$2, $A$1, $A14, F$2)</f>
        <v/>
      </c>
      <c r="G14">
        <f>CONCATENATE($A$2, $A$1, $A14, G$2)</f>
        <v/>
      </c>
      <c r="H14">
        <f>CONCATENATE($A$2, $A$1, $A14, H$2)</f>
        <v/>
      </c>
      <c r="I14">
        <f>CONCATENATE($A$2, $A$1, $A14, I$2)</f>
        <v/>
      </c>
      <c r="J14">
        <f>CONCATENATE($A$2, $A$1, $A14, J$2)</f>
        <v/>
      </c>
      <c r="K14">
        <f>CurrAttrValue(D14, 0)</f>
        <v/>
      </c>
      <c r="L14">
        <f>CurrAttrValue(E14, 0)</f>
        <v/>
      </c>
      <c r="M14">
        <f>CurrAttrValue(H14, 0)</f>
        <v/>
      </c>
      <c r="N14">
        <f>CurrAttrValue(I14, 0)</f>
        <v/>
      </c>
      <c r="O14">
        <f>CurrAttrValue(J14, 0)</f>
        <v/>
      </c>
      <c r="P14" s="5">
        <f>"11"</f>
        <v/>
      </c>
      <c r="Q14" s="6">
        <f>"АОбс. От ТР: Отказ управления НА КВД  "</f>
        <v/>
      </c>
      <c r="R14" s="7">
        <f>IF(N14, S14, "")</f>
        <v/>
      </c>
      <c r="S14" s="7">
        <f>CurrAttrValue(C14, 0)</f>
        <v/>
      </c>
      <c r="T14" s="5">
        <f>IF(K14=-200, "д.вх.", K14)</f>
        <v/>
      </c>
      <c r="U14" s="5">
        <f>IF(L14=-200, "д.вх.", IF(N14, O14, L14))</f>
        <v/>
      </c>
      <c r="V14" s="5">
        <f>CurrAttrValue(G14, 0)</f>
        <v/>
      </c>
      <c r="W14" s="5">
        <f>IF(M14, "Блокирована", IF(N14, "Проверено", "-"))</f>
        <v/>
      </c>
    </row>
    <row r="15" ht="20" customHeight="1">
      <c r="A15">
        <f>"System.PZ.A011"</f>
        <v/>
      </c>
      <c r="B15">
        <f>CONCATENATE($A$2, $A$1, $A15, B$2)</f>
        <v/>
      </c>
      <c r="C15">
        <f>CONCATENATE($A$2, $A$1, $A15, C$2)</f>
        <v/>
      </c>
      <c r="D15">
        <f>CONCATENATE($A$2, $A$1, $A15, D$2)</f>
        <v/>
      </c>
      <c r="E15">
        <f>CONCATENATE($A$2, $A$1, $A15, E$2)</f>
        <v/>
      </c>
      <c r="F15">
        <f>CONCATENATE($A$2, $A$1, $A15, F$2)</f>
        <v/>
      </c>
      <c r="G15">
        <f>CONCATENATE($A$2, $A$1, $A15, G$2)</f>
        <v/>
      </c>
      <c r="H15">
        <f>CONCATENATE($A$2, $A$1, $A15, H$2)</f>
        <v/>
      </c>
      <c r="I15">
        <f>CONCATENATE($A$2, $A$1, $A15, I$2)</f>
        <v/>
      </c>
      <c r="J15">
        <f>CONCATENATE($A$2, $A$1, $A15, J$2)</f>
        <v/>
      </c>
      <c r="K15">
        <f>CurrAttrValue(D15, 0)</f>
        <v/>
      </c>
      <c r="L15">
        <f>CurrAttrValue(E15, 0)</f>
        <v/>
      </c>
      <c r="M15">
        <f>CurrAttrValue(H15, 0)</f>
        <v/>
      </c>
      <c r="N15">
        <f>CurrAttrValue(I15, 0)</f>
        <v/>
      </c>
      <c r="O15">
        <f>CurrAttrValue(J15, 0)</f>
        <v/>
      </c>
      <c r="P15" s="5">
        <f>"12"</f>
        <v/>
      </c>
      <c r="Q15" s="6">
        <f>"АОбс. От ТР: Отказ управления КПВ  "</f>
        <v/>
      </c>
      <c r="R15" s="7">
        <f>IF(N15, S15, "")</f>
        <v/>
      </c>
      <c r="S15" s="7">
        <f>CurrAttrValue(C15, 0)</f>
        <v/>
      </c>
      <c r="T15" s="5">
        <f>IF(K15=-200, "д.вх.", K15)</f>
        <v/>
      </c>
      <c r="U15" s="5">
        <f>IF(L15=-200, "д.вх.", IF(N15, O15, L15))</f>
        <v/>
      </c>
      <c r="V15" s="5">
        <f>CurrAttrValue(G15, 0)</f>
        <v/>
      </c>
      <c r="W15" s="5">
        <f>IF(M15, "Блокирована", IF(N15, "Проверено", "-"))</f>
        <v/>
      </c>
    </row>
    <row r="16" ht="20" customHeight="1">
      <c r="A16">
        <f>"System.PZ.A012"</f>
        <v/>
      </c>
      <c r="B16">
        <f>CONCATENATE($A$2, $A$1, $A16, B$2)</f>
        <v/>
      </c>
      <c r="C16">
        <f>CONCATENATE($A$2, $A$1, $A16, C$2)</f>
        <v/>
      </c>
      <c r="D16">
        <f>CONCATENATE($A$2, $A$1, $A16, D$2)</f>
        <v/>
      </c>
      <c r="E16">
        <f>CONCATENATE($A$2, $A$1, $A16, E$2)</f>
        <v/>
      </c>
      <c r="F16">
        <f>CONCATENATE($A$2, $A$1, $A16, F$2)</f>
        <v/>
      </c>
      <c r="G16">
        <f>CONCATENATE($A$2, $A$1, $A16, G$2)</f>
        <v/>
      </c>
      <c r="H16">
        <f>CONCATENATE($A$2, $A$1, $A16, H$2)</f>
        <v/>
      </c>
      <c r="I16">
        <f>CONCATENATE($A$2, $A$1, $A16, I$2)</f>
        <v/>
      </c>
      <c r="J16">
        <f>CONCATENATE($A$2, $A$1, $A16, J$2)</f>
        <v/>
      </c>
      <c r="K16">
        <f>CurrAttrValue(D16, 0)</f>
        <v/>
      </c>
      <c r="L16">
        <f>CurrAttrValue(E16, 0)</f>
        <v/>
      </c>
      <c r="M16">
        <f>CurrAttrValue(H16, 0)</f>
        <v/>
      </c>
      <c r="N16">
        <f>CurrAttrValue(I16, 0)</f>
        <v/>
      </c>
      <c r="O16">
        <f>CurrAttrValue(J16, 0)</f>
        <v/>
      </c>
      <c r="P16" s="5">
        <f>"13"</f>
        <v/>
      </c>
      <c r="Q16" s="6">
        <f>"АОбс. От ТР: Отказ управления РВНА  "</f>
        <v/>
      </c>
      <c r="R16" s="7">
        <f>IF(N16, S16, "")</f>
        <v/>
      </c>
      <c r="S16" s="7">
        <f>CurrAttrValue(C16, 0)</f>
        <v/>
      </c>
      <c r="T16" s="5">
        <f>IF(K16=-200, "д.вх.", K16)</f>
        <v/>
      </c>
      <c r="U16" s="5">
        <f>IF(L16=-200, "д.вх.", IF(N16, O16, L16))</f>
        <v/>
      </c>
      <c r="V16" s="5">
        <f>CurrAttrValue(G16, 0)</f>
        <v/>
      </c>
      <c r="W16" s="5">
        <f>IF(M16, "Блокирована", IF(N16, "Проверено", "-"))</f>
        <v/>
      </c>
    </row>
    <row r="17" ht="20" customHeight="1">
      <c r="A17">
        <f>"System.PZ.A013"</f>
        <v/>
      </c>
      <c r="B17">
        <f>CONCATENATE($A$2, $A$1, $A17, B$2)</f>
        <v/>
      </c>
      <c r="C17">
        <f>CONCATENATE($A$2, $A$1, $A17, C$2)</f>
        <v/>
      </c>
      <c r="D17">
        <f>CONCATENATE($A$2, $A$1, $A17, D$2)</f>
        <v/>
      </c>
      <c r="E17">
        <f>CONCATENATE($A$2, $A$1, $A17, E$2)</f>
        <v/>
      </c>
      <c r="F17">
        <f>CONCATENATE($A$2, $A$1, $A17, F$2)</f>
        <v/>
      </c>
      <c r="G17">
        <f>CONCATENATE($A$2, $A$1, $A17, G$2)</f>
        <v/>
      </c>
      <c r="H17">
        <f>CONCATENATE($A$2, $A$1, $A17, H$2)</f>
        <v/>
      </c>
      <c r="I17">
        <f>CONCATENATE($A$2, $A$1, $A17, I$2)</f>
        <v/>
      </c>
      <c r="J17">
        <f>CONCATENATE($A$2, $A$1, $A17, J$2)</f>
        <v/>
      </c>
      <c r="K17">
        <f>CurrAttrValue(D17, 0)</f>
        <v/>
      </c>
      <c r="L17">
        <f>CurrAttrValue(E17, 0)</f>
        <v/>
      </c>
      <c r="M17">
        <f>CurrAttrValue(H17, 0)</f>
        <v/>
      </c>
      <c r="N17">
        <f>CurrAttrValue(I17, 0)</f>
        <v/>
      </c>
      <c r="O17">
        <f>CurrAttrValue(J17, 0)</f>
        <v/>
      </c>
      <c r="P17" s="5">
        <f>"14"</f>
        <v/>
      </c>
      <c r="Q17" s="6">
        <f>"АОбс. От ТР: Отказ управления ТРК №1  "</f>
        <v/>
      </c>
      <c r="R17" s="7">
        <f>IF(N17, S17, "")</f>
        <v/>
      </c>
      <c r="S17" s="7">
        <f>CurrAttrValue(C17, 0)</f>
        <v/>
      </c>
      <c r="T17" s="5">
        <f>IF(K17=-200, "д.вх.", K17)</f>
        <v/>
      </c>
      <c r="U17" s="5">
        <f>IF(L17=-200, "д.вх.", IF(N17, O17, L17))</f>
        <v/>
      </c>
      <c r="V17" s="5">
        <f>CurrAttrValue(G17, 0)</f>
        <v/>
      </c>
      <c r="W17" s="5">
        <f>IF(M17, "Блокирована", IF(N17, "Проверено", "-"))</f>
        <v/>
      </c>
    </row>
    <row r="18" ht="20" customHeight="1">
      <c r="A18">
        <f>"System.PZ.A014"</f>
        <v/>
      </c>
      <c r="B18">
        <f>CONCATENATE($A$2, $A$1, $A18, B$2)</f>
        <v/>
      </c>
      <c r="C18">
        <f>CONCATENATE($A$2, $A$1, $A18, C$2)</f>
        <v/>
      </c>
      <c r="D18">
        <f>CONCATENATE($A$2, $A$1, $A18, D$2)</f>
        <v/>
      </c>
      <c r="E18">
        <f>CONCATENATE($A$2, $A$1, $A18, E$2)</f>
        <v/>
      </c>
      <c r="F18">
        <f>CONCATENATE($A$2, $A$1, $A18, F$2)</f>
        <v/>
      </c>
      <c r="G18">
        <f>CONCATENATE($A$2, $A$1, $A18, G$2)</f>
        <v/>
      </c>
      <c r="H18">
        <f>CONCATENATE($A$2, $A$1, $A18, H$2)</f>
        <v/>
      </c>
      <c r="I18">
        <f>CONCATENATE($A$2, $A$1, $A18, I$2)</f>
        <v/>
      </c>
      <c r="J18">
        <f>CONCATENATE($A$2, $A$1, $A18, J$2)</f>
        <v/>
      </c>
      <c r="K18">
        <f>CurrAttrValue(D18, 0)</f>
        <v/>
      </c>
      <c r="L18">
        <f>CurrAttrValue(E18, 0)</f>
        <v/>
      </c>
      <c r="M18">
        <f>CurrAttrValue(H18, 0)</f>
        <v/>
      </c>
      <c r="N18">
        <f>CurrAttrValue(I18, 0)</f>
        <v/>
      </c>
      <c r="O18">
        <f>CurrAttrValue(J18, 0)</f>
        <v/>
      </c>
      <c r="P18" s="5">
        <f>"15"</f>
        <v/>
      </c>
      <c r="Q18" s="6">
        <f>"АОбс. От ТР: Отказ управления ТРК №2  "</f>
        <v/>
      </c>
      <c r="R18" s="7">
        <f>IF(N18, S18, "")</f>
        <v/>
      </c>
      <c r="S18" s="7">
        <f>CurrAttrValue(C18, 0)</f>
        <v/>
      </c>
      <c r="T18" s="5">
        <f>IF(K18=-200, "д.вх.", K18)</f>
        <v/>
      </c>
      <c r="U18" s="5">
        <f>IF(L18=-200, "д.вх.", IF(N18, O18, L18))</f>
        <v/>
      </c>
      <c r="V18" s="5">
        <f>CurrAttrValue(G18, 0)</f>
        <v/>
      </c>
      <c r="W18" s="5">
        <f>IF(M18, "Блокирована", IF(N18, "Проверено", "-"))</f>
        <v/>
      </c>
    </row>
    <row r="19" ht="20" customHeight="1">
      <c r="A19">
        <f>"System.PZ.A015"</f>
        <v/>
      </c>
      <c r="B19">
        <f>CONCATENATE($A$2, $A$1, $A19, B$2)</f>
        <v/>
      </c>
      <c r="C19">
        <f>CONCATENATE($A$2, $A$1, $A19, C$2)</f>
        <v/>
      </c>
      <c r="D19">
        <f>CONCATENATE($A$2, $A$1, $A19, D$2)</f>
        <v/>
      </c>
      <c r="E19">
        <f>CONCATENATE($A$2, $A$1, $A19, E$2)</f>
        <v/>
      </c>
      <c r="F19">
        <f>CONCATENATE($A$2, $A$1, $A19, F$2)</f>
        <v/>
      </c>
      <c r="G19">
        <f>CONCATENATE($A$2, $A$1, $A19, G$2)</f>
        <v/>
      </c>
      <c r="H19">
        <f>CONCATENATE($A$2, $A$1, $A19, H$2)</f>
        <v/>
      </c>
      <c r="I19">
        <f>CONCATENATE($A$2, $A$1, $A19, I$2)</f>
        <v/>
      </c>
      <c r="J19">
        <f>CONCATENATE($A$2, $A$1, $A19, J$2)</f>
        <v/>
      </c>
      <c r="K19">
        <f>CurrAttrValue(D19, 0)</f>
        <v/>
      </c>
      <c r="L19">
        <f>CurrAttrValue(E19, 0)</f>
        <v/>
      </c>
      <c r="M19">
        <f>CurrAttrValue(H19, 0)</f>
        <v/>
      </c>
      <c r="N19">
        <f>CurrAttrValue(I19, 0)</f>
        <v/>
      </c>
      <c r="O19">
        <f>CurrAttrValue(J19, 0)</f>
        <v/>
      </c>
      <c r="P19" s="5">
        <f>"16"</f>
        <v/>
      </c>
      <c r="Q19" s="6">
        <f>"АОбс. От ТР: Отказ управления ТРК №3  "</f>
        <v/>
      </c>
      <c r="R19" s="7">
        <f>IF(N19, S19, "")</f>
        <v/>
      </c>
      <c r="S19" s="7">
        <f>CurrAttrValue(C19, 0)</f>
        <v/>
      </c>
      <c r="T19" s="5">
        <f>IF(K19=-200, "д.вх.", K19)</f>
        <v/>
      </c>
      <c r="U19" s="5">
        <f>IF(L19=-200, "д.вх.", IF(N19, O19, L19))</f>
        <v/>
      </c>
      <c r="V19" s="5">
        <f>CurrAttrValue(G19, 0)</f>
        <v/>
      </c>
      <c r="W19" s="5">
        <f>IF(M19, "Блокирована", IF(N19, "Проверено", "-"))</f>
        <v/>
      </c>
    </row>
    <row r="20" ht="20" customHeight="1">
      <c r="A20">
        <f>"System.PZ.A016"</f>
        <v/>
      </c>
      <c r="B20">
        <f>CONCATENATE($A$2, $A$1, $A20, B$2)</f>
        <v/>
      </c>
      <c r="C20">
        <f>CONCATENATE($A$2, $A$1, $A20, C$2)</f>
        <v/>
      </c>
      <c r="D20">
        <f>CONCATENATE($A$2, $A$1, $A20, D$2)</f>
        <v/>
      </c>
      <c r="E20">
        <f>CONCATENATE($A$2, $A$1, $A20, E$2)</f>
        <v/>
      </c>
      <c r="F20">
        <f>CONCATENATE($A$2, $A$1, $A20, F$2)</f>
        <v/>
      </c>
      <c r="G20">
        <f>CONCATENATE($A$2, $A$1, $A20, G$2)</f>
        <v/>
      </c>
      <c r="H20">
        <f>CONCATENATE($A$2, $A$1, $A20, H$2)</f>
        <v/>
      </c>
      <c r="I20">
        <f>CONCATENATE($A$2, $A$1, $A20, I$2)</f>
        <v/>
      </c>
      <c r="J20">
        <f>CONCATENATE($A$2, $A$1, $A20, J$2)</f>
        <v/>
      </c>
      <c r="K20">
        <f>CurrAttrValue(D20, 0)</f>
        <v/>
      </c>
      <c r="L20">
        <f>CurrAttrValue(E20, 0)</f>
        <v/>
      </c>
      <c r="M20">
        <f>CurrAttrValue(H20, 0)</f>
        <v/>
      </c>
      <c r="N20">
        <f>CurrAttrValue(I20, 0)</f>
        <v/>
      </c>
      <c r="O20">
        <f>CurrAttrValue(J20, 0)</f>
        <v/>
      </c>
      <c r="P20" s="5">
        <f>"17"</f>
        <v/>
      </c>
      <c r="Q20" s="6">
        <f>"АОбс. От ТР: Отказ управления ТРК №1  "</f>
        <v/>
      </c>
      <c r="R20" s="7">
        <f>IF(N20, S20, "")</f>
        <v/>
      </c>
      <c r="S20" s="7">
        <f>CurrAttrValue(C20, 0)</f>
        <v/>
      </c>
      <c r="T20" s="5">
        <f>IF(K20=-200, "д.вх.", K20)</f>
        <v/>
      </c>
      <c r="U20" s="5">
        <f>IF(L20=-200, "д.вх.", IF(N20, O20, L20))</f>
        <v/>
      </c>
      <c r="V20" s="5">
        <f>CurrAttrValue(G20, 0)</f>
        <v/>
      </c>
      <c r="W20" s="5">
        <f>IF(M20, "Блокирована", IF(N20, "Проверено", "-"))</f>
        <v/>
      </c>
    </row>
    <row r="21" ht="20" customHeight="1">
      <c r="A21">
        <f>"System.PZ.A017"</f>
        <v/>
      </c>
      <c r="B21">
        <f>CONCATENATE($A$2, $A$1, $A21, B$2)</f>
        <v/>
      </c>
      <c r="C21">
        <f>CONCATENATE($A$2, $A$1, $A21, C$2)</f>
        <v/>
      </c>
      <c r="D21">
        <f>CONCATENATE($A$2, $A$1, $A21, D$2)</f>
        <v/>
      </c>
      <c r="E21">
        <f>CONCATENATE($A$2, $A$1, $A21, E$2)</f>
        <v/>
      </c>
      <c r="F21">
        <f>CONCATENATE($A$2, $A$1, $A21, F$2)</f>
        <v/>
      </c>
      <c r="G21">
        <f>CONCATENATE($A$2, $A$1, $A21, G$2)</f>
        <v/>
      </c>
      <c r="H21">
        <f>CONCATENATE($A$2, $A$1, $A21, H$2)</f>
        <v/>
      </c>
      <c r="I21">
        <f>CONCATENATE($A$2, $A$1, $A21, I$2)</f>
        <v/>
      </c>
      <c r="J21">
        <f>CONCATENATE($A$2, $A$1, $A21, J$2)</f>
        <v/>
      </c>
      <c r="K21">
        <f>CurrAttrValue(D21, 0)</f>
        <v/>
      </c>
      <c r="L21">
        <f>CurrAttrValue(E21, 0)</f>
        <v/>
      </c>
      <c r="M21">
        <f>CurrAttrValue(H21, 0)</f>
        <v/>
      </c>
      <c r="N21">
        <f>CurrAttrValue(I21, 0)</f>
        <v/>
      </c>
      <c r="O21">
        <f>CurrAttrValue(J21, 0)</f>
        <v/>
      </c>
      <c r="P21" s="5">
        <f>"18"</f>
        <v/>
      </c>
      <c r="Q21" s="6">
        <f>"АОбс. От ТР: Отказ управления ТРК №2  "</f>
        <v/>
      </c>
      <c r="R21" s="7">
        <f>IF(N21, S21, "")</f>
        <v/>
      </c>
      <c r="S21" s="7">
        <f>CurrAttrValue(C21, 0)</f>
        <v/>
      </c>
      <c r="T21" s="5">
        <f>IF(K21=-200, "д.вх.", K21)</f>
        <v/>
      </c>
      <c r="U21" s="5">
        <f>IF(L21=-200, "д.вх.", IF(N21, O21, L21))</f>
        <v/>
      </c>
      <c r="V21" s="5">
        <f>CurrAttrValue(G21, 0)</f>
        <v/>
      </c>
      <c r="W21" s="5">
        <f>IF(M21, "Блокирована", IF(N21, "Проверено", "-"))</f>
        <v/>
      </c>
    </row>
    <row r="22" ht="20" customHeight="1">
      <c r="A22">
        <f>"System.PZ.A018"</f>
        <v/>
      </c>
      <c r="B22">
        <f>CONCATENATE($A$2, $A$1, $A22, B$2)</f>
        <v/>
      </c>
      <c r="C22">
        <f>CONCATENATE($A$2, $A$1, $A22, C$2)</f>
        <v/>
      </c>
      <c r="D22">
        <f>CONCATENATE($A$2, $A$1, $A22, D$2)</f>
        <v/>
      </c>
      <c r="E22">
        <f>CONCATENATE($A$2, $A$1, $A22, E$2)</f>
        <v/>
      </c>
      <c r="F22">
        <f>CONCATENATE($A$2, $A$1, $A22, F$2)</f>
        <v/>
      </c>
      <c r="G22">
        <f>CONCATENATE($A$2, $A$1, $A22, G$2)</f>
        <v/>
      </c>
      <c r="H22">
        <f>CONCATENATE($A$2, $A$1, $A22, H$2)</f>
        <v/>
      </c>
      <c r="I22">
        <f>CONCATENATE($A$2, $A$1, $A22, I$2)</f>
        <v/>
      </c>
      <c r="J22">
        <f>CONCATENATE($A$2, $A$1, $A22, J$2)</f>
        <v/>
      </c>
      <c r="K22">
        <f>CurrAttrValue(D22, 0)</f>
        <v/>
      </c>
      <c r="L22">
        <f>CurrAttrValue(E22, 0)</f>
        <v/>
      </c>
      <c r="M22">
        <f>CurrAttrValue(H22, 0)</f>
        <v/>
      </c>
      <c r="N22">
        <f>CurrAttrValue(I22, 0)</f>
        <v/>
      </c>
      <c r="O22">
        <f>CurrAttrValue(J22, 0)</f>
        <v/>
      </c>
      <c r="P22" s="5">
        <f>"19"</f>
        <v/>
      </c>
      <c r="Q22" s="6">
        <f>"АОбс. От ТР: Отказ управления ТРК №3  "</f>
        <v/>
      </c>
      <c r="R22" s="7">
        <f>IF(N22, S22, "")</f>
        <v/>
      </c>
      <c r="S22" s="7">
        <f>CurrAttrValue(C22, 0)</f>
        <v/>
      </c>
      <c r="T22" s="5">
        <f>IF(K22=-200, "д.вх.", K22)</f>
        <v/>
      </c>
      <c r="U22" s="5">
        <f>IF(L22=-200, "д.вх.", IF(N22, O22, L22))</f>
        <v/>
      </c>
      <c r="V22" s="5">
        <f>CurrAttrValue(G22, 0)</f>
        <v/>
      </c>
      <c r="W22" s="5">
        <f>IF(M22, "Блокирована", IF(N22, "Проверено", "-"))</f>
        <v/>
      </c>
    </row>
    <row r="23" ht="20" customHeight="1">
      <c r="A23">
        <f>"System.PZ.A019"</f>
        <v/>
      </c>
      <c r="B23">
        <f>CONCATENATE($A$2, $A$1, $A23, B$2)</f>
        <v/>
      </c>
      <c r="C23">
        <f>CONCATENATE($A$2, $A$1, $A23, C$2)</f>
        <v/>
      </c>
      <c r="D23">
        <f>CONCATENATE($A$2, $A$1, $A23, D$2)</f>
        <v/>
      </c>
      <c r="E23">
        <f>CONCATENATE($A$2, $A$1, $A23, E$2)</f>
        <v/>
      </c>
      <c r="F23">
        <f>CONCATENATE($A$2, $A$1, $A23, F$2)</f>
        <v/>
      </c>
      <c r="G23">
        <f>CONCATENATE($A$2, $A$1, $A23, G$2)</f>
        <v/>
      </c>
      <c r="H23">
        <f>CONCATENATE($A$2, $A$1, $A23, H$2)</f>
        <v/>
      </c>
      <c r="I23">
        <f>CONCATENATE($A$2, $A$1, $A23, I$2)</f>
        <v/>
      </c>
      <c r="J23">
        <f>CONCATENATE($A$2, $A$1, $A23, J$2)</f>
        <v/>
      </c>
      <c r="K23">
        <f>CurrAttrValue(D23, 0)</f>
        <v/>
      </c>
      <c r="L23">
        <f>CurrAttrValue(E23, 0)</f>
        <v/>
      </c>
      <c r="M23">
        <f>CurrAttrValue(H23, 0)</f>
        <v/>
      </c>
      <c r="N23">
        <f>CurrAttrValue(I23, 0)</f>
        <v/>
      </c>
      <c r="O23">
        <f>CurrAttrValue(J23, 0)</f>
        <v/>
      </c>
      <c r="P23" s="5">
        <f>"20"</f>
        <v/>
      </c>
      <c r="Q23" s="6">
        <f>"АОбс. От ТР: Нет розжига  "</f>
        <v/>
      </c>
      <c r="R23" s="7">
        <f>IF(N23, S23, "")</f>
        <v/>
      </c>
      <c r="S23" s="7">
        <f>CurrAttrValue(C23, 0)</f>
        <v/>
      </c>
      <c r="T23" s="5">
        <f>IF(K23=-200, "д.вх.", K23)</f>
        <v/>
      </c>
      <c r="U23" s="5">
        <f>IF(L23=-200, "д.вх.", IF(N23, O23, L23))</f>
        <v/>
      </c>
      <c r="V23" s="5">
        <f>CurrAttrValue(G23, 0)</f>
        <v/>
      </c>
      <c r="W23" s="5">
        <f>IF(M23, "Блокирована", IF(N23, "Проверено", "-"))</f>
        <v/>
      </c>
    </row>
    <row r="24" ht="20" customHeight="1">
      <c r="A24">
        <f>"System.PZ.A020"</f>
        <v/>
      </c>
      <c r="B24">
        <f>CONCATENATE($A$2, $A$1, $A24, B$2)</f>
        <v/>
      </c>
      <c r="C24">
        <f>CONCATENATE($A$2, $A$1, $A24, C$2)</f>
        <v/>
      </c>
      <c r="D24">
        <f>CONCATENATE($A$2, $A$1, $A24, D$2)</f>
        <v/>
      </c>
      <c r="E24">
        <f>CONCATENATE($A$2, $A$1, $A24, E$2)</f>
        <v/>
      </c>
      <c r="F24">
        <f>CONCATENATE($A$2, $A$1, $A24, F$2)</f>
        <v/>
      </c>
      <c r="G24">
        <f>CONCATENATE($A$2, $A$1, $A24, G$2)</f>
        <v/>
      </c>
      <c r="H24">
        <f>CONCATENATE($A$2, $A$1, $A24, H$2)</f>
        <v/>
      </c>
      <c r="I24">
        <f>CONCATENATE($A$2, $A$1, $A24, I$2)</f>
        <v/>
      </c>
      <c r="J24">
        <f>CONCATENATE($A$2, $A$1, $A24, J$2)</f>
        <v/>
      </c>
      <c r="K24">
        <f>CurrAttrValue(D24, 0)</f>
        <v/>
      </c>
      <c r="L24">
        <f>CurrAttrValue(E24, 0)</f>
        <v/>
      </c>
      <c r="M24">
        <f>CurrAttrValue(H24, 0)</f>
        <v/>
      </c>
      <c r="N24">
        <f>CurrAttrValue(I24, 0)</f>
        <v/>
      </c>
      <c r="O24">
        <f>CurrAttrValue(J24, 0)</f>
        <v/>
      </c>
      <c r="P24" s="5">
        <f>"21"</f>
        <v/>
      </c>
      <c r="Q24" s="6">
        <f>"АОбс. От ТР: Погасание факела  "</f>
        <v/>
      </c>
      <c r="R24" s="7">
        <f>IF(N24, S24, "")</f>
        <v/>
      </c>
      <c r="S24" s="7">
        <f>CurrAttrValue(C24, 0)</f>
        <v/>
      </c>
      <c r="T24" s="5">
        <f>IF(K24=-200, "д.вх.", K24)</f>
        <v/>
      </c>
      <c r="U24" s="5">
        <f>IF(L24=-200, "д.вх.", IF(N24, O24, L24))</f>
        <v/>
      </c>
      <c r="V24" s="5">
        <f>CurrAttrValue(G24, 0)</f>
        <v/>
      </c>
      <c r="W24" s="5">
        <f>IF(M24, "Блокирована", IF(N24, "Проверено", "-"))</f>
        <v/>
      </c>
    </row>
    <row r="25" ht="20" customHeight="1">
      <c r="A25">
        <f>"System.PZ.A021"</f>
        <v/>
      </c>
      <c r="B25">
        <f>CONCATENATE($A$2, $A$1, $A25, B$2)</f>
        <v/>
      </c>
      <c r="C25">
        <f>CONCATENATE($A$2, $A$1, $A25, C$2)</f>
        <v/>
      </c>
      <c r="D25">
        <f>CONCATENATE($A$2, $A$1, $A25, D$2)</f>
        <v/>
      </c>
      <c r="E25">
        <f>CONCATENATE($A$2, $A$1, $A25, E$2)</f>
        <v/>
      </c>
      <c r="F25">
        <f>CONCATENATE($A$2, $A$1, $A25, F$2)</f>
        <v/>
      </c>
      <c r="G25">
        <f>CONCATENATE($A$2, $A$1, $A25, G$2)</f>
        <v/>
      </c>
      <c r="H25">
        <f>CONCATENATE($A$2, $A$1, $A25, H$2)</f>
        <v/>
      </c>
      <c r="I25">
        <f>CONCATENATE($A$2, $A$1, $A25, I$2)</f>
        <v/>
      </c>
      <c r="J25">
        <f>CONCATENATE($A$2, $A$1, $A25, J$2)</f>
        <v/>
      </c>
      <c r="K25">
        <f>CurrAttrValue(D25, 0)</f>
        <v/>
      </c>
      <c r="L25">
        <f>CurrAttrValue(E25, 0)</f>
        <v/>
      </c>
      <c r="M25">
        <f>CurrAttrValue(H25, 0)</f>
        <v/>
      </c>
      <c r="N25">
        <f>CurrAttrValue(I25, 0)</f>
        <v/>
      </c>
      <c r="O25">
        <f>CurrAttrValue(J25, 0)</f>
        <v/>
      </c>
      <c r="P25" s="5">
        <f>"22"</f>
        <v/>
      </c>
      <c r="Q25" s="6">
        <f>"АОбс. От ТР: Помпаж  "</f>
        <v/>
      </c>
      <c r="R25" s="7">
        <f>IF(N25, S25, "")</f>
        <v/>
      </c>
      <c r="S25" s="7">
        <f>CurrAttrValue(C25, 0)</f>
        <v/>
      </c>
      <c r="T25" s="5">
        <f>IF(K25=-200, "д.вх.", K25)</f>
        <v/>
      </c>
      <c r="U25" s="5">
        <f>IF(L25=-200, "д.вх.", IF(N25, O25, L25))</f>
        <v/>
      </c>
      <c r="V25" s="5">
        <f>CurrAttrValue(G25, 0)</f>
        <v/>
      </c>
      <c r="W25" s="5">
        <f>IF(M25, "Блокирована", IF(N25, "Проверено", "-"))</f>
        <v/>
      </c>
    </row>
    <row r="26" ht="20" customHeight="1">
      <c r="A26">
        <f>"System.PZ.A022"</f>
        <v/>
      </c>
      <c r="B26">
        <f>CONCATENATE($A$2, $A$1, $A26, B$2)</f>
        <v/>
      </c>
      <c r="C26">
        <f>CONCATENATE($A$2, $A$1, $A26, C$2)</f>
        <v/>
      </c>
      <c r="D26">
        <f>CONCATENATE($A$2, $A$1, $A26, D$2)</f>
        <v/>
      </c>
      <c r="E26">
        <f>CONCATENATE($A$2, $A$1, $A26, E$2)</f>
        <v/>
      </c>
      <c r="F26">
        <f>CONCATENATE($A$2, $A$1, $A26, F$2)</f>
        <v/>
      </c>
      <c r="G26">
        <f>CONCATENATE($A$2, $A$1, $A26, G$2)</f>
        <v/>
      </c>
      <c r="H26">
        <f>CONCATENATE($A$2, $A$1, $A26, H$2)</f>
        <v/>
      </c>
      <c r="I26">
        <f>CONCATENATE($A$2, $A$1, $A26, I$2)</f>
        <v/>
      </c>
      <c r="J26">
        <f>CONCATENATE($A$2, $A$1, $A26, J$2)</f>
        <v/>
      </c>
      <c r="K26">
        <f>CurrAttrValue(D26, 0)</f>
        <v/>
      </c>
      <c r="L26">
        <f>CurrAttrValue(E26, 0)</f>
        <v/>
      </c>
      <c r="M26">
        <f>CurrAttrValue(H26, 0)</f>
        <v/>
      </c>
      <c r="N26">
        <f>CurrAttrValue(I26, 0)</f>
        <v/>
      </c>
      <c r="O26">
        <f>CurrAttrValue(J26, 0)</f>
        <v/>
      </c>
      <c r="P26" s="5">
        <f>"23"</f>
        <v/>
      </c>
      <c r="Q26" s="6">
        <f>"АОбс. От ТР: Обобщенный АО от ТР  "</f>
        <v/>
      </c>
      <c r="R26" s="7">
        <f>IF(N26, S26, "")</f>
        <v/>
      </c>
      <c r="S26" s="7">
        <f>CurrAttrValue(C26, 0)</f>
        <v/>
      </c>
      <c r="T26" s="5">
        <f>IF(K26=-200, "д.вх.", K26)</f>
        <v/>
      </c>
      <c r="U26" s="5">
        <f>IF(L26=-200, "д.вх.", IF(N26, O26, L26))</f>
        <v/>
      </c>
      <c r="V26" s="5">
        <f>CurrAttrValue(G26, 0)</f>
        <v/>
      </c>
      <c r="W26" s="5">
        <f>IF(M26, "Блокирована", IF(N26, "Проверено", "-"))</f>
        <v/>
      </c>
    </row>
    <row r="27" ht="20" customHeight="1">
      <c r="A27">
        <f>"System.PZ.A023"</f>
        <v/>
      </c>
      <c r="B27">
        <f>CONCATENATE($A$2, $A$1, $A27, B$2)</f>
        <v/>
      </c>
      <c r="C27">
        <f>CONCATENATE($A$2, $A$1, $A27, C$2)</f>
        <v/>
      </c>
      <c r="D27">
        <f>CONCATENATE($A$2, $A$1, $A27, D$2)</f>
        <v/>
      </c>
      <c r="E27">
        <f>CONCATENATE($A$2, $A$1, $A27, E$2)</f>
        <v/>
      </c>
      <c r="F27">
        <f>CONCATENATE($A$2, $A$1, $A27, F$2)</f>
        <v/>
      </c>
      <c r="G27">
        <f>CONCATENATE($A$2, $A$1, $A27, G$2)</f>
        <v/>
      </c>
      <c r="H27">
        <f>CONCATENATE($A$2, $A$1, $A27, H$2)</f>
        <v/>
      </c>
      <c r="I27">
        <f>CONCATENATE($A$2, $A$1, $A27, I$2)</f>
        <v/>
      </c>
      <c r="J27">
        <f>CONCATENATE($A$2, $A$1, $A27, J$2)</f>
        <v/>
      </c>
      <c r="K27">
        <f>CurrAttrValue(D27, 0)</f>
        <v/>
      </c>
      <c r="L27">
        <f>CurrAttrValue(E27, 0)</f>
        <v/>
      </c>
      <c r="M27">
        <f>CurrAttrValue(H27, 0)</f>
        <v/>
      </c>
      <c r="N27">
        <f>CurrAttrValue(I27, 0)</f>
        <v/>
      </c>
      <c r="O27">
        <f>CurrAttrValue(J27, 0)</f>
        <v/>
      </c>
      <c r="P27" s="5">
        <f>"24"</f>
        <v/>
      </c>
      <c r="Q27" s="6">
        <f>"АОбс. Низкая частота вращения ротора ВД на запуске  "</f>
        <v/>
      </c>
      <c r="R27" s="7">
        <f>IF(N27, S27, "")</f>
        <v/>
      </c>
      <c r="S27" s="7">
        <f>CurrAttrValue(C27, 0)</f>
        <v/>
      </c>
      <c r="T27" s="5">
        <f>IF(K27=-200, "д.вх.", K27)</f>
        <v/>
      </c>
      <c r="U27" s="5">
        <f>IF(L27=-200, "д.вх.", IF(N27, O27, L27))</f>
        <v/>
      </c>
      <c r="V27" s="5">
        <f>CurrAttrValue(G27, 0)</f>
        <v/>
      </c>
      <c r="W27" s="5">
        <f>IF(M27, "Блокирована", IF(N27, "Проверено", "-"))</f>
        <v/>
      </c>
    </row>
    <row r="28" ht="20" customHeight="1">
      <c r="A28">
        <f>"System.PZ.A024"</f>
        <v/>
      </c>
      <c r="B28">
        <f>CONCATENATE($A$2, $A$1, $A28, B$2)</f>
        <v/>
      </c>
      <c r="C28">
        <f>CONCATENATE($A$2, $A$1, $A28, C$2)</f>
        <v/>
      </c>
      <c r="D28">
        <f>CONCATENATE($A$2, $A$1, $A28, D$2)</f>
        <v/>
      </c>
      <c r="E28">
        <f>CONCATENATE($A$2, $A$1, $A28, E$2)</f>
        <v/>
      </c>
      <c r="F28">
        <f>CONCATENATE($A$2, $A$1, $A28, F$2)</f>
        <v/>
      </c>
      <c r="G28">
        <f>CONCATENATE($A$2, $A$1, $A28, G$2)</f>
        <v/>
      </c>
      <c r="H28">
        <f>CONCATENATE($A$2, $A$1, $A28, H$2)</f>
        <v/>
      </c>
      <c r="I28">
        <f>CONCATENATE($A$2, $A$1, $A28, I$2)</f>
        <v/>
      </c>
      <c r="J28">
        <f>CONCATENATE($A$2, $A$1, $A28, J$2)</f>
        <v/>
      </c>
      <c r="K28">
        <f>CurrAttrValue(D28, 0)</f>
        <v/>
      </c>
      <c r="L28">
        <f>CurrAttrValue(E28, 0)</f>
        <v/>
      </c>
      <c r="M28">
        <f>CurrAttrValue(H28, 0)</f>
        <v/>
      </c>
      <c r="N28">
        <f>CurrAttrValue(I28, 0)</f>
        <v/>
      </c>
      <c r="O28">
        <f>CurrAttrValue(J28, 0)</f>
        <v/>
      </c>
      <c r="P28" s="5">
        <f>"25"</f>
        <v/>
      </c>
      <c r="Q28" s="6">
        <f>"АОбс. Аварийно-высокая вибрация промежуточного корпуса ГГ  "</f>
        <v/>
      </c>
      <c r="R28" s="7">
        <f>IF(N28, S28, "")</f>
        <v/>
      </c>
      <c r="S28" s="7">
        <f>CurrAttrValue(C28, 0)</f>
        <v/>
      </c>
      <c r="T28" s="5">
        <f>IF(K28=-200, "д.вх.", K28)</f>
        <v/>
      </c>
      <c r="U28" s="5">
        <f>IF(L28=-200, "д.вх.", IF(N28, O28, L28))</f>
        <v/>
      </c>
      <c r="V28" s="5">
        <f>CurrAttrValue(G28, 0)</f>
        <v/>
      </c>
      <c r="W28" s="5">
        <f>IF(M28, "Блокирована", IF(N28, "Проверено", "-"))</f>
        <v/>
      </c>
    </row>
    <row r="29" ht="20" customHeight="1">
      <c r="A29">
        <f>"System.PZ.A025"</f>
        <v/>
      </c>
      <c r="B29">
        <f>CONCATENATE($A$2, $A$1, $A29, B$2)</f>
        <v/>
      </c>
      <c r="C29">
        <f>CONCATENATE($A$2, $A$1, $A29, C$2)</f>
        <v/>
      </c>
      <c r="D29">
        <f>CONCATENATE($A$2, $A$1, $A29, D$2)</f>
        <v/>
      </c>
      <c r="E29">
        <f>CONCATENATE($A$2, $A$1, $A29, E$2)</f>
        <v/>
      </c>
      <c r="F29">
        <f>CONCATENATE($A$2, $A$1, $A29, F$2)</f>
        <v/>
      </c>
      <c r="G29">
        <f>CONCATENATE($A$2, $A$1, $A29, G$2)</f>
        <v/>
      </c>
      <c r="H29">
        <f>CONCATENATE($A$2, $A$1, $A29, H$2)</f>
        <v/>
      </c>
      <c r="I29">
        <f>CONCATENATE($A$2, $A$1, $A29, I$2)</f>
        <v/>
      </c>
      <c r="J29">
        <f>CONCATENATE($A$2, $A$1, $A29, J$2)</f>
        <v/>
      </c>
      <c r="K29">
        <f>CurrAttrValue(D29, 0)</f>
        <v/>
      </c>
      <c r="L29">
        <f>CurrAttrValue(E29, 0)</f>
        <v/>
      </c>
      <c r="M29">
        <f>CurrAttrValue(H29, 0)</f>
        <v/>
      </c>
      <c r="N29">
        <f>CurrAttrValue(I29, 0)</f>
        <v/>
      </c>
      <c r="O29">
        <f>CurrAttrValue(J29, 0)</f>
        <v/>
      </c>
      <c r="P29" s="5">
        <f>"26"</f>
        <v/>
      </c>
      <c r="Q29" s="6">
        <f>"АОбс. Аварийно-высокая вибрация корпуса СТ  "</f>
        <v/>
      </c>
      <c r="R29" s="7">
        <f>IF(N29, S29, "")</f>
        <v/>
      </c>
      <c r="S29" s="7">
        <f>CurrAttrValue(C29, 0)</f>
        <v/>
      </c>
      <c r="T29" s="5">
        <f>IF(K29=-200, "д.вх.", K29)</f>
        <v/>
      </c>
      <c r="U29" s="5">
        <f>IF(L29=-200, "д.вх.", IF(N29, O29, L29))</f>
        <v/>
      </c>
      <c r="V29" s="5">
        <f>CurrAttrValue(G29, 0)</f>
        <v/>
      </c>
      <c r="W29" s="5">
        <f>IF(M29, "Блокирована", IF(N29, "Проверено", "-"))</f>
        <v/>
      </c>
    </row>
    <row r="32" ht="35" customHeight="1">
      <c r="Q32" s="8">
        <f>"должность"</f>
        <v/>
      </c>
      <c r="R32" s="9" t="n"/>
      <c r="S32" s="8">
        <f>"ФИО"</f>
        <v/>
      </c>
      <c r="T32" s="9" t="n"/>
      <c r="U32" s="8">
        <f>"подпись"</f>
        <v/>
      </c>
    </row>
    <row r="33" ht="35" customHeight="1">
      <c r="Q33" s="8">
        <f>"должность"</f>
        <v/>
      </c>
      <c r="R33" s="9" t="n"/>
      <c r="S33" s="8">
        <f>"ФИО"</f>
        <v/>
      </c>
      <c r="T33" s="9" t="n"/>
      <c r="U33" s="8">
        <f>"подпись"</f>
        <v/>
      </c>
    </row>
    <row r="34" ht="35" customHeight="1">
      <c r="Q34" s="8">
        <f>"должность"</f>
        <v/>
      </c>
      <c r="R34" s="9" t="n"/>
      <c r="S34" s="8">
        <f>"ФИО"</f>
        <v/>
      </c>
      <c r="T34" s="9" t="n"/>
      <c r="U34" s="8">
        <f>"подпись"</f>
        <v/>
      </c>
    </row>
    <row r="36" ht="25" customHeight="1">
      <c r="Q36" s="1">
        <f>"Протокол проверки защит ГПА №6 на "</f>
        <v/>
      </c>
      <c r="R36" s="2">
        <f>R1</f>
        <v/>
      </c>
      <c r="S36" s="3">
        <f>S1</f>
        <v/>
      </c>
    </row>
    <row r="38" ht="20" customHeight="1">
      <c r="P38" s="4">
        <f>"№"</f>
        <v/>
      </c>
      <c r="Q38" s="4">
        <f>"Наименование защиты  "</f>
        <v/>
      </c>
      <c r="R38" s="4">
        <f>"Таймер"</f>
        <v/>
      </c>
      <c r="S38" s="4">
        <f>"Задержка"</f>
        <v/>
      </c>
      <c r="T38" s="4">
        <f>"Уставка"</f>
        <v/>
      </c>
      <c r="U38" s="4">
        <f>"Значение"</f>
        <v/>
      </c>
      <c r="V38" s="4">
        <f>"Eд.изм"</f>
        <v/>
      </c>
      <c r="W38" s="4">
        <f>"Отметка о проверке"</f>
        <v/>
      </c>
    </row>
    <row r="39" ht="20" customHeight="1">
      <c r="A39">
        <f>"System.PZ.A026"</f>
        <v/>
      </c>
      <c r="B39">
        <f>CONCATENATE($A$2, $A$1, $A39, B$2)</f>
        <v/>
      </c>
      <c r="C39">
        <f>CONCATENATE($A$2, $A$1, $A39, C$2)</f>
        <v/>
      </c>
      <c r="D39">
        <f>CONCATENATE($A$2, $A$1, $A39, D$2)</f>
        <v/>
      </c>
      <c r="E39">
        <f>CONCATENATE($A$2, $A$1, $A39, E$2)</f>
        <v/>
      </c>
      <c r="F39">
        <f>CONCATENATE($A$2, $A$1, $A39, F$2)</f>
        <v/>
      </c>
      <c r="G39">
        <f>CONCATENATE($A$2, $A$1, $A39, G$2)</f>
        <v/>
      </c>
      <c r="H39">
        <f>CONCATENATE($A$2, $A$1, $A39, H$2)</f>
        <v/>
      </c>
      <c r="I39">
        <f>CONCATENATE($A$2, $A$1, $A39, I$2)</f>
        <v/>
      </c>
      <c r="J39">
        <f>CONCATENATE($A$2, $A$1, $A39, J$2)</f>
        <v/>
      </c>
      <c r="K39">
        <f>CurrAttrValue(D39, 0)</f>
        <v/>
      </c>
      <c r="L39">
        <f>CurrAttrValue(E39, 0)</f>
        <v/>
      </c>
      <c r="M39">
        <f>CurrAttrValue(H39, 0)</f>
        <v/>
      </c>
      <c r="N39">
        <f>CurrAttrValue(I39, 0)</f>
        <v/>
      </c>
      <c r="O39">
        <f>CurrAttrValue(J39, 0)</f>
        <v/>
      </c>
      <c r="P39" s="5">
        <f>"27"</f>
        <v/>
      </c>
      <c r="Q39" s="6">
        <f>"АОбс. Отказ топливного регулирующего клапана  "</f>
        <v/>
      </c>
      <c r="R39" s="7">
        <f>IF(N39, S39, "")</f>
        <v/>
      </c>
      <c r="S39" s="7">
        <f>CurrAttrValue(C39, 0)</f>
        <v/>
      </c>
      <c r="T39" s="5">
        <f>IF(K39=-200, "д.вх.", K39)</f>
        <v/>
      </c>
      <c r="U39" s="5">
        <f>IF(L39=-200, "д.вх.", IF(N39, O39, L39))</f>
        <v/>
      </c>
      <c r="V39" s="5">
        <f>CurrAttrValue(G39, 0)</f>
        <v/>
      </c>
      <c r="W39" s="5">
        <f>IF(M39, "Блокирована", IF(N39, "Проверено", "-"))</f>
        <v/>
      </c>
    </row>
    <row r="40" ht="20" customHeight="1">
      <c r="A40">
        <f>"System.PZ.A027"</f>
        <v/>
      </c>
      <c r="B40">
        <f>CONCATENATE($A$2, $A$1, $A40, B$2)</f>
        <v/>
      </c>
      <c r="C40">
        <f>CONCATENATE($A$2, $A$1, $A40, C$2)</f>
        <v/>
      </c>
      <c r="D40">
        <f>CONCATENATE($A$2, $A$1, $A40, D$2)</f>
        <v/>
      </c>
      <c r="E40">
        <f>CONCATENATE($A$2, $A$1, $A40, E$2)</f>
        <v/>
      </c>
      <c r="F40">
        <f>CONCATENATE($A$2, $A$1, $A40, F$2)</f>
        <v/>
      </c>
      <c r="G40">
        <f>CONCATENATE($A$2, $A$1, $A40, G$2)</f>
        <v/>
      </c>
      <c r="H40">
        <f>CONCATENATE($A$2, $A$1, $A40, H$2)</f>
        <v/>
      </c>
      <c r="I40">
        <f>CONCATENATE($A$2, $A$1, $A40, I$2)</f>
        <v/>
      </c>
      <c r="J40">
        <f>CONCATENATE($A$2, $A$1, $A40, J$2)</f>
        <v/>
      </c>
      <c r="K40">
        <f>CurrAttrValue(D40, 0)</f>
        <v/>
      </c>
      <c r="L40">
        <f>CurrAttrValue(E40, 0)</f>
        <v/>
      </c>
      <c r="M40">
        <f>CurrAttrValue(H40, 0)</f>
        <v/>
      </c>
      <c r="N40">
        <f>CurrAttrValue(I40, 0)</f>
        <v/>
      </c>
      <c r="O40">
        <f>CurrAttrValue(J40, 0)</f>
        <v/>
      </c>
      <c r="P40" s="5">
        <f>"28"</f>
        <v/>
      </c>
      <c r="Q40" s="6">
        <f>"АОбс. Аварийно-высокая Т слива масла из опоры турбины  "</f>
        <v/>
      </c>
      <c r="R40" s="7">
        <f>IF(N40, S40, "")</f>
        <v/>
      </c>
      <c r="S40" s="7">
        <f>CurrAttrValue(C40, 0)</f>
        <v/>
      </c>
      <c r="T40" s="5">
        <f>IF(K40=-200, "д.вх.", K40)</f>
        <v/>
      </c>
      <c r="U40" s="5">
        <f>IF(L40=-200, "д.вх.", IF(N40, O40, L40))</f>
        <v/>
      </c>
      <c r="V40" s="5">
        <f>CurrAttrValue(G40, 0)</f>
        <v/>
      </c>
      <c r="W40" s="5">
        <f>IF(M40, "Блокирована", IF(N40, "Проверено", "-"))</f>
        <v/>
      </c>
    </row>
    <row r="41" ht="20" customHeight="1">
      <c r="A41">
        <f>"System.PZ.A028"</f>
        <v/>
      </c>
      <c r="B41">
        <f>CONCATENATE($A$2, $A$1, $A41, B$2)</f>
        <v/>
      </c>
      <c r="C41">
        <f>CONCATENATE($A$2, $A$1, $A41, C$2)</f>
        <v/>
      </c>
      <c r="D41">
        <f>CONCATENATE($A$2, $A$1, $A41, D$2)</f>
        <v/>
      </c>
      <c r="E41">
        <f>CONCATENATE($A$2, $A$1, $A41, E$2)</f>
        <v/>
      </c>
      <c r="F41">
        <f>CONCATENATE($A$2, $A$1, $A41, F$2)</f>
        <v/>
      </c>
      <c r="G41">
        <f>CONCATENATE($A$2, $A$1, $A41, G$2)</f>
        <v/>
      </c>
      <c r="H41">
        <f>CONCATENATE($A$2, $A$1, $A41, H$2)</f>
        <v/>
      </c>
      <c r="I41">
        <f>CONCATENATE($A$2, $A$1, $A41, I$2)</f>
        <v/>
      </c>
      <c r="J41">
        <f>CONCATENATE($A$2, $A$1, $A41, J$2)</f>
        <v/>
      </c>
      <c r="K41">
        <f>CurrAttrValue(D41, 0)</f>
        <v/>
      </c>
      <c r="L41">
        <f>CurrAttrValue(E41, 0)</f>
        <v/>
      </c>
      <c r="M41">
        <f>CurrAttrValue(H41, 0)</f>
        <v/>
      </c>
      <c r="N41">
        <f>CurrAttrValue(I41, 0)</f>
        <v/>
      </c>
      <c r="O41">
        <f>CurrAttrValue(J41, 0)</f>
        <v/>
      </c>
      <c r="P41" s="5">
        <f>"29"</f>
        <v/>
      </c>
      <c r="Q41" s="6">
        <f>"АОбс. Р масла САУ перед Ф18 тонкой очистки низкое на запуске  "</f>
        <v/>
      </c>
      <c r="R41" s="7">
        <f>IF(N41, S41, "")</f>
        <v/>
      </c>
      <c r="S41" s="7">
        <f>CurrAttrValue(C41, 0)</f>
        <v/>
      </c>
      <c r="T41" s="5">
        <f>IF(K41=-200, "д.вх.", K41)</f>
        <v/>
      </c>
      <c r="U41" s="5">
        <f>IF(L41=-200, "д.вх.", IF(N41, O41, L41))</f>
        <v/>
      </c>
      <c r="V41" s="5">
        <f>CurrAttrValue(G41, 0)</f>
        <v/>
      </c>
      <c r="W41" s="5">
        <f>IF(M41, "Блокирована", IF(N41, "Проверено", "-"))</f>
        <v/>
      </c>
    </row>
    <row r="42" ht="20" customHeight="1">
      <c r="A42">
        <f>"System.PZ.A029"</f>
        <v/>
      </c>
      <c r="B42">
        <f>CONCATENATE($A$2, $A$1, $A42, B$2)</f>
        <v/>
      </c>
      <c r="C42">
        <f>CONCATENATE($A$2, $A$1, $A42, C$2)</f>
        <v/>
      </c>
      <c r="D42">
        <f>CONCATENATE($A$2, $A$1, $A42, D$2)</f>
        <v/>
      </c>
      <c r="E42">
        <f>CONCATENATE($A$2, $A$1, $A42, E$2)</f>
        <v/>
      </c>
      <c r="F42">
        <f>CONCATENATE($A$2, $A$1, $A42, F$2)</f>
        <v/>
      </c>
      <c r="G42">
        <f>CONCATENATE($A$2, $A$1, $A42, G$2)</f>
        <v/>
      </c>
      <c r="H42">
        <f>CONCATENATE($A$2, $A$1, $A42, H$2)</f>
        <v/>
      </c>
      <c r="I42">
        <f>CONCATENATE($A$2, $A$1, $A42, I$2)</f>
        <v/>
      </c>
      <c r="J42">
        <f>CONCATENATE($A$2, $A$1, $A42, J$2)</f>
        <v/>
      </c>
      <c r="K42">
        <f>CurrAttrValue(D42, 0)</f>
        <v/>
      </c>
      <c r="L42">
        <f>CurrAttrValue(E42, 0)</f>
        <v/>
      </c>
      <c r="M42">
        <f>CurrAttrValue(H42, 0)</f>
        <v/>
      </c>
      <c r="N42">
        <f>CurrAttrValue(I42, 0)</f>
        <v/>
      </c>
      <c r="O42">
        <f>CurrAttrValue(J42, 0)</f>
        <v/>
      </c>
      <c r="P42" s="5">
        <f>"30"</f>
        <v/>
      </c>
      <c r="Q42" s="6">
        <f>"АОбс. Р масла САУ за Ф18 тонкой очистки низкое на запуске  "</f>
        <v/>
      </c>
      <c r="R42" s="7">
        <f>IF(N42, S42, "")</f>
        <v/>
      </c>
      <c r="S42" s="7">
        <f>CurrAttrValue(C42, 0)</f>
        <v/>
      </c>
      <c r="T42" s="5">
        <f>IF(K42=-200, "д.вх.", K42)</f>
        <v/>
      </c>
      <c r="U42" s="5">
        <f>IF(L42=-200, "д.вх.", IF(N42, O42, L42))</f>
        <v/>
      </c>
      <c r="V42" s="5">
        <f>CurrAttrValue(G42, 0)</f>
        <v/>
      </c>
      <c r="W42" s="5">
        <f>IF(M42, "Блокирована", IF(N42, "Проверено", "-"))</f>
        <v/>
      </c>
    </row>
    <row r="43" ht="20" customHeight="1">
      <c r="A43">
        <f>"System.PZ.A030"</f>
        <v/>
      </c>
      <c r="B43">
        <f>CONCATENATE($A$2, $A$1, $A43, B$2)</f>
        <v/>
      </c>
      <c r="C43">
        <f>CONCATENATE($A$2, $A$1, $A43, C$2)</f>
        <v/>
      </c>
      <c r="D43">
        <f>CONCATENATE($A$2, $A$1, $A43, D$2)</f>
        <v/>
      </c>
      <c r="E43">
        <f>CONCATENATE($A$2, $A$1, $A43, E$2)</f>
        <v/>
      </c>
      <c r="F43">
        <f>CONCATENATE($A$2, $A$1, $A43, F$2)</f>
        <v/>
      </c>
      <c r="G43">
        <f>CONCATENATE($A$2, $A$1, $A43, G$2)</f>
        <v/>
      </c>
      <c r="H43">
        <f>CONCATENATE($A$2, $A$1, $A43, H$2)</f>
        <v/>
      </c>
      <c r="I43">
        <f>CONCATENATE($A$2, $A$1, $A43, I$2)</f>
        <v/>
      </c>
      <c r="J43">
        <f>CONCATENATE($A$2, $A$1, $A43, J$2)</f>
        <v/>
      </c>
      <c r="K43">
        <f>CurrAttrValue(D43, 0)</f>
        <v/>
      </c>
      <c r="L43">
        <f>CurrAttrValue(E43, 0)</f>
        <v/>
      </c>
      <c r="M43">
        <f>CurrAttrValue(H43, 0)</f>
        <v/>
      </c>
      <c r="N43">
        <f>CurrAttrValue(I43, 0)</f>
        <v/>
      </c>
      <c r="O43">
        <f>CurrAttrValue(J43, 0)</f>
        <v/>
      </c>
      <c r="P43" s="5">
        <f>"31"</f>
        <v/>
      </c>
      <c r="Q43" s="6">
        <f>"АОбс. Аварийно-низкое Р масла САУ РмСАУ1 и РмСАУ2  "</f>
        <v/>
      </c>
      <c r="R43" s="7">
        <f>IF(N43, S43, "")</f>
        <v/>
      </c>
      <c r="S43" s="7">
        <f>CurrAttrValue(C43, 0)</f>
        <v/>
      </c>
      <c r="T43" s="5">
        <f>IF(K43=-200, "д.вх.", K43)</f>
        <v/>
      </c>
      <c r="U43" s="5">
        <f>IF(L43=-200, "д.вх.", IF(N43, O43, L43))</f>
        <v/>
      </c>
      <c r="V43" s="5">
        <f>CurrAttrValue(G43, 0)</f>
        <v/>
      </c>
      <c r="W43" s="5">
        <f>IF(M43, "Блокирована", IF(N43, "Проверено", "-"))</f>
        <v/>
      </c>
    </row>
    <row r="44" ht="20" customHeight="1">
      <c r="A44">
        <f>"System.PZ.A031"</f>
        <v/>
      </c>
      <c r="B44">
        <f>CONCATENATE($A$2, $A$1, $A44, B$2)</f>
        <v/>
      </c>
      <c r="C44">
        <f>CONCATENATE($A$2, $A$1, $A44, C$2)</f>
        <v/>
      </c>
      <c r="D44">
        <f>CONCATENATE($A$2, $A$1, $A44, D$2)</f>
        <v/>
      </c>
      <c r="E44">
        <f>CONCATENATE($A$2, $A$1, $A44, E$2)</f>
        <v/>
      </c>
      <c r="F44">
        <f>CONCATENATE($A$2, $A$1, $A44, F$2)</f>
        <v/>
      </c>
      <c r="G44">
        <f>CONCATENATE($A$2, $A$1, $A44, G$2)</f>
        <v/>
      </c>
      <c r="H44">
        <f>CONCATENATE($A$2, $A$1, $A44, H$2)</f>
        <v/>
      </c>
      <c r="I44">
        <f>CONCATENATE($A$2, $A$1, $A44, I$2)</f>
        <v/>
      </c>
      <c r="J44">
        <f>CONCATENATE($A$2, $A$1, $A44, J$2)</f>
        <v/>
      </c>
      <c r="K44">
        <f>CurrAttrValue(D44, 0)</f>
        <v/>
      </c>
      <c r="L44">
        <f>CurrAttrValue(E44, 0)</f>
        <v/>
      </c>
      <c r="M44">
        <f>CurrAttrValue(H44, 0)</f>
        <v/>
      </c>
      <c r="N44">
        <f>CurrAttrValue(I44, 0)</f>
        <v/>
      </c>
      <c r="O44">
        <f>CurrAttrValue(J44, 0)</f>
        <v/>
      </c>
      <c r="P44" s="5">
        <f>"32"</f>
        <v/>
      </c>
      <c r="Q44" s="6">
        <f>"АОбс. Аварийно высокий dP на Ф18 тонкой очистки. Уход на МГ  "</f>
        <v/>
      </c>
      <c r="R44" s="7">
        <f>IF(N44, S44, "")</f>
        <v/>
      </c>
      <c r="S44" s="7">
        <f>CurrAttrValue(C44, 0)</f>
        <v/>
      </c>
      <c r="T44" s="5">
        <f>IF(K44=-200, "д.вх.", K44)</f>
        <v/>
      </c>
      <c r="U44" s="5">
        <f>IF(L44=-200, "д.вх.", IF(N44, O44, L44))</f>
        <v/>
      </c>
      <c r="V44" s="5">
        <f>CurrAttrValue(G44, 0)</f>
        <v/>
      </c>
      <c r="W44" s="5">
        <f>IF(M44, "Блокирована", IF(N44, "Проверено", "-"))</f>
        <v/>
      </c>
    </row>
    <row r="45" ht="20" customHeight="1">
      <c r="A45">
        <f>"System.PZ.A032"</f>
        <v/>
      </c>
      <c r="B45">
        <f>CONCATENATE($A$2, $A$1, $A45, B$2)</f>
        <v/>
      </c>
      <c r="C45">
        <f>CONCATENATE($A$2, $A$1, $A45, C$2)</f>
        <v/>
      </c>
      <c r="D45">
        <f>CONCATENATE($A$2, $A$1, $A45, D$2)</f>
        <v/>
      </c>
      <c r="E45">
        <f>CONCATENATE($A$2, $A$1, $A45, E$2)</f>
        <v/>
      </c>
      <c r="F45">
        <f>CONCATENATE($A$2, $A$1, $A45, F$2)</f>
        <v/>
      </c>
      <c r="G45">
        <f>CONCATENATE($A$2, $A$1, $A45, G$2)</f>
        <v/>
      </c>
      <c r="H45">
        <f>CONCATENATE($A$2, $A$1, $A45, H$2)</f>
        <v/>
      </c>
      <c r="I45">
        <f>CONCATENATE($A$2, $A$1, $A45, I$2)</f>
        <v/>
      </c>
      <c r="J45">
        <f>CONCATENATE($A$2, $A$1, $A45, J$2)</f>
        <v/>
      </c>
      <c r="K45">
        <f>CurrAttrValue(D45, 0)</f>
        <v/>
      </c>
      <c r="L45">
        <f>CurrAttrValue(E45, 0)</f>
        <v/>
      </c>
      <c r="M45">
        <f>CurrAttrValue(H45, 0)</f>
        <v/>
      </c>
      <c r="N45">
        <f>CurrAttrValue(I45, 0)</f>
        <v/>
      </c>
      <c r="O45">
        <f>CurrAttrValue(J45, 0)</f>
        <v/>
      </c>
      <c r="P45" s="5">
        <f>"33"</f>
        <v/>
      </c>
      <c r="Q45" s="6">
        <f>"АОбс. РЧТиН электростартера неисправен  "</f>
        <v/>
      </c>
      <c r="R45" s="7">
        <f>IF(N45, S45, "")</f>
        <v/>
      </c>
      <c r="S45" s="7">
        <f>CurrAttrValue(C45, 0)</f>
        <v/>
      </c>
      <c r="T45" s="5">
        <f>IF(K45=-200, "д.вх.", K45)</f>
        <v/>
      </c>
      <c r="U45" s="5">
        <f>IF(L45=-200, "д.вх.", IF(N45, O45, L45))</f>
        <v/>
      </c>
      <c r="V45" s="5">
        <f>CurrAttrValue(G45, 0)</f>
        <v/>
      </c>
      <c r="W45" s="5">
        <f>IF(M45, "Блокирована", IF(N45, "Проверено", "-"))</f>
        <v/>
      </c>
    </row>
    <row r="46" ht="20" customHeight="1">
      <c r="A46">
        <f>"System.PZ.A033"</f>
        <v/>
      </c>
      <c r="B46">
        <f>CONCATENATE($A$2, $A$1, $A46, B$2)</f>
        <v/>
      </c>
      <c r="C46">
        <f>CONCATENATE($A$2, $A$1, $A46, C$2)</f>
        <v/>
      </c>
      <c r="D46">
        <f>CONCATENATE($A$2, $A$1, $A46, D$2)</f>
        <v/>
      </c>
      <c r="E46">
        <f>CONCATENATE($A$2, $A$1, $A46, E$2)</f>
        <v/>
      </c>
      <c r="F46">
        <f>CONCATENATE($A$2, $A$1, $A46, F$2)</f>
        <v/>
      </c>
      <c r="G46">
        <f>CONCATENATE($A$2, $A$1, $A46, G$2)</f>
        <v/>
      </c>
      <c r="H46">
        <f>CONCATENATE($A$2, $A$1, $A46, H$2)</f>
        <v/>
      </c>
      <c r="I46">
        <f>CONCATENATE($A$2, $A$1, $A46, I$2)</f>
        <v/>
      </c>
      <c r="J46">
        <f>CONCATENATE($A$2, $A$1, $A46, J$2)</f>
        <v/>
      </c>
      <c r="K46">
        <f>CurrAttrValue(D46, 0)</f>
        <v/>
      </c>
      <c r="L46">
        <f>CurrAttrValue(E46, 0)</f>
        <v/>
      </c>
      <c r="M46">
        <f>CurrAttrValue(H46, 0)</f>
        <v/>
      </c>
      <c r="N46">
        <f>CurrAttrValue(I46, 0)</f>
        <v/>
      </c>
      <c r="O46">
        <f>CurrAttrValue(J46, 0)</f>
        <v/>
      </c>
      <c r="P46" s="5">
        <f>"34"</f>
        <v/>
      </c>
      <c r="Q46" s="6">
        <f>"АОбс. Высокое Р топливного газа перед СК на запуске  "</f>
        <v/>
      </c>
      <c r="R46" s="7">
        <f>IF(N46, S46, "")</f>
        <v/>
      </c>
      <c r="S46" s="7">
        <f>CurrAttrValue(C46, 0)</f>
        <v/>
      </c>
      <c r="T46" s="5">
        <f>IF(K46=-200, "д.вх.", K46)</f>
        <v/>
      </c>
      <c r="U46" s="5">
        <f>IF(L46=-200, "д.вх.", IF(N46, O46, L46))</f>
        <v/>
      </c>
      <c r="V46" s="5">
        <f>CurrAttrValue(G46, 0)</f>
        <v/>
      </c>
      <c r="W46" s="5">
        <f>IF(M46, "Блокирована", IF(N46, "Проверено", "-"))</f>
        <v/>
      </c>
    </row>
    <row r="47" ht="20" customHeight="1">
      <c r="A47">
        <f>"System.PZ.A034"</f>
        <v/>
      </c>
      <c r="B47">
        <f>CONCATENATE($A$2, $A$1, $A47, B$2)</f>
        <v/>
      </c>
      <c r="C47">
        <f>CONCATENATE($A$2, $A$1, $A47, C$2)</f>
        <v/>
      </c>
      <c r="D47">
        <f>CONCATENATE($A$2, $A$1, $A47, D$2)</f>
        <v/>
      </c>
      <c r="E47">
        <f>CONCATENATE($A$2, $A$1, $A47, E$2)</f>
        <v/>
      </c>
      <c r="F47">
        <f>CONCATENATE($A$2, $A$1, $A47, F$2)</f>
        <v/>
      </c>
      <c r="G47">
        <f>CONCATENATE($A$2, $A$1, $A47, G$2)</f>
        <v/>
      </c>
      <c r="H47">
        <f>CONCATENATE($A$2, $A$1, $A47, H$2)</f>
        <v/>
      </c>
      <c r="I47">
        <f>CONCATENATE($A$2, $A$1, $A47, I$2)</f>
        <v/>
      </c>
      <c r="J47">
        <f>CONCATENATE($A$2, $A$1, $A47, J$2)</f>
        <v/>
      </c>
      <c r="K47">
        <f>CurrAttrValue(D47, 0)</f>
        <v/>
      </c>
      <c r="L47">
        <f>CurrAttrValue(E47, 0)</f>
        <v/>
      </c>
      <c r="M47">
        <f>CurrAttrValue(H47, 0)</f>
        <v/>
      </c>
      <c r="N47">
        <f>CurrAttrValue(I47, 0)</f>
        <v/>
      </c>
      <c r="O47">
        <f>CurrAttrValue(J47, 0)</f>
        <v/>
      </c>
      <c r="P47" s="5">
        <f>"35"</f>
        <v/>
      </c>
      <c r="Q47" s="6">
        <f>"АОбс. Высокое Р топливного газа перед СК  "</f>
        <v/>
      </c>
      <c r="R47" s="7">
        <f>IF(N47, S47, "")</f>
        <v/>
      </c>
      <c r="S47" s="7">
        <f>CurrAttrValue(C47, 0)</f>
        <v/>
      </c>
      <c r="T47" s="5">
        <f>IF(K47=-200, "д.вх.", K47)</f>
        <v/>
      </c>
      <c r="U47" s="5">
        <f>IF(L47=-200, "д.вх.", IF(N47, O47, L47))</f>
        <v/>
      </c>
      <c r="V47" s="5">
        <f>CurrAttrValue(G47, 0)</f>
        <v/>
      </c>
      <c r="W47" s="5">
        <f>IF(M47, "Блокирована", IF(N47, "Проверено", "-"))</f>
        <v/>
      </c>
    </row>
    <row r="48" ht="20" customHeight="1">
      <c r="A48">
        <f>"System.PZ.A035"</f>
        <v/>
      </c>
      <c r="B48">
        <f>CONCATENATE($A$2, $A$1, $A48, B$2)</f>
        <v/>
      </c>
      <c r="C48">
        <f>CONCATENATE($A$2, $A$1, $A48, C$2)</f>
        <v/>
      </c>
      <c r="D48">
        <f>CONCATENATE($A$2, $A$1, $A48, D$2)</f>
        <v/>
      </c>
      <c r="E48">
        <f>CONCATENATE($A$2, $A$1, $A48, E$2)</f>
        <v/>
      </c>
      <c r="F48">
        <f>CONCATENATE($A$2, $A$1, $A48, F$2)</f>
        <v/>
      </c>
      <c r="G48">
        <f>CONCATENATE($A$2, $A$1, $A48, G$2)</f>
        <v/>
      </c>
      <c r="H48">
        <f>CONCATENATE($A$2, $A$1, $A48, H$2)</f>
        <v/>
      </c>
      <c r="I48">
        <f>CONCATENATE($A$2, $A$1, $A48, I$2)</f>
        <v/>
      </c>
      <c r="J48">
        <f>CONCATENATE($A$2, $A$1, $A48, J$2)</f>
        <v/>
      </c>
      <c r="K48">
        <f>CurrAttrValue(D48, 0)</f>
        <v/>
      </c>
      <c r="L48">
        <f>CurrAttrValue(E48, 0)</f>
        <v/>
      </c>
      <c r="M48">
        <f>CurrAttrValue(H48, 0)</f>
        <v/>
      </c>
      <c r="N48">
        <f>CurrAttrValue(I48, 0)</f>
        <v/>
      </c>
      <c r="O48">
        <f>CurrAttrValue(J48, 0)</f>
        <v/>
      </c>
      <c r="P48" s="5">
        <f>"36"</f>
        <v/>
      </c>
      <c r="Q48" s="6">
        <f>"АОбс. Cамопроизвольное закрытие СК  "</f>
        <v/>
      </c>
      <c r="R48" s="7">
        <f>IF(N48, S48, "")</f>
        <v/>
      </c>
      <c r="S48" s="7">
        <f>CurrAttrValue(C48, 0)</f>
        <v/>
      </c>
      <c r="T48" s="5">
        <f>IF(K48=-200, "д.вх.", K48)</f>
        <v/>
      </c>
      <c r="U48" s="5">
        <f>IF(L48=-200, "д.вх.", IF(N48, O48, L48))</f>
        <v/>
      </c>
      <c r="V48" s="5">
        <f>CurrAttrValue(G48, 0)</f>
        <v/>
      </c>
      <c r="W48" s="5">
        <f>IF(M48, "Блокирована", IF(N48, "Проверено", "-"))</f>
        <v/>
      </c>
    </row>
    <row r="49" ht="20" customHeight="1">
      <c r="A49">
        <f>"System.PZ.A036"</f>
        <v/>
      </c>
      <c r="B49">
        <f>CONCATENATE($A$2, $A$1, $A49, B$2)</f>
        <v/>
      </c>
      <c r="C49">
        <f>CONCATENATE($A$2, $A$1, $A49, C$2)</f>
        <v/>
      </c>
      <c r="D49">
        <f>CONCATENATE($A$2, $A$1, $A49, D$2)</f>
        <v/>
      </c>
      <c r="E49">
        <f>CONCATENATE($A$2, $A$1, $A49, E$2)</f>
        <v/>
      </c>
      <c r="F49">
        <f>CONCATENATE($A$2, $A$1, $A49, F$2)</f>
        <v/>
      </c>
      <c r="G49">
        <f>CONCATENATE($A$2, $A$1, $A49, G$2)</f>
        <v/>
      </c>
      <c r="H49">
        <f>CONCATENATE($A$2, $A$1, $A49, H$2)</f>
        <v/>
      </c>
      <c r="I49">
        <f>CONCATENATE($A$2, $A$1, $A49, I$2)</f>
        <v/>
      </c>
      <c r="J49">
        <f>CONCATENATE($A$2, $A$1, $A49, J$2)</f>
        <v/>
      </c>
      <c r="K49">
        <f>CurrAttrValue(D49, 0)</f>
        <v/>
      </c>
      <c r="L49">
        <f>CurrAttrValue(E49, 0)</f>
        <v/>
      </c>
      <c r="M49">
        <f>CurrAttrValue(H49, 0)</f>
        <v/>
      </c>
      <c r="N49">
        <f>CurrAttrValue(I49, 0)</f>
        <v/>
      </c>
      <c r="O49">
        <f>CurrAttrValue(J49, 0)</f>
        <v/>
      </c>
      <c r="P49" s="5">
        <f>"37"</f>
        <v/>
      </c>
      <c r="Q49" s="6">
        <f>"АОсс. Высокая Т газа на выходе ЦБК  "</f>
        <v/>
      </c>
      <c r="R49" s="7">
        <f>IF(N49, S49, "")</f>
        <v/>
      </c>
      <c r="S49" s="7">
        <f>CurrAttrValue(C49, 0)</f>
        <v/>
      </c>
      <c r="T49" s="5">
        <f>IF(K49=-200, "д.вх.", K49)</f>
        <v/>
      </c>
      <c r="U49" s="5">
        <f>IF(L49=-200, "д.вх.", IF(N49, O49, L49))</f>
        <v/>
      </c>
      <c r="V49" s="5">
        <f>CurrAttrValue(G49, 0)</f>
        <v/>
      </c>
      <c r="W49" s="5">
        <f>IF(M49, "Блокирована", IF(N49, "Проверено", "-"))</f>
        <v/>
      </c>
    </row>
    <row r="50" ht="20" customHeight="1">
      <c r="A50">
        <f>"System.PZ.A037"</f>
        <v/>
      </c>
      <c r="B50">
        <f>CONCATENATE($A$2, $A$1, $A50, B$2)</f>
        <v/>
      </c>
      <c r="C50">
        <f>CONCATENATE($A$2, $A$1, $A50, C$2)</f>
        <v/>
      </c>
      <c r="D50">
        <f>CONCATENATE($A$2, $A$1, $A50, D$2)</f>
        <v/>
      </c>
      <c r="E50">
        <f>CONCATENATE($A$2, $A$1, $A50, E$2)</f>
        <v/>
      </c>
      <c r="F50">
        <f>CONCATENATE($A$2, $A$1, $A50, F$2)</f>
        <v/>
      </c>
      <c r="G50">
        <f>CONCATENATE($A$2, $A$1, $A50, G$2)</f>
        <v/>
      </c>
      <c r="H50">
        <f>CONCATENATE($A$2, $A$1, $A50, H$2)</f>
        <v/>
      </c>
      <c r="I50">
        <f>CONCATENATE($A$2, $A$1, $A50, I$2)</f>
        <v/>
      </c>
      <c r="J50">
        <f>CONCATENATE($A$2, $A$1, $A50, J$2)</f>
        <v/>
      </c>
      <c r="K50">
        <f>CurrAttrValue(D50, 0)</f>
        <v/>
      </c>
      <c r="L50">
        <f>CurrAttrValue(E50, 0)</f>
        <v/>
      </c>
      <c r="M50">
        <f>CurrAttrValue(H50, 0)</f>
        <v/>
      </c>
      <c r="N50">
        <f>CurrAttrValue(I50, 0)</f>
        <v/>
      </c>
      <c r="O50">
        <f>CurrAttrValue(J50, 0)</f>
        <v/>
      </c>
      <c r="P50" s="5">
        <f>"38"</f>
        <v/>
      </c>
      <c r="Q50" s="6">
        <f>"АОсс. Высокое Р газа на выходе ЦБК  "</f>
        <v/>
      </c>
      <c r="R50" s="7">
        <f>IF(N50, S50, "")</f>
        <v/>
      </c>
      <c r="S50" s="7">
        <f>CurrAttrValue(C50, 0)</f>
        <v/>
      </c>
      <c r="T50" s="5">
        <f>IF(K50=-200, "д.вх.", K50)</f>
        <v/>
      </c>
      <c r="U50" s="5">
        <f>IF(L50=-200, "д.вх.", IF(N50, O50, L50))</f>
        <v/>
      </c>
      <c r="V50" s="5">
        <f>CurrAttrValue(G50, 0)</f>
        <v/>
      </c>
      <c r="W50" s="5">
        <f>IF(M50, "Блокирована", IF(N50, "Проверено", "-"))</f>
        <v/>
      </c>
    </row>
    <row r="51" ht="20" customHeight="1">
      <c r="A51">
        <f>"System.PZ.A038"</f>
        <v/>
      </c>
      <c r="B51">
        <f>CONCATENATE($A$2, $A$1, $A51, B$2)</f>
        <v/>
      </c>
      <c r="C51">
        <f>CONCATENATE($A$2, $A$1, $A51, C$2)</f>
        <v/>
      </c>
      <c r="D51">
        <f>CONCATENATE($A$2, $A$1, $A51, D$2)</f>
        <v/>
      </c>
      <c r="E51">
        <f>CONCATENATE($A$2, $A$1, $A51, E$2)</f>
        <v/>
      </c>
      <c r="F51">
        <f>CONCATENATE($A$2, $A$1, $A51, F$2)</f>
        <v/>
      </c>
      <c r="G51">
        <f>CONCATENATE($A$2, $A$1, $A51, G$2)</f>
        <v/>
      </c>
      <c r="H51">
        <f>CONCATENATE($A$2, $A$1, $A51, H$2)</f>
        <v/>
      </c>
      <c r="I51">
        <f>CONCATENATE($A$2, $A$1, $A51, I$2)</f>
        <v/>
      </c>
      <c r="J51">
        <f>CONCATENATE($A$2, $A$1, $A51, J$2)</f>
        <v/>
      </c>
      <c r="K51">
        <f>CurrAttrValue(D51, 0)</f>
        <v/>
      </c>
      <c r="L51">
        <f>CurrAttrValue(E51, 0)</f>
        <v/>
      </c>
      <c r="M51">
        <f>CurrAttrValue(H51, 0)</f>
        <v/>
      </c>
      <c r="N51">
        <f>CurrAttrValue(I51, 0)</f>
        <v/>
      </c>
      <c r="O51">
        <f>CurrAttrValue(J51, 0)</f>
        <v/>
      </c>
      <c r="P51" s="5">
        <f>"39"</f>
        <v/>
      </c>
      <c r="Q51" s="6">
        <f>"АОсс. Самопроизвольное закрытие крана 2  "</f>
        <v/>
      </c>
      <c r="R51" s="7">
        <f>IF(N51, S51, "")</f>
        <v/>
      </c>
      <c r="S51" s="7">
        <f>CurrAttrValue(C51, 0)</f>
        <v/>
      </c>
      <c r="T51" s="5">
        <f>IF(K51=-200, "д.вх.", K51)</f>
        <v/>
      </c>
      <c r="U51" s="5">
        <f>IF(L51=-200, "д.вх.", IF(N51, O51, L51))</f>
        <v/>
      </c>
      <c r="V51" s="5">
        <f>CurrAttrValue(G51, 0)</f>
        <v/>
      </c>
      <c r="W51" s="5">
        <f>IF(M51, "Блокирована", IF(N51, "Проверено", "-"))</f>
        <v/>
      </c>
    </row>
    <row r="52" ht="20" customHeight="1">
      <c r="A52">
        <f>"System.PZ.A039"</f>
        <v/>
      </c>
      <c r="B52">
        <f>CONCATENATE($A$2, $A$1, $A52, B$2)</f>
        <v/>
      </c>
      <c r="C52">
        <f>CONCATENATE($A$2, $A$1, $A52, C$2)</f>
        <v/>
      </c>
      <c r="D52">
        <f>CONCATENATE($A$2, $A$1, $A52, D$2)</f>
        <v/>
      </c>
      <c r="E52">
        <f>CONCATENATE($A$2, $A$1, $A52, E$2)</f>
        <v/>
      </c>
      <c r="F52">
        <f>CONCATENATE($A$2, $A$1, $A52, F$2)</f>
        <v/>
      </c>
      <c r="G52">
        <f>CONCATENATE($A$2, $A$1, $A52, G$2)</f>
        <v/>
      </c>
      <c r="H52">
        <f>CONCATENATE($A$2, $A$1, $A52, H$2)</f>
        <v/>
      </c>
      <c r="I52">
        <f>CONCATENATE($A$2, $A$1, $A52, I$2)</f>
        <v/>
      </c>
      <c r="J52">
        <f>CONCATENATE($A$2, $A$1, $A52, J$2)</f>
        <v/>
      </c>
      <c r="K52">
        <f>CurrAttrValue(D52, 0)</f>
        <v/>
      </c>
      <c r="L52">
        <f>CurrAttrValue(E52, 0)</f>
        <v/>
      </c>
      <c r="M52">
        <f>CurrAttrValue(H52, 0)</f>
        <v/>
      </c>
      <c r="N52">
        <f>CurrAttrValue(I52, 0)</f>
        <v/>
      </c>
      <c r="O52">
        <f>CurrAttrValue(J52, 0)</f>
        <v/>
      </c>
      <c r="P52" s="5">
        <f>"40"</f>
        <v/>
      </c>
      <c r="Q52" s="6">
        <f>"АОсс. Самопроизвольное закрытие крана 6  "</f>
        <v/>
      </c>
      <c r="R52" s="7">
        <f>IF(N52, S52, "")</f>
        <v/>
      </c>
      <c r="S52" s="7">
        <f>CurrAttrValue(C52, 0)</f>
        <v/>
      </c>
      <c r="T52" s="5">
        <f>IF(K52=-200, "д.вх.", K52)</f>
        <v/>
      </c>
      <c r="U52" s="5">
        <f>IF(L52=-200, "д.вх.", IF(N52, O52, L52))</f>
        <v/>
      </c>
      <c r="V52" s="5">
        <f>CurrAttrValue(G52, 0)</f>
        <v/>
      </c>
      <c r="W52" s="5">
        <f>IF(M52, "Блокирована", IF(N52, "Проверено", "-"))</f>
        <v/>
      </c>
    </row>
    <row r="53" ht="20" customHeight="1">
      <c r="A53">
        <f>"System.PZ.A040"</f>
        <v/>
      </c>
      <c r="B53">
        <f>CONCATENATE($A$2, $A$1, $A53, B$2)</f>
        <v/>
      </c>
      <c r="C53">
        <f>CONCATENATE($A$2, $A$1, $A53, C$2)</f>
        <v/>
      </c>
      <c r="D53">
        <f>CONCATENATE($A$2, $A$1, $A53, D$2)</f>
        <v/>
      </c>
      <c r="E53">
        <f>CONCATENATE($A$2, $A$1, $A53, E$2)</f>
        <v/>
      </c>
      <c r="F53">
        <f>CONCATENATE($A$2, $A$1, $A53, F$2)</f>
        <v/>
      </c>
      <c r="G53">
        <f>CONCATENATE($A$2, $A$1, $A53, G$2)</f>
        <v/>
      </c>
      <c r="H53">
        <f>CONCATENATE($A$2, $A$1, $A53, H$2)</f>
        <v/>
      </c>
      <c r="I53">
        <f>CONCATENATE($A$2, $A$1, $A53, I$2)</f>
        <v/>
      </c>
      <c r="J53">
        <f>CONCATENATE($A$2, $A$1, $A53, J$2)</f>
        <v/>
      </c>
      <c r="K53">
        <f>CurrAttrValue(D53, 0)</f>
        <v/>
      </c>
      <c r="L53">
        <f>CurrAttrValue(E53, 0)</f>
        <v/>
      </c>
      <c r="M53">
        <f>CurrAttrValue(H53, 0)</f>
        <v/>
      </c>
      <c r="N53">
        <f>CurrAttrValue(I53, 0)</f>
        <v/>
      </c>
      <c r="O53">
        <f>CurrAttrValue(J53, 0)</f>
        <v/>
      </c>
      <c r="P53" s="5">
        <f>"41"</f>
        <v/>
      </c>
      <c r="Q53" s="6">
        <f>"АОбс. Клапан 6р (АПК) не открыт на пуске  "</f>
        <v/>
      </c>
      <c r="R53" s="7">
        <f>IF(N53, S53, "")</f>
        <v/>
      </c>
      <c r="S53" s="7">
        <f>CurrAttrValue(C53, 0)</f>
        <v/>
      </c>
      <c r="T53" s="5">
        <f>IF(K53=-200, "д.вх.", K53)</f>
        <v/>
      </c>
      <c r="U53" s="5">
        <f>IF(L53=-200, "д.вх.", IF(N53, O53, L53))</f>
        <v/>
      </c>
      <c r="V53" s="5">
        <f>CurrAttrValue(G53, 0)</f>
        <v/>
      </c>
      <c r="W53" s="5">
        <f>IF(M53, "Блокирована", IF(N53, "Проверено", "-"))</f>
        <v/>
      </c>
    </row>
    <row r="54" ht="20" customHeight="1">
      <c r="A54">
        <f>"System.PZ.A041"</f>
        <v/>
      </c>
      <c r="B54">
        <f>CONCATENATE($A$2, $A$1, $A54, B$2)</f>
        <v/>
      </c>
      <c r="C54">
        <f>CONCATENATE($A$2, $A$1, $A54, C$2)</f>
        <v/>
      </c>
      <c r="D54">
        <f>CONCATENATE($A$2, $A$1, $A54, D$2)</f>
        <v/>
      </c>
      <c r="E54">
        <f>CONCATENATE($A$2, $A$1, $A54, E$2)</f>
        <v/>
      </c>
      <c r="F54">
        <f>CONCATENATE($A$2, $A$1, $A54, F$2)</f>
        <v/>
      </c>
      <c r="G54">
        <f>CONCATENATE($A$2, $A$1, $A54, G$2)</f>
        <v/>
      </c>
      <c r="H54">
        <f>CONCATENATE($A$2, $A$1, $A54, H$2)</f>
        <v/>
      </c>
      <c r="I54">
        <f>CONCATENATE($A$2, $A$1, $A54, I$2)</f>
        <v/>
      </c>
      <c r="J54">
        <f>CONCATENATE($A$2, $A$1, $A54, J$2)</f>
        <v/>
      </c>
      <c r="K54">
        <f>CurrAttrValue(D54, 0)</f>
        <v/>
      </c>
      <c r="L54">
        <f>CurrAttrValue(E54, 0)</f>
        <v/>
      </c>
      <c r="M54">
        <f>CurrAttrValue(H54, 0)</f>
        <v/>
      </c>
      <c r="N54">
        <f>CurrAttrValue(I54, 0)</f>
        <v/>
      </c>
      <c r="O54">
        <f>CurrAttrValue(J54, 0)</f>
        <v/>
      </c>
      <c r="P54" s="5">
        <f>"42"</f>
        <v/>
      </c>
      <c r="Q54" s="6">
        <f>"АОсс. СТ1 сработал (Запуск БЭО)  "</f>
        <v/>
      </c>
      <c r="R54" s="7">
        <f>IF(N54, S54, "")</f>
        <v/>
      </c>
      <c r="S54" s="7">
        <f>CurrAttrValue(C54, 0)</f>
        <v/>
      </c>
      <c r="T54" s="5">
        <f>IF(K54=-200, "д.вх.", K54)</f>
        <v/>
      </c>
      <c r="U54" s="5">
        <f>IF(L54=-200, "д.вх.", IF(N54, O54, L54))</f>
        <v/>
      </c>
      <c r="V54" s="5">
        <f>CurrAttrValue(G54, 0)</f>
        <v/>
      </c>
      <c r="W54" s="5">
        <f>IF(M54, "Блокирована", IF(N54, "Проверено", "-"))</f>
        <v/>
      </c>
    </row>
    <row r="55" ht="20" customHeight="1">
      <c r="A55">
        <f>"System.PZ.A042"</f>
        <v/>
      </c>
      <c r="B55">
        <f>CONCATENATE($A$2, $A$1, $A55, B$2)</f>
        <v/>
      </c>
      <c r="C55">
        <f>CONCATENATE($A$2, $A$1, $A55, C$2)</f>
        <v/>
      </c>
      <c r="D55">
        <f>CONCATENATE($A$2, $A$1, $A55, D$2)</f>
        <v/>
      </c>
      <c r="E55">
        <f>CONCATENATE($A$2, $A$1, $A55, E$2)</f>
        <v/>
      </c>
      <c r="F55">
        <f>CONCATENATE($A$2, $A$1, $A55, F$2)</f>
        <v/>
      </c>
      <c r="G55">
        <f>CONCATENATE($A$2, $A$1, $A55, G$2)</f>
        <v/>
      </c>
      <c r="H55">
        <f>CONCATENATE($A$2, $A$1, $A55, H$2)</f>
        <v/>
      </c>
      <c r="I55">
        <f>CONCATENATE($A$2, $A$1, $A55, I$2)</f>
        <v/>
      </c>
      <c r="J55">
        <f>CONCATENATE($A$2, $A$1, $A55, J$2)</f>
        <v/>
      </c>
      <c r="K55">
        <f>CurrAttrValue(D55, 0)</f>
        <v/>
      </c>
      <c r="L55">
        <f>CurrAttrValue(E55, 0)</f>
        <v/>
      </c>
      <c r="M55">
        <f>CurrAttrValue(H55, 0)</f>
        <v/>
      </c>
      <c r="N55">
        <f>CurrAttrValue(I55, 0)</f>
        <v/>
      </c>
      <c r="O55">
        <f>CurrAttrValue(J55, 0)</f>
        <v/>
      </c>
      <c r="P55" s="5">
        <f>"43"</f>
        <v/>
      </c>
      <c r="Q55" s="6">
        <f>"АОсс. ЭО запущен (BR1)  "</f>
        <v/>
      </c>
      <c r="R55" s="7">
        <f>IF(N55, S55, "")</f>
        <v/>
      </c>
      <c r="S55" s="7">
        <f>CurrAttrValue(C55, 0)</f>
        <v/>
      </c>
      <c r="T55" s="5">
        <f>IF(K55=-200, "д.вх.", K55)</f>
        <v/>
      </c>
      <c r="U55" s="5">
        <f>IF(L55=-200, "д.вх.", IF(N55, O55, L55))</f>
        <v/>
      </c>
      <c r="V55" s="5">
        <f>CurrAttrValue(G55, 0)</f>
        <v/>
      </c>
      <c r="W55" s="5">
        <f>IF(M55, "Блокирована", IF(N55, "Проверено", "-"))</f>
        <v/>
      </c>
    </row>
    <row r="56" ht="20" customHeight="1">
      <c r="A56">
        <f>"System.PZ.A043"</f>
        <v/>
      </c>
      <c r="B56">
        <f>CONCATENATE($A$2, $A$1, $A56, B$2)</f>
        <v/>
      </c>
      <c r="C56">
        <f>CONCATENATE($A$2, $A$1, $A56, C$2)</f>
        <v/>
      </c>
      <c r="D56">
        <f>CONCATENATE($A$2, $A$1, $A56, D$2)</f>
        <v/>
      </c>
      <c r="E56">
        <f>CONCATENATE($A$2, $A$1, $A56, E$2)</f>
        <v/>
      </c>
      <c r="F56">
        <f>CONCATENATE($A$2, $A$1, $A56, F$2)</f>
        <v/>
      </c>
      <c r="G56">
        <f>CONCATENATE($A$2, $A$1, $A56, G$2)</f>
        <v/>
      </c>
      <c r="H56">
        <f>CONCATENATE($A$2, $A$1, $A56, H$2)</f>
        <v/>
      </c>
      <c r="I56">
        <f>CONCATENATE($A$2, $A$1, $A56, I$2)</f>
        <v/>
      </c>
      <c r="J56">
        <f>CONCATENATE($A$2, $A$1, $A56, J$2)</f>
        <v/>
      </c>
      <c r="K56">
        <f>CurrAttrValue(D56, 0)</f>
        <v/>
      </c>
      <c r="L56">
        <f>CurrAttrValue(E56, 0)</f>
        <v/>
      </c>
      <c r="M56">
        <f>CurrAttrValue(H56, 0)</f>
        <v/>
      </c>
      <c r="N56">
        <f>CurrAttrValue(I56, 0)</f>
        <v/>
      </c>
      <c r="O56">
        <f>CurrAttrValue(J56, 0)</f>
        <v/>
      </c>
      <c r="P56" s="5">
        <f>"44"</f>
        <v/>
      </c>
      <c r="Q56" s="6">
        <f>"АОбс. Отказ систем ГТД на запуске  "</f>
        <v/>
      </c>
      <c r="R56" s="7">
        <f>IF(N56, S56, "")</f>
        <v/>
      </c>
      <c r="S56" s="7">
        <f>CurrAttrValue(C56, 0)</f>
        <v/>
      </c>
      <c r="T56" s="5">
        <f>IF(K56=-200, "д.вх.", K56)</f>
        <v/>
      </c>
      <c r="U56" s="5">
        <f>IF(L56=-200, "д.вх.", IF(N56, O56, L56))</f>
        <v/>
      </c>
      <c r="V56" s="5">
        <f>CurrAttrValue(G56, 0)</f>
        <v/>
      </c>
      <c r="W56" s="5">
        <f>IF(M56, "Блокирована", IF(N56, "Проверено", "-"))</f>
        <v/>
      </c>
    </row>
    <row r="57" ht="20" customHeight="1">
      <c r="A57">
        <f>"System.PZ.A044"</f>
        <v/>
      </c>
      <c r="B57">
        <f>CONCATENATE($A$2, $A$1, $A57, B$2)</f>
        <v/>
      </c>
      <c r="C57">
        <f>CONCATENATE($A$2, $A$1, $A57, C$2)</f>
        <v/>
      </c>
      <c r="D57">
        <f>CONCATENATE($A$2, $A$1, $A57, D$2)</f>
        <v/>
      </c>
      <c r="E57">
        <f>CONCATENATE($A$2, $A$1, $A57, E$2)</f>
        <v/>
      </c>
      <c r="F57">
        <f>CONCATENATE($A$2, $A$1, $A57, F$2)</f>
        <v/>
      </c>
      <c r="G57">
        <f>CONCATENATE($A$2, $A$1, $A57, G$2)</f>
        <v/>
      </c>
      <c r="H57">
        <f>CONCATENATE($A$2, $A$1, $A57, H$2)</f>
        <v/>
      </c>
      <c r="I57">
        <f>CONCATENATE($A$2, $A$1, $A57, I$2)</f>
        <v/>
      </c>
      <c r="J57">
        <f>CONCATENATE($A$2, $A$1, $A57, J$2)</f>
        <v/>
      </c>
      <c r="K57">
        <f>CurrAttrValue(D57, 0)</f>
        <v/>
      </c>
      <c r="L57">
        <f>CurrAttrValue(E57, 0)</f>
        <v/>
      </c>
      <c r="M57">
        <f>CurrAttrValue(H57, 0)</f>
        <v/>
      </c>
      <c r="N57">
        <f>CurrAttrValue(I57, 0)</f>
        <v/>
      </c>
      <c r="O57">
        <f>CurrAttrValue(J57, 0)</f>
        <v/>
      </c>
      <c r="P57" s="5">
        <f>"45"</f>
        <v/>
      </c>
      <c r="Q57" s="6">
        <f>"АОсс. Обрыв связи с контроллером ГПА  "</f>
        <v/>
      </c>
      <c r="R57" s="7">
        <f>IF(N57, S57, "")</f>
        <v/>
      </c>
      <c r="S57" s="7">
        <f>CurrAttrValue(C57, 0)</f>
        <v/>
      </c>
      <c r="T57" s="5">
        <f>IF(K57=-200, "д.вх.", K57)</f>
        <v/>
      </c>
      <c r="U57" s="5">
        <f>IF(L57=-200, "д.вх.", IF(N57, O57, L57))</f>
        <v/>
      </c>
      <c r="V57" s="5">
        <f>CurrAttrValue(G57, 0)</f>
        <v/>
      </c>
      <c r="W57" s="5">
        <f>IF(M57, "Блокирована", IF(N57, "Проверено", "-"))</f>
        <v/>
      </c>
    </row>
    <row r="58" ht="20" customHeight="1">
      <c r="A58">
        <f>"System.PZ.A053"</f>
        <v/>
      </c>
      <c r="B58">
        <f>CONCATENATE($A$2, $A$1, $A58, B$2)</f>
        <v/>
      </c>
      <c r="C58">
        <f>CONCATENATE($A$2, $A$1, $A58, C$2)</f>
        <v/>
      </c>
      <c r="D58">
        <f>CONCATENATE($A$2, $A$1, $A58, D$2)</f>
        <v/>
      </c>
      <c r="E58">
        <f>CONCATENATE($A$2, $A$1, $A58, E$2)</f>
        <v/>
      </c>
      <c r="F58">
        <f>CONCATENATE($A$2, $A$1, $A58, F$2)</f>
        <v/>
      </c>
      <c r="G58">
        <f>CONCATENATE($A$2, $A$1, $A58, G$2)</f>
        <v/>
      </c>
      <c r="H58">
        <f>CONCATENATE($A$2, $A$1, $A58, H$2)</f>
        <v/>
      </c>
      <c r="I58">
        <f>CONCATENATE($A$2, $A$1, $A58, I$2)</f>
        <v/>
      </c>
      <c r="J58">
        <f>CONCATENATE($A$2, $A$1, $A58, J$2)</f>
        <v/>
      </c>
      <c r="K58">
        <f>CurrAttrValue(D58, 0)</f>
        <v/>
      </c>
      <c r="L58">
        <f>CurrAttrValue(E58, 0)</f>
        <v/>
      </c>
      <c r="M58">
        <f>CurrAttrValue(H58, 0)</f>
        <v/>
      </c>
      <c r="N58">
        <f>CurrAttrValue(I58, 0)</f>
        <v/>
      </c>
      <c r="O58">
        <f>CurrAttrValue(J58, 0)</f>
        <v/>
      </c>
      <c r="P58" s="5">
        <f>"46"</f>
        <v/>
      </c>
      <c r="Q58" s="6">
        <f>"АОсс. Аварийный останов от БЗД  "</f>
        <v/>
      </c>
      <c r="R58" s="7">
        <f>IF(N58, S58, "")</f>
        <v/>
      </c>
      <c r="S58" s="7">
        <f>CurrAttrValue(C58, 0)</f>
        <v/>
      </c>
      <c r="T58" s="5">
        <f>IF(K58=-200, "д.вх.", K58)</f>
        <v/>
      </c>
      <c r="U58" s="5">
        <f>IF(L58=-200, "д.вх.", IF(N58, O58, L58))</f>
        <v/>
      </c>
      <c r="V58" s="5">
        <f>CurrAttrValue(G58, 0)</f>
        <v/>
      </c>
      <c r="W58" s="5">
        <f>IF(M58, "Блокирована", IF(N58, "Проверено", "-"))</f>
        <v/>
      </c>
    </row>
    <row r="59" ht="20" customHeight="1">
      <c r="A59">
        <f>"System.PZ.A054"</f>
        <v/>
      </c>
      <c r="B59">
        <f>CONCATENATE($A$2, $A$1, $A59, B$2)</f>
        <v/>
      </c>
      <c r="C59">
        <f>CONCATENATE($A$2, $A$1, $A59, C$2)</f>
        <v/>
      </c>
      <c r="D59">
        <f>CONCATENATE($A$2, $A$1, $A59, D$2)</f>
        <v/>
      </c>
      <c r="E59">
        <f>CONCATENATE($A$2, $A$1, $A59, E$2)</f>
        <v/>
      </c>
      <c r="F59">
        <f>CONCATENATE($A$2, $A$1, $A59, F$2)</f>
        <v/>
      </c>
      <c r="G59">
        <f>CONCATENATE($A$2, $A$1, $A59, G$2)</f>
        <v/>
      </c>
      <c r="H59">
        <f>CONCATENATE($A$2, $A$1, $A59, H$2)</f>
        <v/>
      </c>
      <c r="I59">
        <f>CONCATENATE($A$2, $A$1, $A59, I$2)</f>
        <v/>
      </c>
      <c r="J59">
        <f>CONCATENATE($A$2, $A$1, $A59, J$2)</f>
        <v/>
      </c>
      <c r="K59">
        <f>CurrAttrValue(D59, 0)</f>
        <v/>
      </c>
      <c r="L59">
        <f>CurrAttrValue(E59, 0)</f>
        <v/>
      </c>
      <c r="M59">
        <f>CurrAttrValue(H59, 0)</f>
        <v/>
      </c>
      <c r="N59">
        <f>CurrAttrValue(I59, 0)</f>
        <v/>
      </c>
      <c r="O59">
        <f>CurrAttrValue(J59, 0)</f>
        <v/>
      </c>
      <c r="P59" s="5">
        <f>"47"</f>
        <v/>
      </c>
      <c r="Q59" s="6">
        <f>"ВОбс. Низкий объём масла в МБД  "</f>
        <v/>
      </c>
      <c r="R59" s="7">
        <f>IF(N59, S59, "")</f>
        <v/>
      </c>
      <c r="S59" s="7">
        <f>CurrAttrValue(C59, 0)</f>
        <v/>
      </c>
      <c r="T59" s="5">
        <f>IF(K59=-200, "д.вх.", K59)</f>
        <v/>
      </c>
      <c r="U59" s="5">
        <f>IF(L59=-200, "д.вх.", IF(N59, O59, L59))</f>
        <v/>
      </c>
      <c r="V59" s="5">
        <f>CurrAttrValue(G59, 0)</f>
        <v/>
      </c>
      <c r="W59" s="5">
        <f>IF(M59, "Блокирована", IF(N59, "Проверено", "-"))</f>
        <v/>
      </c>
    </row>
    <row r="60" ht="20" customHeight="1">
      <c r="A60">
        <f>"System.PZ.A055"</f>
        <v/>
      </c>
      <c r="B60">
        <f>CONCATENATE($A$2, $A$1, $A60, B$2)</f>
        <v/>
      </c>
      <c r="C60">
        <f>CONCATENATE($A$2, $A$1, $A60, C$2)</f>
        <v/>
      </c>
      <c r="D60">
        <f>CONCATENATE($A$2, $A$1, $A60, D$2)</f>
        <v/>
      </c>
      <c r="E60">
        <f>CONCATENATE($A$2, $A$1, $A60, E$2)</f>
        <v/>
      </c>
      <c r="F60">
        <f>CONCATENATE($A$2, $A$1, $A60, F$2)</f>
        <v/>
      </c>
      <c r="G60">
        <f>CONCATENATE($A$2, $A$1, $A60, G$2)</f>
        <v/>
      </c>
      <c r="H60">
        <f>CONCATENATE($A$2, $A$1, $A60, H$2)</f>
        <v/>
      </c>
      <c r="I60">
        <f>CONCATENATE($A$2, $A$1, $A60, I$2)</f>
        <v/>
      </c>
      <c r="J60">
        <f>CONCATENATE($A$2, $A$1, $A60, J$2)</f>
        <v/>
      </c>
      <c r="K60">
        <f>CurrAttrValue(D60, 0)</f>
        <v/>
      </c>
      <c r="L60">
        <f>CurrAttrValue(E60, 0)</f>
        <v/>
      </c>
      <c r="M60">
        <f>CurrAttrValue(H60, 0)</f>
        <v/>
      </c>
      <c r="N60">
        <f>CurrAttrValue(I60, 0)</f>
        <v/>
      </c>
      <c r="O60">
        <f>CurrAttrValue(J60, 0)</f>
        <v/>
      </c>
      <c r="P60" s="5">
        <f>"48"</f>
        <v/>
      </c>
      <c r="Q60" s="6">
        <f>"ВОбс. Высокий объём масла в МБД  "</f>
        <v/>
      </c>
      <c r="R60" s="7">
        <f>IF(N60, S60, "")</f>
        <v/>
      </c>
      <c r="S60" s="7">
        <f>CurrAttrValue(C60, 0)</f>
        <v/>
      </c>
      <c r="T60" s="5">
        <f>IF(K60=-200, "д.вх.", K60)</f>
        <v/>
      </c>
      <c r="U60" s="5">
        <f>IF(L60=-200, "д.вх.", IF(N60, O60, L60))</f>
        <v/>
      </c>
      <c r="V60" s="5">
        <f>CurrAttrValue(G60, 0)</f>
        <v/>
      </c>
      <c r="W60" s="5">
        <f>IF(M60, "Блокирована", IF(N60, "Проверено", "-"))</f>
        <v/>
      </c>
    </row>
    <row r="61" ht="20" customHeight="1">
      <c r="A61">
        <f>"System.PZ.A056"</f>
        <v/>
      </c>
      <c r="B61">
        <f>CONCATENATE($A$2, $A$1, $A61, B$2)</f>
        <v/>
      </c>
      <c r="C61">
        <f>CONCATENATE($A$2, $A$1, $A61, C$2)</f>
        <v/>
      </c>
      <c r="D61">
        <f>CONCATENATE($A$2, $A$1, $A61, D$2)</f>
        <v/>
      </c>
      <c r="E61">
        <f>CONCATENATE($A$2, $A$1, $A61, E$2)</f>
        <v/>
      </c>
      <c r="F61">
        <f>CONCATENATE($A$2, $A$1, $A61, F$2)</f>
        <v/>
      </c>
      <c r="G61">
        <f>CONCATENATE($A$2, $A$1, $A61, G$2)</f>
        <v/>
      </c>
      <c r="H61">
        <f>CONCATENATE($A$2, $A$1, $A61, H$2)</f>
        <v/>
      </c>
      <c r="I61">
        <f>CONCATENATE($A$2, $A$1, $A61, I$2)</f>
        <v/>
      </c>
      <c r="J61">
        <f>CONCATENATE($A$2, $A$1, $A61, J$2)</f>
        <v/>
      </c>
      <c r="K61">
        <f>CurrAttrValue(D61, 0)</f>
        <v/>
      </c>
      <c r="L61">
        <f>CurrAttrValue(E61, 0)</f>
        <v/>
      </c>
      <c r="M61">
        <f>CurrAttrValue(H61, 0)</f>
        <v/>
      </c>
      <c r="N61">
        <f>CurrAttrValue(I61, 0)</f>
        <v/>
      </c>
      <c r="O61">
        <f>CurrAttrValue(J61, 0)</f>
        <v/>
      </c>
      <c r="P61" s="5">
        <f>"49"</f>
        <v/>
      </c>
      <c r="Q61" s="6">
        <f>"АОбс. Аварийно-низкое Рм в нагн.магистрали ГТД (при Nvd&lt;11300)  "</f>
        <v/>
      </c>
      <c r="R61" s="7">
        <f>IF(N61, S61, "")</f>
        <v/>
      </c>
      <c r="S61" s="7">
        <f>CurrAttrValue(C61, 0)</f>
        <v/>
      </c>
      <c r="T61" s="5">
        <f>IF(K61=-200, "д.вх.", K61)</f>
        <v/>
      </c>
      <c r="U61" s="5">
        <f>IF(L61=-200, "д.вх.", IF(N61, O61, L61))</f>
        <v/>
      </c>
      <c r="V61" s="5">
        <f>CurrAttrValue(G61, 0)</f>
        <v/>
      </c>
      <c r="W61" s="5">
        <f>IF(M61, "Блокирована", IF(N61, "Проверено", "-"))</f>
        <v/>
      </c>
    </row>
    <row r="62" ht="20" customHeight="1">
      <c r="A62">
        <f>"System.PZ.A057"</f>
        <v/>
      </c>
      <c r="B62">
        <f>CONCATENATE($A$2, $A$1, $A62, B$2)</f>
        <v/>
      </c>
      <c r="C62">
        <f>CONCATENATE($A$2, $A$1, $A62, C$2)</f>
        <v/>
      </c>
      <c r="D62">
        <f>CONCATENATE($A$2, $A$1, $A62, D$2)</f>
        <v/>
      </c>
      <c r="E62">
        <f>CONCATENATE($A$2, $A$1, $A62, E$2)</f>
        <v/>
      </c>
      <c r="F62">
        <f>CONCATENATE($A$2, $A$1, $A62, F$2)</f>
        <v/>
      </c>
      <c r="G62">
        <f>CONCATENATE($A$2, $A$1, $A62, G$2)</f>
        <v/>
      </c>
      <c r="H62">
        <f>CONCATENATE($A$2, $A$1, $A62, H$2)</f>
        <v/>
      </c>
      <c r="I62">
        <f>CONCATENATE($A$2, $A$1, $A62, I$2)</f>
        <v/>
      </c>
      <c r="J62">
        <f>CONCATENATE($A$2, $A$1, $A62, J$2)</f>
        <v/>
      </c>
      <c r="K62">
        <f>CurrAttrValue(D62, 0)</f>
        <v/>
      </c>
      <c r="L62">
        <f>CurrAttrValue(E62, 0)</f>
        <v/>
      </c>
      <c r="M62">
        <f>CurrAttrValue(H62, 0)</f>
        <v/>
      </c>
      <c r="N62">
        <f>CurrAttrValue(I62, 0)</f>
        <v/>
      </c>
      <c r="O62">
        <f>CurrAttrValue(J62, 0)</f>
        <v/>
      </c>
      <c r="P62" s="5">
        <f>"50"</f>
        <v/>
      </c>
      <c r="Q62" s="6">
        <f>"АОбс. Аварийно-низкое Рм в нагн.магистрали ГТД (при Nvd&gt;11300)  "</f>
        <v/>
      </c>
      <c r="R62" s="7">
        <f>IF(N62, S62, "")</f>
        <v/>
      </c>
      <c r="S62" s="7">
        <f>CurrAttrValue(C62, 0)</f>
        <v/>
      </c>
      <c r="T62" s="5">
        <f>IF(K62=-200, "д.вх.", K62)</f>
        <v/>
      </c>
      <c r="U62" s="5">
        <f>IF(L62=-200, "д.вх.", IF(N62, O62, L62))</f>
        <v/>
      </c>
      <c r="V62" s="5">
        <f>CurrAttrValue(G62, 0)</f>
        <v/>
      </c>
      <c r="W62" s="5">
        <f>IF(M62, "Блокирована", IF(N62, "Проверено", "-"))</f>
        <v/>
      </c>
    </row>
    <row r="63" ht="20" customHeight="1">
      <c r="A63">
        <f>"System.PZ.A058"</f>
        <v/>
      </c>
      <c r="B63">
        <f>CONCATENATE($A$2, $A$1, $A63, B$2)</f>
        <v/>
      </c>
      <c r="C63">
        <f>CONCATENATE($A$2, $A$1, $A63, C$2)</f>
        <v/>
      </c>
      <c r="D63">
        <f>CONCATENATE($A$2, $A$1, $A63, D$2)</f>
        <v/>
      </c>
      <c r="E63">
        <f>CONCATENATE($A$2, $A$1, $A63, E$2)</f>
        <v/>
      </c>
      <c r="F63">
        <f>CONCATENATE($A$2, $A$1, $A63, F$2)</f>
        <v/>
      </c>
      <c r="G63">
        <f>CONCATENATE($A$2, $A$1, $A63, G$2)</f>
        <v/>
      </c>
      <c r="H63">
        <f>CONCATENATE($A$2, $A$1, $A63, H$2)</f>
        <v/>
      </c>
      <c r="I63">
        <f>CONCATENATE($A$2, $A$1, $A63, I$2)</f>
        <v/>
      </c>
      <c r="J63">
        <f>CONCATENATE($A$2, $A$1, $A63, J$2)</f>
        <v/>
      </c>
      <c r="K63">
        <f>CurrAttrValue(D63, 0)</f>
        <v/>
      </c>
      <c r="L63">
        <f>CurrAttrValue(E63, 0)</f>
        <v/>
      </c>
      <c r="M63">
        <f>CurrAttrValue(H63, 0)</f>
        <v/>
      </c>
      <c r="N63">
        <f>CurrAttrValue(I63, 0)</f>
        <v/>
      </c>
      <c r="O63">
        <f>CurrAttrValue(J63, 0)</f>
        <v/>
      </c>
      <c r="P63" s="5">
        <f>"51"</f>
        <v/>
      </c>
      <c r="Q63" s="6">
        <f>"АОбс. Аварийно-низкое Рм в нагн.магистрали ГТД на запуске  "</f>
        <v/>
      </c>
      <c r="R63" s="7">
        <f>IF(N63, S63, "")</f>
        <v/>
      </c>
      <c r="S63" s="7">
        <f>CurrAttrValue(C63, 0)</f>
        <v/>
      </c>
      <c r="T63" s="5">
        <f>IF(K63=-200, "д.вх.", K63)</f>
        <v/>
      </c>
      <c r="U63" s="5">
        <f>IF(L63=-200, "д.вх.", IF(N63, O63, L63))</f>
        <v/>
      </c>
      <c r="V63" s="5">
        <f>CurrAttrValue(G63, 0)</f>
        <v/>
      </c>
      <c r="W63" s="5">
        <f>IF(M63, "Блокирована", IF(N63, "Проверено", "-"))</f>
        <v/>
      </c>
    </row>
    <row r="64" ht="20" customHeight="1">
      <c r="A64">
        <f>"System.PZ.A059"</f>
        <v/>
      </c>
      <c r="B64">
        <f>CONCATENATE($A$2, $A$1, $A64, B$2)</f>
        <v/>
      </c>
      <c r="C64">
        <f>CONCATENATE($A$2, $A$1, $A64, C$2)</f>
        <v/>
      </c>
      <c r="D64">
        <f>CONCATENATE($A$2, $A$1, $A64, D$2)</f>
        <v/>
      </c>
      <c r="E64">
        <f>CONCATENATE($A$2, $A$1, $A64, E$2)</f>
        <v/>
      </c>
      <c r="F64">
        <f>CONCATENATE($A$2, $A$1, $A64, F$2)</f>
        <v/>
      </c>
      <c r="G64">
        <f>CONCATENATE($A$2, $A$1, $A64, G$2)</f>
        <v/>
      </c>
      <c r="H64">
        <f>CONCATENATE($A$2, $A$1, $A64, H$2)</f>
        <v/>
      </c>
      <c r="I64">
        <f>CONCATENATE($A$2, $A$1, $A64, I$2)</f>
        <v/>
      </c>
      <c r="J64">
        <f>CONCATENATE($A$2, $A$1, $A64, J$2)</f>
        <v/>
      </c>
      <c r="K64">
        <f>CurrAttrValue(D64, 0)</f>
        <v/>
      </c>
      <c r="L64">
        <f>CurrAttrValue(E64, 0)</f>
        <v/>
      </c>
      <c r="M64">
        <f>CurrAttrValue(H64, 0)</f>
        <v/>
      </c>
      <c r="N64">
        <f>CurrAttrValue(I64, 0)</f>
        <v/>
      </c>
      <c r="O64">
        <f>CurrAttrValue(J64, 0)</f>
        <v/>
      </c>
      <c r="P64" s="5">
        <f>"52"</f>
        <v/>
      </c>
      <c r="Q64" s="6">
        <f>"АОбс. Низкое Р масла в магистрали общей откачки  "</f>
        <v/>
      </c>
      <c r="R64" s="7">
        <f>IF(N64, S64, "")</f>
        <v/>
      </c>
      <c r="S64" s="7">
        <f>CurrAttrValue(C64, 0)</f>
        <v/>
      </c>
      <c r="T64" s="5">
        <f>IF(K64=-200, "д.вх.", K64)</f>
        <v/>
      </c>
      <c r="U64" s="5">
        <f>IF(L64=-200, "д.вх.", IF(N64, O64, L64))</f>
        <v/>
      </c>
      <c r="V64" s="5">
        <f>CurrAttrValue(G64, 0)</f>
        <v/>
      </c>
      <c r="W64" s="5">
        <f>IF(M64, "Блокирована", IF(N64, "Проверено", "-"))</f>
        <v/>
      </c>
    </row>
    <row r="67" ht="35" customHeight="1">
      <c r="Q67" s="8">
        <f>"должность"</f>
        <v/>
      </c>
      <c r="R67" s="9" t="n"/>
      <c r="S67" s="8">
        <f>"ФИО"</f>
        <v/>
      </c>
      <c r="T67" s="9" t="n"/>
      <c r="U67" s="8">
        <f>"подпись"</f>
        <v/>
      </c>
    </row>
    <row r="68" ht="35" customHeight="1">
      <c r="Q68" s="8">
        <f>"должность"</f>
        <v/>
      </c>
      <c r="R68" s="9" t="n"/>
      <c r="S68" s="8">
        <f>"ФИО"</f>
        <v/>
      </c>
      <c r="T68" s="9" t="n"/>
      <c r="U68" s="8">
        <f>"подпись"</f>
        <v/>
      </c>
    </row>
    <row r="69" ht="35" customHeight="1">
      <c r="Q69" s="8">
        <f>"должность"</f>
        <v/>
      </c>
      <c r="R69" s="9" t="n"/>
      <c r="S69" s="8">
        <f>"ФИО"</f>
        <v/>
      </c>
      <c r="T69" s="9" t="n"/>
      <c r="U69" s="8">
        <f>"подпись"</f>
        <v/>
      </c>
    </row>
    <row r="71" ht="25" customHeight="1">
      <c r="Q71" s="1">
        <f>"Протокол проверки защит ГПА №6 на "</f>
        <v/>
      </c>
      <c r="R71" s="2">
        <f>R1</f>
        <v/>
      </c>
      <c r="S71" s="3">
        <f>S1</f>
        <v/>
      </c>
    </row>
    <row r="73" ht="20" customHeight="1">
      <c r="P73" s="4">
        <f>"№"</f>
        <v/>
      </c>
      <c r="Q73" s="4">
        <f>"Наименование защиты  "</f>
        <v/>
      </c>
      <c r="R73" s="4">
        <f>"Таймер"</f>
        <v/>
      </c>
      <c r="S73" s="4">
        <f>"Задержка"</f>
        <v/>
      </c>
      <c r="T73" s="4">
        <f>"Уставка"</f>
        <v/>
      </c>
      <c r="U73" s="4">
        <f>"Значение"</f>
        <v/>
      </c>
      <c r="V73" s="4">
        <f>"Eд.изм"</f>
        <v/>
      </c>
      <c r="W73" s="4">
        <f>"Отметка о проверке"</f>
        <v/>
      </c>
    </row>
    <row r="74" ht="20" customHeight="1">
      <c r="A74">
        <f>"System.PZ.A060"</f>
        <v/>
      </c>
      <c r="B74">
        <f>CONCATENATE($A$2, $A$1, $A74, B$2)</f>
        <v/>
      </c>
      <c r="C74">
        <f>CONCATENATE($A$2, $A$1, $A74, C$2)</f>
        <v/>
      </c>
      <c r="D74">
        <f>CONCATENATE($A$2, $A$1, $A74, D$2)</f>
        <v/>
      </c>
      <c r="E74">
        <f>CONCATENATE($A$2, $A$1, $A74, E$2)</f>
        <v/>
      </c>
      <c r="F74">
        <f>CONCATENATE($A$2, $A$1, $A74, F$2)</f>
        <v/>
      </c>
      <c r="G74">
        <f>CONCATENATE($A$2, $A$1, $A74, G$2)</f>
        <v/>
      </c>
      <c r="H74">
        <f>CONCATENATE($A$2, $A$1, $A74, H$2)</f>
        <v/>
      </c>
      <c r="I74">
        <f>CONCATENATE($A$2, $A$1, $A74, I$2)</f>
        <v/>
      </c>
      <c r="J74">
        <f>CONCATENATE($A$2, $A$1, $A74, J$2)</f>
        <v/>
      </c>
      <c r="K74">
        <f>CurrAttrValue(D74, 0)</f>
        <v/>
      </c>
      <c r="L74">
        <f>CurrAttrValue(E74, 0)</f>
        <v/>
      </c>
      <c r="M74">
        <f>CurrAttrValue(H74, 0)</f>
        <v/>
      </c>
      <c r="N74">
        <f>CurrAttrValue(I74, 0)</f>
        <v/>
      </c>
      <c r="O74">
        <f>CurrAttrValue(J74, 0)</f>
        <v/>
      </c>
      <c r="P74" s="5">
        <f>"53"</f>
        <v/>
      </c>
      <c r="Q74" s="6">
        <f>"АОбс. Аварийно-высокая скорость падения Рм в магистрали ОО  "</f>
        <v/>
      </c>
      <c r="R74" s="7">
        <f>IF(N74, S74, "")</f>
        <v/>
      </c>
      <c r="S74" s="7">
        <f>CurrAttrValue(C74, 0)</f>
        <v/>
      </c>
      <c r="T74" s="5">
        <f>IF(K74=-200, "д.вх.", K74)</f>
        <v/>
      </c>
      <c r="U74" s="5">
        <f>IF(L74=-200, "д.вх.", IF(N74, O74, L74))</f>
        <v/>
      </c>
      <c r="V74" s="5">
        <f>CurrAttrValue(G74, 0)</f>
        <v/>
      </c>
      <c r="W74" s="5">
        <f>IF(M74, "Блокирована", IF(N74, "Проверено", "-"))</f>
        <v/>
      </c>
    </row>
    <row r="75" ht="20" customHeight="1">
      <c r="A75">
        <f>"System.PZ.A061"</f>
        <v/>
      </c>
      <c r="B75">
        <f>CONCATENATE($A$2, $A$1, $A75, B$2)</f>
        <v/>
      </c>
      <c r="C75">
        <f>CONCATENATE($A$2, $A$1, $A75, C$2)</f>
        <v/>
      </c>
      <c r="D75">
        <f>CONCATENATE($A$2, $A$1, $A75, D$2)</f>
        <v/>
      </c>
      <c r="E75">
        <f>CONCATENATE($A$2, $A$1, $A75, E$2)</f>
        <v/>
      </c>
      <c r="F75">
        <f>CONCATENATE($A$2, $A$1, $A75, F$2)</f>
        <v/>
      </c>
      <c r="G75">
        <f>CONCATENATE($A$2, $A$1, $A75, G$2)</f>
        <v/>
      </c>
      <c r="H75">
        <f>CONCATENATE($A$2, $A$1, $A75, H$2)</f>
        <v/>
      </c>
      <c r="I75">
        <f>CONCATENATE($A$2, $A$1, $A75, I$2)</f>
        <v/>
      </c>
      <c r="J75">
        <f>CONCATENATE($A$2, $A$1, $A75, J$2)</f>
        <v/>
      </c>
      <c r="K75">
        <f>CurrAttrValue(D75, 0)</f>
        <v/>
      </c>
      <c r="L75">
        <f>CurrAttrValue(E75, 0)</f>
        <v/>
      </c>
      <c r="M75">
        <f>CurrAttrValue(H75, 0)</f>
        <v/>
      </c>
      <c r="N75">
        <f>CurrAttrValue(I75, 0)</f>
        <v/>
      </c>
      <c r="O75">
        <f>CurrAttrValue(J75, 0)</f>
        <v/>
      </c>
      <c r="P75" s="5">
        <f>"54"</f>
        <v/>
      </c>
      <c r="Q75" s="6">
        <f>"АОбс. Р масла в магистрали общей откачки низкое на запуске  "</f>
        <v/>
      </c>
      <c r="R75" s="7">
        <f>IF(N75, S75, "")</f>
        <v/>
      </c>
      <c r="S75" s="7">
        <f>CurrAttrValue(C75, 0)</f>
        <v/>
      </c>
      <c r="T75" s="5">
        <f>IF(K75=-200, "д.вх.", K75)</f>
        <v/>
      </c>
      <c r="U75" s="5">
        <f>IF(L75=-200, "д.вх.", IF(N75, O75, L75))</f>
        <v/>
      </c>
      <c r="V75" s="5">
        <f>CurrAttrValue(G75, 0)</f>
        <v/>
      </c>
      <c r="W75" s="5">
        <f>IF(M75, "Блокирована", IF(N75, "Проверено", "-"))</f>
        <v/>
      </c>
    </row>
    <row r="76" ht="20" customHeight="1">
      <c r="A76">
        <f>"System.PZ.A062"</f>
        <v/>
      </c>
      <c r="B76">
        <f>CONCATENATE($A$2, $A$1, $A76, B$2)</f>
        <v/>
      </c>
      <c r="C76">
        <f>CONCATENATE($A$2, $A$1, $A76, C$2)</f>
        <v/>
      </c>
      <c r="D76">
        <f>CONCATENATE($A$2, $A$1, $A76, D$2)</f>
        <v/>
      </c>
      <c r="E76">
        <f>CONCATENATE($A$2, $A$1, $A76, E$2)</f>
        <v/>
      </c>
      <c r="F76">
        <f>CONCATENATE($A$2, $A$1, $A76, F$2)</f>
        <v/>
      </c>
      <c r="G76">
        <f>CONCATENATE($A$2, $A$1, $A76, G$2)</f>
        <v/>
      </c>
      <c r="H76">
        <f>CONCATENATE($A$2, $A$1, $A76, H$2)</f>
        <v/>
      </c>
      <c r="I76">
        <f>CONCATENATE($A$2, $A$1, $A76, I$2)</f>
        <v/>
      </c>
      <c r="J76">
        <f>CONCATENATE($A$2, $A$1, $A76, J$2)</f>
        <v/>
      </c>
      <c r="K76">
        <f>CurrAttrValue(D76, 0)</f>
        <v/>
      </c>
      <c r="L76">
        <f>CurrAttrValue(E76, 0)</f>
        <v/>
      </c>
      <c r="M76">
        <f>CurrAttrValue(H76, 0)</f>
        <v/>
      </c>
      <c r="N76">
        <f>CurrAttrValue(I76, 0)</f>
        <v/>
      </c>
      <c r="O76">
        <f>CurrAttrValue(J76, 0)</f>
        <v/>
      </c>
      <c r="P76" s="5">
        <f>"55"</f>
        <v/>
      </c>
      <c r="Q76" s="6">
        <f>"АОбс. Аварийно-высокая Т масла в магистрали общей откачки  "</f>
        <v/>
      </c>
      <c r="R76" s="7">
        <f>IF(N76, S76, "")</f>
        <v/>
      </c>
      <c r="S76" s="7">
        <f>CurrAttrValue(C76, 0)</f>
        <v/>
      </c>
      <c r="T76" s="5">
        <f>IF(K76=-200, "д.вх.", K76)</f>
        <v/>
      </c>
      <c r="U76" s="5">
        <f>IF(L76=-200, "д.вх.", IF(N76, O76, L76))</f>
        <v/>
      </c>
      <c r="V76" s="5">
        <f>CurrAttrValue(G76, 0)</f>
        <v/>
      </c>
      <c r="W76" s="5">
        <f>IF(M76, "Блокирована", IF(N76, "Проверено", "-"))</f>
        <v/>
      </c>
    </row>
    <row r="77" ht="20" customHeight="1">
      <c r="A77">
        <f>"System.PZ.A063"</f>
        <v/>
      </c>
      <c r="B77">
        <f>CONCATENATE($A$2, $A$1, $A77, B$2)</f>
        <v/>
      </c>
      <c r="C77">
        <f>CONCATENATE($A$2, $A$1, $A77, C$2)</f>
        <v/>
      </c>
      <c r="D77">
        <f>CONCATENATE($A$2, $A$1, $A77, D$2)</f>
        <v/>
      </c>
      <c r="E77">
        <f>CONCATENATE($A$2, $A$1, $A77, E$2)</f>
        <v/>
      </c>
      <c r="F77">
        <f>CONCATENATE($A$2, $A$1, $A77, F$2)</f>
        <v/>
      </c>
      <c r="G77">
        <f>CONCATENATE($A$2, $A$1, $A77, G$2)</f>
        <v/>
      </c>
      <c r="H77">
        <f>CONCATENATE($A$2, $A$1, $A77, H$2)</f>
        <v/>
      </c>
      <c r="I77">
        <f>CONCATENATE($A$2, $A$1, $A77, I$2)</f>
        <v/>
      </c>
      <c r="J77">
        <f>CONCATENATE($A$2, $A$1, $A77, J$2)</f>
        <v/>
      </c>
      <c r="K77">
        <f>CurrAttrValue(D77, 0)</f>
        <v/>
      </c>
      <c r="L77">
        <f>CurrAttrValue(E77, 0)</f>
        <v/>
      </c>
      <c r="M77">
        <f>CurrAttrValue(H77, 0)</f>
        <v/>
      </c>
      <c r="N77">
        <f>CurrAttrValue(I77, 0)</f>
        <v/>
      </c>
      <c r="O77">
        <f>CurrAttrValue(J77, 0)</f>
        <v/>
      </c>
      <c r="P77" s="5">
        <f>"56"</f>
        <v/>
      </c>
      <c r="Q77" s="6">
        <f>"АОбс. Стружка в магистрали ОО (СС1 и СС2)  "</f>
        <v/>
      </c>
      <c r="R77" s="7">
        <f>IF(N77, S77, "")</f>
        <v/>
      </c>
      <c r="S77" s="7">
        <f>CurrAttrValue(C77, 0)</f>
        <v/>
      </c>
      <c r="T77" s="5">
        <f>IF(K77=-200, "д.вх.", K77)</f>
        <v/>
      </c>
      <c r="U77" s="5">
        <f>IF(L77=-200, "д.вх.", IF(N77, O77, L77))</f>
        <v/>
      </c>
      <c r="V77" s="5">
        <f>CurrAttrValue(G77, 0)</f>
        <v/>
      </c>
      <c r="W77" s="5">
        <f>IF(M77, "Блокирована", IF(N77, "Проверено", "-"))</f>
        <v/>
      </c>
    </row>
    <row r="78" ht="20" customHeight="1">
      <c r="A78">
        <f>"System.PZ.A064"</f>
        <v/>
      </c>
      <c r="B78">
        <f>CONCATENATE($A$2, $A$1, $A78, B$2)</f>
        <v/>
      </c>
      <c r="C78">
        <f>CONCATENATE($A$2, $A$1, $A78, C$2)</f>
        <v/>
      </c>
      <c r="D78">
        <f>CONCATENATE($A$2, $A$1, $A78, D$2)</f>
        <v/>
      </c>
      <c r="E78">
        <f>CONCATENATE($A$2, $A$1, $A78, E$2)</f>
        <v/>
      </c>
      <c r="F78">
        <f>CONCATENATE($A$2, $A$1, $A78, F$2)</f>
        <v/>
      </c>
      <c r="G78">
        <f>CONCATENATE($A$2, $A$1, $A78, G$2)</f>
        <v/>
      </c>
      <c r="H78">
        <f>CONCATENATE($A$2, $A$1, $A78, H$2)</f>
        <v/>
      </c>
      <c r="I78">
        <f>CONCATENATE($A$2, $A$1, $A78, I$2)</f>
        <v/>
      </c>
      <c r="J78">
        <f>CONCATENATE($A$2, $A$1, $A78, J$2)</f>
        <v/>
      </c>
      <c r="K78">
        <f>CurrAttrValue(D78, 0)</f>
        <v/>
      </c>
      <c r="L78">
        <f>CurrAttrValue(E78, 0)</f>
        <v/>
      </c>
      <c r="M78">
        <f>CurrAttrValue(H78, 0)</f>
        <v/>
      </c>
      <c r="N78">
        <f>CurrAttrValue(I78, 0)</f>
        <v/>
      </c>
      <c r="O78">
        <f>CurrAttrValue(J78, 0)</f>
        <v/>
      </c>
      <c r="P78" s="5">
        <f>"57"</f>
        <v/>
      </c>
      <c r="Q78" s="6">
        <f>"АОбс. Стружка в магистр. откачки масла из ЦС  "</f>
        <v/>
      </c>
      <c r="R78" s="7">
        <f>IF(N78, S78, "")</f>
        <v/>
      </c>
      <c r="S78" s="7">
        <f>CurrAttrValue(C78, 0)</f>
        <v/>
      </c>
      <c r="T78" s="5">
        <f>IF(K78=-200, "д.вх.", K78)</f>
        <v/>
      </c>
      <c r="U78" s="5">
        <f>IF(L78=-200, "д.вх.", IF(N78, O78, L78))</f>
        <v/>
      </c>
      <c r="V78" s="5">
        <f>CurrAttrValue(G78, 0)</f>
        <v/>
      </c>
      <c r="W78" s="5">
        <f>IF(M78, "Блокирована", IF(N78, "Проверено", "-"))</f>
        <v/>
      </c>
    </row>
    <row r="79" ht="20" customHeight="1">
      <c r="A79">
        <f>"System.PZ.A065"</f>
        <v/>
      </c>
      <c r="B79">
        <f>CONCATENATE($A$2, $A$1, $A79, B$2)</f>
        <v/>
      </c>
      <c r="C79">
        <f>CONCATENATE($A$2, $A$1, $A79, C$2)</f>
        <v/>
      </c>
      <c r="D79">
        <f>CONCATENATE($A$2, $A$1, $A79, D$2)</f>
        <v/>
      </c>
      <c r="E79">
        <f>CONCATENATE($A$2, $A$1, $A79, E$2)</f>
        <v/>
      </c>
      <c r="F79">
        <f>CONCATENATE($A$2, $A$1, $A79, F$2)</f>
        <v/>
      </c>
      <c r="G79">
        <f>CONCATENATE($A$2, $A$1, $A79, G$2)</f>
        <v/>
      </c>
      <c r="H79">
        <f>CONCATENATE($A$2, $A$1, $A79, H$2)</f>
        <v/>
      </c>
      <c r="I79">
        <f>CONCATENATE($A$2, $A$1, $A79, I$2)</f>
        <v/>
      </c>
      <c r="J79">
        <f>CONCATENATE($A$2, $A$1, $A79, J$2)</f>
        <v/>
      </c>
      <c r="K79">
        <f>CurrAttrValue(D79, 0)</f>
        <v/>
      </c>
      <c r="L79">
        <f>CurrAttrValue(E79, 0)</f>
        <v/>
      </c>
      <c r="M79">
        <f>CurrAttrValue(H79, 0)</f>
        <v/>
      </c>
      <c r="N79">
        <f>CurrAttrValue(I79, 0)</f>
        <v/>
      </c>
      <c r="O79">
        <f>CurrAttrValue(J79, 0)</f>
        <v/>
      </c>
      <c r="P79" s="5">
        <f>"58"</f>
        <v/>
      </c>
      <c r="Q79" s="6">
        <f>"ВОбс. Низкое избыточное давление воздуха в турбоблоке  "</f>
        <v/>
      </c>
      <c r="R79" s="7">
        <f>IF(N79, S79, "")</f>
        <v/>
      </c>
      <c r="S79" s="7">
        <f>CurrAttrValue(C79, 0)</f>
        <v/>
      </c>
      <c r="T79" s="5">
        <f>IF(K79=-200, "д.вх.", K79)</f>
        <v/>
      </c>
      <c r="U79" s="5">
        <f>IF(L79=-200, "д.вх.", IF(N79, O79, L79))</f>
        <v/>
      </c>
      <c r="V79" s="5">
        <f>CurrAttrValue(G79, 0)</f>
        <v/>
      </c>
      <c r="W79" s="5">
        <f>IF(M79, "Блокирована", IF(N79, "Проверено", "-"))</f>
        <v/>
      </c>
    </row>
    <row r="80" ht="20" customHeight="1">
      <c r="A80">
        <f>"System.PZ.A066"</f>
        <v/>
      </c>
      <c r="B80">
        <f>CONCATENATE($A$2, $A$1, $A80, B$2)</f>
        <v/>
      </c>
      <c r="C80">
        <f>CONCATENATE($A$2, $A$1, $A80, C$2)</f>
        <v/>
      </c>
      <c r="D80">
        <f>CONCATENATE($A$2, $A$1, $A80, D$2)</f>
        <v/>
      </c>
      <c r="E80">
        <f>CONCATENATE($A$2, $A$1, $A80, E$2)</f>
        <v/>
      </c>
      <c r="F80">
        <f>CONCATENATE($A$2, $A$1, $A80, F$2)</f>
        <v/>
      </c>
      <c r="G80">
        <f>CONCATENATE($A$2, $A$1, $A80, G$2)</f>
        <v/>
      </c>
      <c r="H80">
        <f>CONCATENATE($A$2, $A$1, $A80, H$2)</f>
        <v/>
      </c>
      <c r="I80">
        <f>CONCATENATE($A$2, $A$1, $A80, I$2)</f>
        <v/>
      </c>
      <c r="J80">
        <f>CONCATENATE($A$2, $A$1, $A80, J$2)</f>
        <v/>
      </c>
      <c r="K80">
        <f>CurrAttrValue(D80, 0)</f>
        <v/>
      </c>
      <c r="L80">
        <f>CurrAttrValue(E80, 0)</f>
        <v/>
      </c>
      <c r="M80">
        <f>CurrAttrValue(H80, 0)</f>
        <v/>
      </c>
      <c r="N80">
        <f>CurrAttrValue(I80, 0)</f>
        <v/>
      </c>
      <c r="O80">
        <f>CurrAttrValue(J80, 0)</f>
        <v/>
      </c>
      <c r="P80" s="5">
        <f>"59"</f>
        <v/>
      </c>
      <c r="Q80" s="6">
        <f>"АОсс. Высокая Т вкладыша ОП ЦБК  "</f>
        <v/>
      </c>
      <c r="R80" s="7">
        <f>IF(N80, S80, "")</f>
        <v/>
      </c>
      <c r="S80" s="7">
        <f>CurrAttrValue(C80, 0)</f>
        <v/>
      </c>
      <c r="T80" s="5">
        <f>IF(K80=-200, "д.вх.", K80)</f>
        <v/>
      </c>
      <c r="U80" s="5">
        <f>IF(L80=-200, "д.вх.", IF(N80, O80, L80))</f>
        <v/>
      </c>
      <c r="V80" s="5">
        <f>CurrAttrValue(G80, 0)</f>
        <v/>
      </c>
      <c r="W80" s="5">
        <f>IF(M80, "Блокирована", IF(N80, "Проверено", "-"))</f>
        <v/>
      </c>
    </row>
    <row r="81" ht="20" customHeight="1">
      <c r="A81">
        <f>"System.PZ.A067"</f>
        <v/>
      </c>
      <c r="B81">
        <f>CONCATENATE($A$2, $A$1, $A81, B$2)</f>
        <v/>
      </c>
      <c r="C81">
        <f>CONCATENATE($A$2, $A$1, $A81, C$2)</f>
        <v/>
      </c>
      <c r="D81">
        <f>CONCATENATE($A$2, $A$1, $A81, D$2)</f>
        <v/>
      </c>
      <c r="E81">
        <f>CONCATENATE($A$2, $A$1, $A81, E$2)</f>
        <v/>
      </c>
      <c r="F81">
        <f>CONCATENATE($A$2, $A$1, $A81, F$2)</f>
        <v/>
      </c>
      <c r="G81">
        <f>CONCATENATE($A$2, $A$1, $A81, G$2)</f>
        <v/>
      </c>
      <c r="H81">
        <f>CONCATENATE($A$2, $A$1, $A81, H$2)</f>
        <v/>
      </c>
      <c r="I81">
        <f>CONCATENATE($A$2, $A$1, $A81, I$2)</f>
        <v/>
      </c>
      <c r="J81">
        <f>CONCATENATE($A$2, $A$1, $A81, J$2)</f>
        <v/>
      </c>
      <c r="K81">
        <f>CurrAttrValue(D81, 0)</f>
        <v/>
      </c>
      <c r="L81">
        <f>CurrAttrValue(E81, 0)</f>
        <v/>
      </c>
      <c r="M81">
        <f>CurrAttrValue(H81, 0)</f>
        <v/>
      </c>
      <c r="N81">
        <f>CurrAttrValue(I81, 0)</f>
        <v/>
      </c>
      <c r="O81">
        <f>CurrAttrValue(J81, 0)</f>
        <v/>
      </c>
      <c r="P81" s="5">
        <f>"60"</f>
        <v/>
      </c>
      <c r="Q81" s="6">
        <f>"АОсс. Высокая Т вкладыша ОУП ЦБК  "</f>
        <v/>
      </c>
      <c r="R81" s="7">
        <f>IF(N81, S81, "")</f>
        <v/>
      </c>
      <c r="S81" s="7">
        <f>CurrAttrValue(C81, 0)</f>
        <v/>
      </c>
      <c r="T81" s="5">
        <f>IF(K81=-200, "д.вх.", K81)</f>
        <v/>
      </c>
      <c r="U81" s="5">
        <f>IF(L81=-200, "д.вх.", IF(N81, O81, L81))</f>
        <v/>
      </c>
      <c r="V81" s="5">
        <f>CurrAttrValue(G81, 0)</f>
        <v/>
      </c>
      <c r="W81" s="5">
        <f>IF(M81, "Блокирована", IF(N81, "Проверено", "-"))</f>
        <v/>
      </c>
    </row>
    <row r="82" ht="20" customHeight="1">
      <c r="A82">
        <f>"System.PZ.A068"</f>
        <v/>
      </c>
      <c r="B82">
        <f>CONCATENATE($A$2, $A$1, $A82, B$2)</f>
        <v/>
      </c>
      <c r="C82">
        <f>CONCATENATE($A$2, $A$1, $A82, C$2)</f>
        <v/>
      </c>
      <c r="D82">
        <f>CONCATENATE($A$2, $A$1, $A82, D$2)</f>
        <v/>
      </c>
      <c r="E82">
        <f>CONCATENATE($A$2, $A$1, $A82, E$2)</f>
        <v/>
      </c>
      <c r="F82">
        <f>CONCATENATE($A$2, $A$1, $A82, F$2)</f>
        <v/>
      </c>
      <c r="G82">
        <f>CONCATENATE($A$2, $A$1, $A82, G$2)</f>
        <v/>
      </c>
      <c r="H82">
        <f>CONCATENATE($A$2, $A$1, $A82, H$2)</f>
        <v/>
      </c>
      <c r="I82">
        <f>CONCATENATE($A$2, $A$1, $A82, I$2)</f>
        <v/>
      </c>
      <c r="J82">
        <f>CONCATENATE($A$2, $A$1, $A82, J$2)</f>
        <v/>
      </c>
      <c r="K82">
        <f>CurrAttrValue(D82, 0)</f>
        <v/>
      </c>
      <c r="L82">
        <f>CurrAttrValue(E82, 0)</f>
        <v/>
      </c>
      <c r="M82">
        <f>CurrAttrValue(H82, 0)</f>
        <v/>
      </c>
      <c r="N82">
        <f>CurrAttrValue(I82, 0)</f>
        <v/>
      </c>
      <c r="O82">
        <f>CurrAttrValue(J82, 0)</f>
        <v/>
      </c>
      <c r="P82" s="5">
        <f>"61"</f>
        <v/>
      </c>
      <c r="Q82" s="6">
        <f>"АОсс. Высокая Т рабочих колодок ОУП ЦБК  "</f>
        <v/>
      </c>
      <c r="R82" s="7">
        <f>IF(N82, S82, "")</f>
        <v/>
      </c>
      <c r="S82" s="7">
        <f>CurrAttrValue(C82, 0)</f>
        <v/>
      </c>
      <c r="T82" s="5">
        <f>IF(K82=-200, "д.вх.", K82)</f>
        <v/>
      </c>
      <c r="U82" s="5">
        <f>IF(L82=-200, "д.вх.", IF(N82, O82, L82))</f>
        <v/>
      </c>
      <c r="V82" s="5">
        <f>CurrAttrValue(G82, 0)</f>
        <v/>
      </c>
      <c r="W82" s="5">
        <f>IF(M82, "Блокирована", IF(N82, "Проверено", "-"))</f>
        <v/>
      </c>
    </row>
    <row r="83" ht="20" customHeight="1">
      <c r="A83">
        <f>"System.PZ.A069"</f>
        <v/>
      </c>
      <c r="B83">
        <f>CONCATENATE($A$2, $A$1, $A83, B$2)</f>
        <v/>
      </c>
      <c r="C83">
        <f>CONCATENATE($A$2, $A$1, $A83, C$2)</f>
        <v/>
      </c>
      <c r="D83">
        <f>CONCATENATE($A$2, $A$1, $A83, D$2)</f>
        <v/>
      </c>
      <c r="E83">
        <f>CONCATENATE($A$2, $A$1, $A83, E$2)</f>
        <v/>
      </c>
      <c r="F83">
        <f>CONCATENATE($A$2, $A$1, $A83, F$2)</f>
        <v/>
      </c>
      <c r="G83">
        <f>CONCATENATE($A$2, $A$1, $A83, G$2)</f>
        <v/>
      </c>
      <c r="H83">
        <f>CONCATENATE($A$2, $A$1, $A83, H$2)</f>
        <v/>
      </c>
      <c r="I83">
        <f>CONCATENATE($A$2, $A$1, $A83, I$2)</f>
        <v/>
      </c>
      <c r="J83">
        <f>CONCATENATE($A$2, $A$1, $A83, J$2)</f>
        <v/>
      </c>
      <c r="K83">
        <f>CurrAttrValue(D83, 0)</f>
        <v/>
      </c>
      <c r="L83">
        <f>CurrAttrValue(E83, 0)</f>
        <v/>
      </c>
      <c r="M83">
        <f>CurrAttrValue(H83, 0)</f>
        <v/>
      </c>
      <c r="N83">
        <f>CurrAttrValue(I83, 0)</f>
        <v/>
      </c>
      <c r="O83">
        <f>CurrAttrValue(J83, 0)</f>
        <v/>
      </c>
      <c r="P83" s="5">
        <f>"62"</f>
        <v/>
      </c>
      <c r="Q83" s="6">
        <f>"АОсс. Высокая Т установочных колодок ОУП ЦБК  "</f>
        <v/>
      </c>
      <c r="R83" s="7">
        <f>IF(N83, S83, "")</f>
        <v/>
      </c>
      <c r="S83" s="7">
        <f>CurrAttrValue(C83, 0)</f>
        <v/>
      </c>
      <c r="T83" s="5">
        <f>IF(K83=-200, "д.вх.", K83)</f>
        <v/>
      </c>
      <c r="U83" s="5">
        <f>IF(L83=-200, "д.вх.", IF(N83, O83, L83))</f>
        <v/>
      </c>
      <c r="V83" s="5">
        <f>CurrAttrValue(G83, 0)</f>
        <v/>
      </c>
      <c r="W83" s="5">
        <f>IF(M83, "Блокирована", IF(N83, "Проверено", "-"))</f>
        <v/>
      </c>
    </row>
    <row r="84" ht="20" customHeight="1">
      <c r="A84">
        <f>"System.PZ.A070"</f>
        <v/>
      </c>
      <c r="B84">
        <f>CONCATENATE($A$2, $A$1, $A84, B$2)</f>
        <v/>
      </c>
      <c r="C84">
        <f>CONCATENATE($A$2, $A$1, $A84, C$2)</f>
        <v/>
      </c>
      <c r="D84">
        <f>CONCATENATE($A$2, $A$1, $A84, D$2)</f>
        <v/>
      </c>
      <c r="E84">
        <f>CONCATENATE($A$2, $A$1, $A84, E$2)</f>
        <v/>
      </c>
      <c r="F84">
        <f>CONCATENATE($A$2, $A$1, $A84, F$2)</f>
        <v/>
      </c>
      <c r="G84">
        <f>CONCATENATE($A$2, $A$1, $A84, G$2)</f>
        <v/>
      </c>
      <c r="H84">
        <f>CONCATENATE($A$2, $A$1, $A84, H$2)</f>
        <v/>
      </c>
      <c r="I84">
        <f>CONCATENATE($A$2, $A$1, $A84, I$2)</f>
        <v/>
      </c>
      <c r="J84">
        <f>CONCATENATE($A$2, $A$1, $A84, J$2)</f>
        <v/>
      </c>
      <c r="K84">
        <f>CurrAttrValue(D84, 0)</f>
        <v/>
      </c>
      <c r="L84">
        <f>CurrAttrValue(E84, 0)</f>
        <v/>
      </c>
      <c r="M84">
        <f>CurrAttrValue(H84, 0)</f>
        <v/>
      </c>
      <c r="N84">
        <f>CurrAttrValue(I84, 0)</f>
        <v/>
      </c>
      <c r="O84">
        <f>CurrAttrValue(J84, 0)</f>
        <v/>
      </c>
      <c r="P84" s="5">
        <f>"63"</f>
        <v/>
      </c>
      <c r="Q84" s="6">
        <f>"АОсс. Высокое виброперемещение ротора в ПО (гориз.)  "</f>
        <v/>
      </c>
      <c r="R84" s="7">
        <f>IF(N84, S84, "")</f>
        <v/>
      </c>
      <c r="S84" s="7">
        <f>CurrAttrValue(C84, 0)</f>
        <v/>
      </c>
      <c r="T84" s="5">
        <f>IF(K84=-200, "д.вх.", K84)</f>
        <v/>
      </c>
      <c r="U84" s="5">
        <f>IF(L84=-200, "д.вх.", IF(N84, O84, L84))</f>
        <v/>
      </c>
      <c r="V84" s="5">
        <f>CurrAttrValue(G84, 0)</f>
        <v/>
      </c>
      <c r="W84" s="5">
        <f>IF(M84, "Блокирована", IF(N84, "Проверено", "-"))</f>
        <v/>
      </c>
    </row>
    <row r="85" ht="20" customHeight="1">
      <c r="A85">
        <f>"System.PZ.A071"</f>
        <v/>
      </c>
      <c r="B85">
        <f>CONCATENATE($A$2, $A$1, $A85, B$2)</f>
        <v/>
      </c>
      <c r="C85">
        <f>CONCATENATE($A$2, $A$1, $A85, C$2)</f>
        <v/>
      </c>
      <c r="D85">
        <f>CONCATENATE($A$2, $A$1, $A85, D$2)</f>
        <v/>
      </c>
      <c r="E85">
        <f>CONCATENATE($A$2, $A$1, $A85, E$2)</f>
        <v/>
      </c>
      <c r="F85">
        <f>CONCATENATE($A$2, $A$1, $A85, F$2)</f>
        <v/>
      </c>
      <c r="G85">
        <f>CONCATENATE($A$2, $A$1, $A85, G$2)</f>
        <v/>
      </c>
      <c r="H85">
        <f>CONCATENATE($A$2, $A$1, $A85, H$2)</f>
        <v/>
      </c>
      <c r="I85">
        <f>CONCATENATE($A$2, $A$1, $A85, I$2)</f>
        <v/>
      </c>
      <c r="J85">
        <f>CONCATENATE($A$2, $A$1, $A85, J$2)</f>
        <v/>
      </c>
      <c r="K85">
        <f>CurrAttrValue(D85, 0)</f>
        <v/>
      </c>
      <c r="L85">
        <f>CurrAttrValue(E85, 0)</f>
        <v/>
      </c>
      <c r="M85">
        <f>CurrAttrValue(H85, 0)</f>
        <v/>
      </c>
      <c r="N85">
        <f>CurrAttrValue(I85, 0)</f>
        <v/>
      </c>
      <c r="O85">
        <f>CurrAttrValue(J85, 0)</f>
        <v/>
      </c>
      <c r="P85" s="5">
        <f>"64"</f>
        <v/>
      </c>
      <c r="Q85" s="6">
        <f>"АОсс. Высокое виброперемещение ротора в ПО (вертик.)  "</f>
        <v/>
      </c>
      <c r="R85" s="7">
        <f>IF(N85, S85, "")</f>
        <v/>
      </c>
      <c r="S85" s="7">
        <f>CurrAttrValue(C85, 0)</f>
        <v/>
      </c>
      <c r="T85" s="5">
        <f>IF(K85=-200, "д.вх.", K85)</f>
        <v/>
      </c>
      <c r="U85" s="5">
        <f>IF(L85=-200, "д.вх.", IF(N85, O85, L85))</f>
        <v/>
      </c>
      <c r="V85" s="5">
        <f>CurrAttrValue(G85, 0)</f>
        <v/>
      </c>
      <c r="W85" s="5">
        <f>IF(M85, "Блокирована", IF(N85, "Проверено", "-"))</f>
        <v/>
      </c>
    </row>
    <row r="86" ht="20" customHeight="1">
      <c r="A86">
        <f>"System.PZ.A072"</f>
        <v/>
      </c>
      <c r="B86">
        <f>CONCATENATE($A$2, $A$1, $A86, B$2)</f>
        <v/>
      </c>
      <c r="C86">
        <f>CONCATENATE($A$2, $A$1, $A86, C$2)</f>
        <v/>
      </c>
      <c r="D86">
        <f>CONCATENATE($A$2, $A$1, $A86, D$2)</f>
        <v/>
      </c>
      <c r="E86">
        <f>CONCATENATE($A$2, $A$1, $A86, E$2)</f>
        <v/>
      </c>
      <c r="F86">
        <f>CONCATENATE($A$2, $A$1, $A86, F$2)</f>
        <v/>
      </c>
      <c r="G86">
        <f>CONCATENATE($A$2, $A$1, $A86, G$2)</f>
        <v/>
      </c>
      <c r="H86">
        <f>CONCATENATE($A$2, $A$1, $A86, H$2)</f>
        <v/>
      </c>
      <c r="I86">
        <f>CONCATENATE($A$2, $A$1, $A86, I$2)</f>
        <v/>
      </c>
      <c r="J86">
        <f>CONCATENATE($A$2, $A$1, $A86, J$2)</f>
        <v/>
      </c>
      <c r="K86">
        <f>CurrAttrValue(D86, 0)</f>
        <v/>
      </c>
      <c r="L86">
        <f>CurrAttrValue(E86, 0)</f>
        <v/>
      </c>
      <c r="M86">
        <f>CurrAttrValue(H86, 0)</f>
        <v/>
      </c>
      <c r="N86">
        <f>CurrAttrValue(I86, 0)</f>
        <v/>
      </c>
      <c r="O86">
        <f>CurrAttrValue(J86, 0)</f>
        <v/>
      </c>
      <c r="P86" s="5">
        <f>"65"</f>
        <v/>
      </c>
      <c r="Q86" s="6">
        <f>"АОсс. Высокое виброперемещение ротора в ЗО (гориз.)  "</f>
        <v/>
      </c>
      <c r="R86" s="7">
        <f>IF(N86, S86, "")</f>
        <v/>
      </c>
      <c r="S86" s="7">
        <f>CurrAttrValue(C86, 0)</f>
        <v/>
      </c>
      <c r="T86" s="5">
        <f>IF(K86=-200, "д.вх.", K86)</f>
        <v/>
      </c>
      <c r="U86" s="5">
        <f>IF(L86=-200, "д.вх.", IF(N86, O86, L86))</f>
        <v/>
      </c>
      <c r="V86" s="5">
        <f>CurrAttrValue(G86, 0)</f>
        <v/>
      </c>
      <c r="W86" s="5">
        <f>IF(M86, "Блокирована", IF(N86, "Проверено", "-"))</f>
        <v/>
      </c>
    </row>
    <row r="87" ht="20" customHeight="1">
      <c r="A87">
        <f>"System.PZ.A073"</f>
        <v/>
      </c>
      <c r="B87">
        <f>CONCATENATE($A$2, $A$1, $A87, B$2)</f>
        <v/>
      </c>
      <c r="C87">
        <f>CONCATENATE($A$2, $A$1, $A87, C$2)</f>
        <v/>
      </c>
      <c r="D87">
        <f>CONCATENATE($A$2, $A$1, $A87, D$2)</f>
        <v/>
      </c>
      <c r="E87">
        <f>CONCATENATE($A$2, $A$1, $A87, E$2)</f>
        <v/>
      </c>
      <c r="F87">
        <f>CONCATENATE($A$2, $A$1, $A87, F$2)</f>
        <v/>
      </c>
      <c r="G87">
        <f>CONCATENATE($A$2, $A$1, $A87, G$2)</f>
        <v/>
      </c>
      <c r="H87">
        <f>CONCATENATE($A$2, $A$1, $A87, H$2)</f>
        <v/>
      </c>
      <c r="I87">
        <f>CONCATENATE($A$2, $A$1, $A87, I$2)</f>
        <v/>
      </c>
      <c r="J87">
        <f>CONCATENATE($A$2, $A$1, $A87, J$2)</f>
        <v/>
      </c>
      <c r="K87">
        <f>CurrAttrValue(D87, 0)</f>
        <v/>
      </c>
      <c r="L87">
        <f>CurrAttrValue(E87, 0)</f>
        <v/>
      </c>
      <c r="M87">
        <f>CurrAttrValue(H87, 0)</f>
        <v/>
      </c>
      <c r="N87">
        <f>CurrAttrValue(I87, 0)</f>
        <v/>
      </c>
      <c r="O87">
        <f>CurrAttrValue(J87, 0)</f>
        <v/>
      </c>
      <c r="P87" s="5">
        <f>"66"</f>
        <v/>
      </c>
      <c r="Q87" s="6">
        <f>"АОсс. Высокое виброперемещение ротора в ЗО (вертик.)  "</f>
        <v/>
      </c>
      <c r="R87" s="7">
        <f>IF(N87, S87, "")</f>
        <v/>
      </c>
      <c r="S87" s="7">
        <f>CurrAttrValue(C87, 0)</f>
        <v/>
      </c>
      <c r="T87" s="5">
        <f>IF(K87=-200, "д.вх.", K87)</f>
        <v/>
      </c>
      <c r="U87" s="5">
        <f>IF(L87=-200, "д.вх.", IF(N87, O87, L87))</f>
        <v/>
      </c>
      <c r="V87" s="5">
        <f>CurrAttrValue(G87, 0)</f>
        <v/>
      </c>
      <c r="W87" s="5">
        <f>IF(M87, "Блокирована", IF(N87, "Проверено", "-"))</f>
        <v/>
      </c>
    </row>
    <row r="88" ht="20" customHeight="1">
      <c r="A88">
        <f>"System.PZ.A074"</f>
        <v/>
      </c>
      <c r="B88">
        <f>CONCATENATE($A$2, $A$1, $A88, B$2)</f>
        <v/>
      </c>
      <c r="C88">
        <f>CONCATENATE($A$2, $A$1, $A88, C$2)</f>
        <v/>
      </c>
      <c r="D88">
        <f>CONCATENATE($A$2, $A$1, $A88, D$2)</f>
        <v/>
      </c>
      <c r="E88">
        <f>CONCATENATE($A$2, $A$1, $A88, E$2)</f>
        <v/>
      </c>
      <c r="F88">
        <f>CONCATENATE($A$2, $A$1, $A88, F$2)</f>
        <v/>
      </c>
      <c r="G88">
        <f>CONCATENATE($A$2, $A$1, $A88, G$2)</f>
        <v/>
      </c>
      <c r="H88">
        <f>CONCATENATE($A$2, $A$1, $A88, H$2)</f>
        <v/>
      </c>
      <c r="I88">
        <f>CONCATENATE($A$2, $A$1, $A88, I$2)</f>
        <v/>
      </c>
      <c r="J88">
        <f>CONCATENATE($A$2, $A$1, $A88, J$2)</f>
        <v/>
      </c>
      <c r="K88">
        <f>CurrAttrValue(D88, 0)</f>
        <v/>
      </c>
      <c r="L88">
        <f>CurrAttrValue(E88, 0)</f>
        <v/>
      </c>
      <c r="M88">
        <f>CurrAttrValue(H88, 0)</f>
        <v/>
      </c>
      <c r="N88">
        <f>CurrAttrValue(I88, 0)</f>
        <v/>
      </c>
      <c r="O88">
        <f>CurrAttrValue(J88, 0)</f>
        <v/>
      </c>
      <c r="P88" s="5">
        <f>"67"</f>
        <v/>
      </c>
      <c r="Q88" s="6">
        <f>"АОсс. Высокий осевой сдвиг ротора 1  "</f>
        <v/>
      </c>
      <c r="R88" s="7">
        <f>IF(N88, S88, "")</f>
        <v/>
      </c>
      <c r="S88" s="7">
        <f>CurrAttrValue(C88, 0)</f>
        <v/>
      </c>
      <c r="T88" s="5">
        <f>IF(K88=-200, "д.вх.", K88)</f>
        <v/>
      </c>
      <c r="U88" s="5">
        <f>IF(L88=-200, "д.вх.", IF(N88, O88, L88))</f>
        <v/>
      </c>
      <c r="V88" s="5">
        <f>CurrAttrValue(G88, 0)</f>
        <v/>
      </c>
      <c r="W88" s="5">
        <f>IF(M88, "Блокирована", IF(N88, "Проверено", "-"))</f>
        <v/>
      </c>
    </row>
    <row r="89" ht="20" customHeight="1">
      <c r="A89">
        <f>"System.PZ.A075"</f>
        <v/>
      </c>
      <c r="B89">
        <f>CONCATENATE($A$2, $A$1, $A89, B$2)</f>
        <v/>
      </c>
      <c r="C89">
        <f>CONCATENATE($A$2, $A$1, $A89, C$2)</f>
        <v/>
      </c>
      <c r="D89">
        <f>CONCATENATE($A$2, $A$1, $A89, D$2)</f>
        <v/>
      </c>
      <c r="E89">
        <f>CONCATENATE($A$2, $A$1, $A89, E$2)</f>
        <v/>
      </c>
      <c r="F89">
        <f>CONCATENATE($A$2, $A$1, $A89, F$2)</f>
        <v/>
      </c>
      <c r="G89">
        <f>CONCATENATE($A$2, $A$1, $A89, G$2)</f>
        <v/>
      </c>
      <c r="H89">
        <f>CONCATENATE($A$2, $A$1, $A89, H$2)</f>
        <v/>
      </c>
      <c r="I89">
        <f>CONCATENATE($A$2, $A$1, $A89, I$2)</f>
        <v/>
      </c>
      <c r="J89">
        <f>CONCATENATE($A$2, $A$1, $A89, J$2)</f>
        <v/>
      </c>
      <c r="K89">
        <f>CurrAttrValue(D89, 0)</f>
        <v/>
      </c>
      <c r="L89">
        <f>CurrAttrValue(E89, 0)</f>
        <v/>
      </c>
      <c r="M89">
        <f>CurrAttrValue(H89, 0)</f>
        <v/>
      </c>
      <c r="N89">
        <f>CurrAttrValue(I89, 0)</f>
        <v/>
      </c>
      <c r="O89">
        <f>CurrAttrValue(J89, 0)</f>
        <v/>
      </c>
      <c r="P89" s="5">
        <f>"68"</f>
        <v/>
      </c>
      <c r="Q89" s="6">
        <f>"АОсс. Высокий осевой сдвиг ротора 2  "</f>
        <v/>
      </c>
      <c r="R89" s="7">
        <f>IF(N89, S89, "")</f>
        <v/>
      </c>
      <c r="S89" s="7">
        <f>CurrAttrValue(C89, 0)</f>
        <v/>
      </c>
      <c r="T89" s="5">
        <f>IF(K89=-200, "д.вх.", K89)</f>
        <v/>
      </c>
      <c r="U89" s="5">
        <f>IF(L89=-200, "д.вх.", IF(N89, O89, L89))</f>
        <v/>
      </c>
      <c r="V89" s="5">
        <f>CurrAttrValue(G89, 0)</f>
        <v/>
      </c>
      <c r="W89" s="5">
        <f>IF(M89, "Блокирована", IF(N89, "Проверено", "-"))</f>
        <v/>
      </c>
    </row>
    <row r="90" ht="20" customHeight="1">
      <c r="A90">
        <f>"System.PZ.A076"</f>
        <v/>
      </c>
      <c r="B90">
        <f>CONCATENATE($A$2, $A$1, $A90, B$2)</f>
        <v/>
      </c>
      <c r="C90">
        <f>CONCATENATE($A$2, $A$1, $A90, C$2)</f>
        <v/>
      </c>
      <c r="D90">
        <f>CONCATENATE($A$2, $A$1, $A90, D$2)</f>
        <v/>
      </c>
      <c r="E90">
        <f>CONCATENATE($A$2, $A$1, $A90, E$2)</f>
        <v/>
      </c>
      <c r="F90">
        <f>CONCATENATE($A$2, $A$1, $A90, F$2)</f>
        <v/>
      </c>
      <c r="G90">
        <f>CONCATENATE($A$2, $A$1, $A90, G$2)</f>
        <v/>
      </c>
      <c r="H90">
        <f>CONCATENATE($A$2, $A$1, $A90, H$2)</f>
        <v/>
      </c>
      <c r="I90">
        <f>CONCATENATE($A$2, $A$1, $A90, I$2)</f>
        <v/>
      </c>
      <c r="J90">
        <f>CONCATENATE($A$2, $A$1, $A90, J$2)</f>
        <v/>
      </c>
      <c r="K90">
        <f>CurrAttrValue(D90, 0)</f>
        <v/>
      </c>
      <c r="L90">
        <f>CurrAttrValue(E90, 0)</f>
        <v/>
      </c>
      <c r="M90">
        <f>CurrAttrValue(H90, 0)</f>
        <v/>
      </c>
      <c r="N90">
        <f>CurrAttrValue(I90, 0)</f>
        <v/>
      </c>
      <c r="O90">
        <f>CurrAttrValue(J90, 0)</f>
        <v/>
      </c>
      <c r="P90" s="5">
        <f>"69"</f>
        <v/>
      </c>
      <c r="Q90" s="6">
        <f>"ВОбс. Низкий объём масла в МБК  "</f>
        <v/>
      </c>
      <c r="R90" s="7">
        <f>IF(N90, S90, "")</f>
        <v/>
      </c>
      <c r="S90" s="7">
        <f>CurrAttrValue(C90, 0)</f>
        <v/>
      </c>
      <c r="T90" s="5">
        <f>IF(K90=-200, "д.вх.", K90)</f>
        <v/>
      </c>
      <c r="U90" s="5">
        <f>IF(L90=-200, "д.вх.", IF(N90, O90, L90))</f>
        <v/>
      </c>
      <c r="V90" s="5">
        <f>CurrAttrValue(G90, 0)</f>
        <v/>
      </c>
      <c r="W90" s="5">
        <f>IF(M90, "Блокирована", IF(N90, "Проверено", "-"))</f>
        <v/>
      </c>
    </row>
    <row r="91" ht="20" customHeight="1">
      <c r="A91">
        <f>"System.PZ.A077"</f>
        <v/>
      </c>
      <c r="B91">
        <f>CONCATENATE($A$2, $A$1, $A91, B$2)</f>
        <v/>
      </c>
      <c r="C91">
        <f>CONCATENATE($A$2, $A$1, $A91, C$2)</f>
        <v/>
      </c>
      <c r="D91">
        <f>CONCATENATE($A$2, $A$1, $A91, D$2)</f>
        <v/>
      </c>
      <c r="E91">
        <f>CONCATENATE($A$2, $A$1, $A91, E$2)</f>
        <v/>
      </c>
      <c r="F91">
        <f>CONCATENATE($A$2, $A$1, $A91, F$2)</f>
        <v/>
      </c>
      <c r="G91">
        <f>CONCATENATE($A$2, $A$1, $A91, G$2)</f>
        <v/>
      </c>
      <c r="H91">
        <f>CONCATENATE($A$2, $A$1, $A91, H$2)</f>
        <v/>
      </c>
      <c r="I91">
        <f>CONCATENATE($A$2, $A$1, $A91, I$2)</f>
        <v/>
      </c>
      <c r="J91">
        <f>CONCATENATE($A$2, $A$1, $A91, J$2)</f>
        <v/>
      </c>
      <c r="K91">
        <f>CurrAttrValue(D91, 0)</f>
        <v/>
      </c>
      <c r="L91">
        <f>CurrAttrValue(E91, 0)</f>
        <v/>
      </c>
      <c r="M91">
        <f>CurrAttrValue(H91, 0)</f>
        <v/>
      </c>
      <c r="N91">
        <f>CurrAttrValue(I91, 0)</f>
        <v/>
      </c>
      <c r="O91">
        <f>CurrAttrValue(J91, 0)</f>
        <v/>
      </c>
      <c r="P91" s="5">
        <f>"70"</f>
        <v/>
      </c>
      <c r="Q91" s="6">
        <f>"АОсс. Низкое Р масла на входе в ЦБН т.1  "</f>
        <v/>
      </c>
      <c r="R91" s="7">
        <f>IF(N91, S91, "")</f>
        <v/>
      </c>
      <c r="S91" s="7">
        <f>CurrAttrValue(C91, 0)</f>
        <v/>
      </c>
      <c r="T91" s="5">
        <f>IF(K91=-200, "д.вх.", K91)</f>
        <v/>
      </c>
      <c r="U91" s="5">
        <f>IF(L91=-200, "д.вх.", IF(N91, O91, L91))</f>
        <v/>
      </c>
      <c r="V91" s="5">
        <f>CurrAttrValue(G91, 0)</f>
        <v/>
      </c>
      <c r="W91" s="5">
        <f>IF(M91, "Блокирована", IF(N91, "Проверено", "-"))</f>
        <v/>
      </c>
    </row>
    <row r="92" ht="20" customHeight="1">
      <c r="A92">
        <f>"System.PZ.A078"</f>
        <v/>
      </c>
      <c r="B92">
        <f>CONCATENATE($A$2, $A$1, $A92, B$2)</f>
        <v/>
      </c>
      <c r="C92">
        <f>CONCATENATE($A$2, $A$1, $A92, C$2)</f>
        <v/>
      </c>
      <c r="D92">
        <f>CONCATENATE($A$2, $A$1, $A92, D$2)</f>
        <v/>
      </c>
      <c r="E92">
        <f>CONCATENATE($A$2, $A$1, $A92, E$2)</f>
        <v/>
      </c>
      <c r="F92">
        <f>CONCATENATE($A$2, $A$1, $A92, F$2)</f>
        <v/>
      </c>
      <c r="G92">
        <f>CONCATENATE($A$2, $A$1, $A92, G$2)</f>
        <v/>
      </c>
      <c r="H92">
        <f>CONCATENATE($A$2, $A$1, $A92, H$2)</f>
        <v/>
      </c>
      <c r="I92">
        <f>CONCATENATE($A$2, $A$1, $A92, I$2)</f>
        <v/>
      </c>
      <c r="J92">
        <f>CONCATENATE($A$2, $A$1, $A92, J$2)</f>
        <v/>
      </c>
      <c r="K92">
        <f>CurrAttrValue(D92, 0)</f>
        <v/>
      </c>
      <c r="L92">
        <f>CurrAttrValue(E92, 0)</f>
        <v/>
      </c>
      <c r="M92">
        <f>CurrAttrValue(H92, 0)</f>
        <v/>
      </c>
      <c r="N92">
        <f>CurrAttrValue(I92, 0)</f>
        <v/>
      </c>
      <c r="O92">
        <f>CurrAttrValue(J92, 0)</f>
        <v/>
      </c>
      <c r="P92" s="5">
        <f>"71"</f>
        <v/>
      </c>
      <c r="Q92" s="6">
        <f>"АОсс. Низкое Р масла на входе в ЦБН т.2  "</f>
        <v/>
      </c>
      <c r="R92" s="7">
        <f>IF(N92, S92, "")</f>
        <v/>
      </c>
      <c r="S92" s="7">
        <f>CurrAttrValue(C92, 0)</f>
        <v/>
      </c>
      <c r="T92" s="5">
        <f>IF(K92=-200, "д.вх.", K92)</f>
        <v/>
      </c>
      <c r="U92" s="5">
        <f>IF(L92=-200, "д.вх.", IF(N92, O92, L92))</f>
        <v/>
      </c>
      <c r="V92" s="5">
        <f>CurrAttrValue(G92, 0)</f>
        <v/>
      </c>
      <c r="W92" s="5">
        <f>IF(M92, "Блокирована", IF(N92, "Проверено", "-"))</f>
        <v/>
      </c>
    </row>
    <row r="93" ht="20" customHeight="1">
      <c r="A93">
        <f>"System.PZ.A079"</f>
        <v/>
      </c>
      <c r="B93">
        <f>CONCATENATE($A$2, $A$1, $A93, B$2)</f>
        <v/>
      </c>
      <c r="C93">
        <f>CONCATENATE($A$2, $A$1, $A93, C$2)</f>
        <v/>
      </c>
      <c r="D93">
        <f>CONCATENATE($A$2, $A$1, $A93, D$2)</f>
        <v/>
      </c>
      <c r="E93">
        <f>CONCATENATE($A$2, $A$1, $A93, E$2)</f>
        <v/>
      </c>
      <c r="F93">
        <f>CONCATENATE($A$2, $A$1, $A93, F$2)</f>
        <v/>
      </c>
      <c r="G93">
        <f>CONCATENATE($A$2, $A$1, $A93, G$2)</f>
        <v/>
      </c>
      <c r="H93">
        <f>CONCATENATE($A$2, $A$1, $A93, H$2)</f>
        <v/>
      </c>
      <c r="I93">
        <f>CONCATENATE($A$2, $A$1, $A93, I$2)</f>
        <v/>
      </c>
      <c r="J93">
        <f>CONCATENATE($A$2, $A$1, $A93, J$2)</f>
        <v/>
      </c>
      <c r="K93">
        <f>CurrAttrValue(D93, 0)</f>
        <v/>
      </c>
      <c r="L93">
        <f>CurrAttrValue(E93, 0)</f>
        <v/>
      </c>
      <c r="M93">
        <f>CurrAttrValue(H93, 0)</f>
        <v/>
      </c>
      <c r="N93">
        <f>CurrAttrValue(I93, 0)</f>
        <v/>
      </c>
      <c r="O93">
        <f>CurrAttrValue(J93, 0)</f>
        <v/>
      </c>
      <c r="P93" s="5">
        <f>"72"</f>
        <v/>
      </c>
      <c r="Q93" s="6">
        <f>"АОсс. Низкое давление масла смазки компрессора  "</f>
        <v/>
      </c>
      <c r="R93" s="7">
        <f>IF(N93, S93, "")</f>
        <v/>
      </c>
      <c r="S93" s="7">
        <f>CurrAttrValue(C93, 0)</f>
        <v/>
      </c>
      <c r="T93" s="5">
        <f>IF(K93=-200, "д.вх.", K93)</f>
        <v/>
      </c>
      <c r="U93" s="5">
        <f>IF(L93=-200, "д.вх.", IF(N93, O93, L93))</f>
        <v/>
      </c>
      <c r="V93" s="5">
        <f>CurrAttrValue(G93, 0)</f>
        <v/>
      </c>
      <c r="W93" s="5">
        <f>IF(M93, "Блокирована", IF(N93, "Проверено", "-"))</f>
        <v/>
      </c>
    </row>
    <row r="94" ht="20" customHeight="1">
      <c r="A94">
        <f>"System.PZ.A080"</f>
        <v/>
      </c>
      <c r="B94">
        <f>CONCATENATE($A$2, $A$1, $A94, B$2)</f>
        <v/>
      </c>
      <c r="C94">
        <f>CONCATENATE($A$2, $A$1, $A94, C$2)</f>
        <v/>
      </c>
      <c r="D94">
        <f>CONCATENATE($A$2, $A$1, $A94, D$2)</f>
        <v/>
      </c>
      <c r="E94">
        <f>CONCATENATE($A$2, $A$1, $A94, E$2)</f>
        <v/>
      </c>
      <c r="F94">
        <f>CONCATENATE($A$2, $A$1, $A94, F$2)</f>
        <v/>
      </c>
      <c r="G94">
        <f>CONCATENATE($A$2, $A$1, $A94, G$2)</f>
        <v/>
      </c>
      <c r="H94">
        <f>CONCATENATE($A$2, $A$1, $A94, H$2)</f>
        <v/>
      </c>
      <c r="I94">
        <f>CONCATENATE($A$2, $A$1, $A94, I$2)</f>
        <v/>
      </c>
      <c r="J94">
        <f>CONCATENATE($A$2, $A$1, $A94, J$2)</f>
        <v/>
      </c>
      <c r="K94">
        <f>CurrAttrValue(D94, 0)</f>
        <v/>
      </c>
      <c r="L94">
        <f>CurrAttrValue(E94, 0)</f>
        <v/>
      </c>
      <c r="M94">
        <f>CurrAttrValue(H94, 0)</f>
        <v/>
      </c>
      <c r="N94">
        <f>CurrAttrValue(I94, 0)</f>
        <v/>
      </c>
      <c r="O94">
        <f>CurrAttrValue(J94, 0)</f>
        <v/>
      </c>
      <c r="P94" s="5">
        <f>"73"</f>
        <v/>
      </c>
      <c r="Q94" s="6">
        <f>"АОсс. Низкое Р барьерного воздуха   "</f>
        <v/>
      </c>
      <c r="R94" s="7">
        <f>IF(N94, S94, "")</f>
        <v/>
      </c>
      <c r="S94" s="7">
        <f>CurrAttrValue(C94, 0)</f>
        <v/>
      </c>
      <c r="T94" s="5">
        <f>IF(K94=-200, "д.вх.", K94)</f>
        <v/>
      </c>
      <c r="U94" s="5">
        <f>IF(L94=-200, "д.вх.", IF(N94, O94, L94))</f>
        <v/>
      </c>
      <c r="V94" s="5">
        <f>CurrAttrValue(G94, 0)</f>
        <v/>
      </c>
      <c r="W94" s="5">
        <f>IF(M94, "Блокирована", IF(N94, "Проверено", "-"))</f>
        <v/>
      </c>
    </row>
    <row r="95" ht="20" customHeight="1">
      <c r="A95">
        <f>"System.PZ.A081"</f>
        <v/>
      </c>
      <c r="B95">
        <f>CONCATENATE($A$2, $A$1, $A95, B$2)</f>
        <v/>
      </c>
      <c r="C95">
        <f>CONCATENATE($A$2, $A$1, $A95, C$2)</f>
        <v/>
      </c>
      <c r="D95">
        <f>CONCATENATE($A$2, $A$1, $A95, D$2)</f>
        <v/>
      </c>
      <c r="E95">
        <f>CONCATENATE($A$2, $A$1, $A95, E$2)</f>
        <v/>
      </c>
      <c r="F95">
        <f>CONCATENATE($A$2, $A$1, $A95, F$2)</f>
        <v/>
      </c>
      <c r="G95">
        <f>CONCATENATE($A$2, $A$1, $A95, G$2)</f>
        <v/>
      </c>
      <c r="H95">
        <f>CONCATENATE($A$2, $A$1, $A95, H$2)</f>
        <v/>
      </c>
      <c r="I95">
        <f>CONCATENATE($A$2, $A$1, $A95, I$2)</f>
        <v/>
      </c>
      <c r="J95">
        <f>CONCATENATE($A$2, $A$1, $A95, J$2)</f>
        <v/>
      </c>
      <c r="K95">
        <f>CurrAttrValue(D95, 0)</f>
        <v/>
      </c>
      <c r="L95">
        <f>CurrAttrValue(E95, 0)</f>
        <v/>
      </c>
      <c r="M95">
        <f>CurrAttrValue(H95, 0)</f>
        <v/>
      </c>
      <c r="N95">
        <f>CurrAttrValue(I95, 0)</f>
        <v/>
      </c>
      <c r="O95">
        <f>CurrAttrValue(J95, 0)</f>
        <v/>
      </c>
      <c r="P95" s="5">
        <f>"74"</f>
        <v/>
      </c>
      <c r="Q95" s="6">
        <f>"АОсс. Высокое Р утечки после 1-й ступени ГДУ (всас)  "</f>
        <v/>
      </c>
      <c r="R95" s="7">
        <f>IF(N95, S95, "")</f>
        <v/>
      </c>
      <c r="S95" s="7">
        <f>CurrAttrValue(C95, 0)</f>
        <v/>
      </c>
      <c r="T95" s="5">
        <f>IF(K95=-200, "д.вх.", K95)</f>
        <v/>
      </c>
      <c r="U95" s="5">
        <f>IF(L95=-200, "д.вх.", IF(N95, O95, L95))</f>
        <v/>
      </c>
      <c r="V95" s="5">
        <f>CurrAttrValue(G95, 0)</f>
        <v/>
      </c>
      <c r="W95" s="5">
        <f>IF(M95, "Блокирована", IF(N95, "Проверено", "-"))</f>
        <v/>
      </c>
    </row>
    <row r="96" ht="20" customHeight="1">
      <c r="A96">
        <f>"System.PZ.A082"</f>
        <v/>
      </c>
      <c r="B96">
        <f>CONCATENATE($A$2, $A$1, $A96, B$2)</f>
        <v/>
      </c>
      <c r="C96">
        <f>CONCATENATE($A$2, $A$1, $A96, C$2)</f>
        <v/>
      </c>
      <c r="D96">
        <f>CONCATENATE($A$2, $A$1, $A96, D$2)</f>
        <v/>
      </c>
      <c r="E96">
        <f>CONCATENATE($A$2, $A$1, $A96, E$2)</f>
        <v/>
      </c>
      <c r="F96">
        <f>CONCATENATE($A$2, $A$1, $A96, F$2)</f>
        <v/>
      </c>
      <c r="G96">
        <f>CONCATENATE($A$2, $A$1, $A96, G$2)</f>
        <v/>
      </c>
      <c r="H96">
        <f>CONCATENATE($A$2, $A$1, $A96, H$2)</f>
        <v/>
      </c>
      <c r="I96">
        <f>CONCATENATE($A$2, $A$1, $A96, I$2)</f>
        <v/>
      </c>
      <c r="J96">
        <f>CONCATENATE($A$2, $A$1, $A96, J$2)</f>
        <v/>
      </c>
      <c r="K96">
        <f>CurrAttrValue(D96, 0)</f>
        <v/>
      </c>
      <c r="L96">
        <f>CurrAttrValue(E96, 0)</f>
        <v/>
      </c>
      <c r="M96">
        <f>CurrAttrValue(H96, 0)</f>
        <v/>
      </c>
      <c r="N96">
        <f>CurrAttrValue(I96, 0)</f>
        <v/>
      </c>
      <c r="O96">
        <f>CurrAttrValue(J96, 0)</f>
        <v/>
      </c>
      <c r="P96" s="5">
        <f>"75"</f>
        <v/>
      </c>
      <c r="Q96" s="6">
        <f>"АОсс. Высокое Р утечки после 1-й ступени ГДУ (нагн)  "</f>
        <v/>
      </c>
      <c r="R96" s="7">
        <f>IF(N96, S96, "")</f>
        <v/>
      </c>
      <c r="S96" s="7">
        <f>CurrAttrValue(C96, 0)</f>
        <v/>
      </c>
      <c r="T96" s="5">
        <f>IF(K96=-200, "д.вх.", K96)</f>
        <v/>
      </c>
      <c r="U96" s="5">
        <f>IF(L96=-200, "д.вх.", IF(N96, O96, L96))</f>
        <v/>
      </c>
      <c r="V96" s="5">
        <f>CurrAttrValue(G96, 0)</f>
        <v/>
      </c>
      <c r="W96" s="5">
        <f>IF(M96, "Блокирована", IF(N96, "Проверено", "-"))</f>
        <v/>
      </c>
    </row>
    <row r="97" ht="20" customHeight="1">
      <c r="A97">
        <f>"System.PZ.A083"</f>
        <v/>
      </c>
      <c r="B97">
        <f>CONCATENATE($A$2, $A$1, $A97, B$2)</f>
        <v/>
      </c>
      <c r="C97">
        <f>CONCATENATE($A$2, $A$1, $A97, C$2)</f>
        <v/>
      </c>
      <c r="D97">
        <f>CONCATENATE($A$2, $A$1, $A97, D$2)</f>
        <v/>
      </c>
      <c r="E97">
        <f>CONCATENATE($A$2, $A$1, $A97, E$2)</f>
        <v/>
      </c>
      <c r="F97">
        <f>CONCATENATE($A$2, $A$1, $A97, F$2)</f>
        <v/>
      </c>
      <c r="G97">
        <f>CONCATENATE($A$2, $A$1, $A97, G$2)</f>
        <v/>
      </c>
      <c r="H97">
        <f>CONCATENATE($A$2, $A$1, $A97, H$2)</f>
        <v/>
      </c>
      <c r="I97">
        <f>CONCATENATE($A$2, $A$1, $A97, I$2)</f>
        <v/>
      </c>
      <c r="J97">
        <f>CONCATENATE($A$2, $A$1, $A97, J$2)</f>
        <v/>
      </c>
      <c r="K97">
        <f>CurrAttrValue(D97, 0)</f>
        <v/>
      </c>
      <c r="L97">
        <f>CurrAttrValue(E97, 0)</f>
        <v/>
      </c>
      <c r="M97">
        <f>CurrAttrValue(H97, 0)</f>
        <v/>
      </c>
      <c r="N97">
        <f>CurrAttrValue(I97, 0)</f>
        <v/>
      </c>
      <c r="O97">
        <f>CurrAttrValue(J97, 0)</f>
        <v/>
      </c>
      <c r="P97" s="5">
        <f>"76"</f>
        <v/>
      </c>
      <c r="Q97" s="6">
        <f>"АОсс. Высокое Р утечки после 1-й ступени ГДУ (всас)  "</f>
        <v/>
      </c>
      <c r="R97" s="7">
        <f>IF(N97, S97, "")</f>
        <v/>
      </c>
      <c r="S97" s="7">
        <f>CurrAttrValue(C97, 0)</f>
        <v/>
      </c>
      <c r="T97" s="5">
        <f>IF(K97=-200, "д.вх.", K97)</f>
        <v/>
      </c>
      <c r="U97" s="5">
        <f>IF(L97=-200, "д.вх.", IF(N97, O97, L97))</f>
        <v/>
      </c>
      <c r="V97" s="5">
        <f>CurrAttrValue(G97, 0)</f>
        <v/>
      </c>
      <c r="W97" s="5">
        <f>IF(M97, "Блокирована", IF(N97, "Проверено", "-"))</f>
        <v/>
      </c>
    </row>
    <row r="98" ht="20" customHeight="1">
      <c r="A98">
        <f>"System.PZ.A084"</f>
        <v/>
      </c>
      <c r="B98">
        <f>CONCATENATE($A$2, $A$1, $A98, B$2)</f>
        <v/>
      </c>
      <c r="C98">
        <f>CONCATENATE($A$2, $A$1, $A98, C$2)</f>
        <v/>
      </c>
      <c r="D98">
        <f>CONCATENATE($A$2, $A$1, $A98, D$2)</f>
        <v/>
      </c>
      <c r="E98">
        <f>CONCATENATE($A$2, $A$1, $A98, E$2)</f>
        <v/>
      </c>
      <c r="F98">
        <f>CONCATENATE($A$2, $A$1, $A98, F$2)</f>
        <v/>
      </c>
      <c r="G98">
        <f>CONCATENATE($A$2, $A$1, $A98, G$2)</f>
        <v/>
      </c>
      <c r="H98">
        <f>CONCATENATE($A$2, $A$1, $A98, H$2)</f>
        <v/>
      </c>
      <c r="I98">
        <f>CONCATENATE($A$2, $A$1, $A98, I$2)</f>
        <v/>
      </c>
      <c r="J98">
        <f>CONCATENATE($A$2, $A$1, $A98, J$2)</f>
        <v/>
      </c>
      <c r="K98">
        <f>CurrAttrValue(D98, 0)</f>
        <v/>
      </c>
      <c r="L98">
        <f>CurrAttrValue(E98, 0)</f>
        <v/>
      </c>
      <c r="M98">
        <f>CurrAttrValue(H98, 0)</f>
        <v/>
      </c>
      <c r="N98">
        <f>CurrAttrValue(I98, 0)</f>
        <v/>
      </c>
      <c r="O98">
        <f>CurrAttrValue(J98, 0)</f>
        <v/>
      </c>
      <c r="P98" s="5">
        <f>"77"</f>
        <v/>
      </c>
      <c r="Q98" s="6">
        <f>"АОсс. Высокое Р утечки после 1-й ступени ГДУ (нагн)  "</f>
        <v/>
      </c>
      <c r="R98" s="7">
        <f>IF(N98, S98, "")</f>
        <v/>
      </c>
      <c r="S98" s="7">
        <f>CurrAttrValue(C98, 0)</f>
        <v/>
      </c>
      <c r="T98" s="5">
        <f>IF(K98=-200, "д.вх.", K98)</f>
        <v/>
      </c>
      <c r="U98" s="5">
        <f>IF(L98=-200, "д.вх.", IF(N98, O98, L98))</f>
        <v/>
      </c>
      <c r="V98" s="5">
        <f>CurrAttrValue(G98, 0)</f>
        <v/>
      </c>
      <c r="W98" s="5">
        <f>IF(M98, "Блокирована", IF(N98, "Проверено", "-"))</f>
        <v/>
      </c>
    </row>
    <row r="99" ht="20" customHeight="1">
      <c r="A99">
        <f>"System.PZ.A085"</f>
        <v/>
      </c>
      <c r="B99">
        <f>CONCATENATE($A$2, $A$1, $A99, B$2)</f>
        <v/>
      </c>
      <c r="C99">
        <f>CONCATENATE($A$2, $A$1, $A99, C$2)</f>
        <v/>
      </c>
      <c r="D99">
        <f>CONCATENATE($A$2, $A$1, $A99, D$2)</f>
        <v/>
      </c>
      <c r="E99">
        <f>CONCATENATE($A$2, $A$1, $A99, E$2)</f>
        <v/>
      </c>
      <c r="F99">
        <f>CONCATENATE($A$2, $A$1, $A99, F$2)</f>
        <v/>
      </c>
      <c r="G99">
        <f>CONCATENATE($A$2, $A$1, $A99, G$2)</f>
        <v/>
      </c>
      <c r="H99">
        <f>CONCATENATE($A$2, $A$1, $A99, H$2)</f>
        <v/>
      </c>
      <c r="I99">
        <f>CONCATENATE($A$2, $A$1, $A99, I$2)</f>
        <v/>
      </c>
      <c r="J99">
        <f>CONCATENATE($A$2, $A$1, $A99, J$2)</f>
        <v/>
      </c>
      <c r="K99">
        <f>CurrAttrValue(D99, 0)</f>
        <v/>
      </c>
      <c r="L99">
        <f>CurrAttrValue(E99, 0)</f>
        <v/>
      </c>
      <c r="M99">
        <f>CurrAttrValue(H99, 0)</f>
        <v/>
      </c>
      <c r="N99">
        <f>CurrAttrValue(I99, 0)</f>
        <v/>
      </c>
      <c r="O99">
        <f>CurrAttrValue(J99, 0)</f>
        <v/>
      </c>
      <c r="P99" s="5">
        <f>"78"</f>
        <v/>
      </c>
      <c r="Q99" s="6">
        <f>"АОсс. Разрыв предохранительной мембраны MПУ1   "</f>
        <v/>
      </c>
      <c r="R99" s="7">
        <f>IF(N99, S99, "")</f>
        <v/>
      </c>
      <c r="S99" s="7">
        <f>CurrAttrValue(C99, 0)</f>
        <v/>
      </c>
      <c r="T99" s="5">
        <f>IF(K99=-200, "д.вх.", K99)</f>
        <v/>
      </c>
      <c r="U99" s="5">
        <f>IF(L99=-200, "д.вх.", IF(N99, O99, L99))</f>
        <v/>
      </c>
      <c r="V99" s="5">
        <f>CurrAttrValue(G99, 0)</f>
        <v/>
      </c>
      <c r="W99" s="5">
        <f>IF(M99, "Блокирована", IF(N99, "Проверено", "-"))</f>
        <v/>
      </c>
    </row>
    <row r="102" ht="35" customHeight="1">
      <c r="Q102" s="8">
        <f>"должность"</f>
        <v/>
      </c>
      <c r="R102" s="9" t="n"/>
      <c r="S102" s="8">
        <f>"ФИО"</f>
        <v/>
      </c>
      <c r="T102" s="9" t="n"/>
      <c r="U102" s="8">
        <f>"подпись"</f>
        <v/>
      </c>
    </row>
    <row r="103" ht="35" customHeight="1">
      <c r="Q103" s="8">
        <f>"должность"</f>
        <v/>
      </c>
      <c r="R103" s="9" t="n"/>
      <c r="S103" s="8">
        <f>"ФИО"</f>
        <v/>
      </c>
      <c r="T103" s="9" t="n"/>
      <c r="U103" s="8">
        <f>"подпись"</f>
        <v/>
      </c>
    </row>
    <row r="104" ht="35" customHeight="1">
      <c r="Q104" s="8">
        <f>"должность"</f>
        <v/>
      </c>
      <c r="R104" s="9" t="n"/>
      <c r="S104" s="8">
        <f>"ФИО"</f>
        <v/>
      </c>
      <c r="T104" s="9" t="n"/>
      <c r="U104" s="8">
        <f>"подпись"</f>
        <v/>
      </c>
    </row>
    <row r="106" ht="25" customHeight="1">
      <c r="Q106" s="1">
        <f>"Протокол проверки защит ГПА №6 на "</f>
        <v/>
      </c>
      <c r="R106" s="2">
        <f>R1</f>
        <v/>
      </c>
      <c r="S106" s="3">
        <f>S1</f>
        <v/>
      </c>
    </row>
    <row r="108" ht="20" customHeight="1">
      <c r="P108" s="4">
        <f>"№"</f>
        <v/>
      </c>
      <c r="Q108" s="4">
        <f>"Наименование защиты  "</f>
        <v/>
      </c>
      <c r="R108" s="4">
        <f>"Таймер"</f>
        <v/>
      </c>
      <c r="S108" s="4">
        <f>"Задержка"</f>
        <v/>
      </c>
      <c r="T108" s="4">
        <f>"Уставка"</f>
        <v/>
      </c>
      <c r="U108" s="4">
        <f>"Значение"</f>
        <v/>
      </c>
      <c r="V108" s="4">
        <f>"Eд.изм"</f>
        <v/>
      </c>
      <c r="W108" s="4">
        <f>"Отметка о проверке"</f>
        <v/>
      </c>
    </row>
    <row r="109" ht="20" customHeight="1">
      <c r="A109">
        <f>"System.PZ.A086"</f>
        <v/>
      </c>
      <c r="B109">
        <f>CONCATENATE($A$2, $A$1, $A109, B$2)</f>
        <v/>
      </c>
      <c r="C109">
        <f>CONCATENATE($A$2, $A$1, $A109, C$2)</f>
        <v/>
      </c>
      <c r="D109">
        <f>CONCATENATE($A$2, $A$1, $A109, D$2)</f>
        <v/>
      </c>
      <c r="E109">
        <f>CONCATENATE($A$2, $A$1, $A109, E$2)</f>
        <v/>
      </c>
      <c r="F109">
        <f>CONCATENATE($A$2, $A$1, $A109, F$2)</f>
        <v/>
      </c>
      <c r="G109">
        <f>CONCATENATE($A$2, $A$1, $A109, G$2)</f>
        <v/>
      </c>
      <c r="H109">
        <f>CONCATENATE($A$2, $A$1, $A109, H$2)</f>
        <v/>
      </c>
      <c r="I109">
        <f>CONCATENATE($A$2, $A$1, $A109, I$2)</f>
        <v/>
      </c>
      <c r="J109">
        <f>CONCATENATE($A$2, $A$1, $A109, J$2)</f>
        <v/>
      </c>
      <c r="K109">
        <f>CurrAttrValue(D109, 0)</f>
        <v/>
      </c>
      <c r="L109">
        <f>CurrAttrValue(E109, 0)</f>
        <v/>
      </c>
      <c r="M109">
        <f>CurrAttrValue(H109, 0)</f>
        <v/>
      </c>
      <c r="N109">
        <f>CurrAttrValue(I109, 0)</f>
        <v/>
      </c>
      <c r="O109">
        <f>CurrAttrValue(J109, 0)</f>
        <v/>
      </c>
      <c r="P109" s="5">
        <f>"79"</f>
        <v/>
      </c>
      <c r="Q109" s="6">
        <f>"АОсс. Разрыв предохранительной мембраны MПУ2  "</f>
        <v/>
      </c>
      <c r="R109" s="7">
        <f>IF(N109, S109, "")</f>
        <v/>
      </c>
      <c r="S109" s="7">
        <f>CurrAttrValue(C109, 0)</f>
        <v/>
      </c>
      <c r="T109" s="5">
        <f>IF(K109=-200, "д.вх.", K109)</f>
        <v/>
      </c>
      <c r="U109" s="5">
        <f>IF(L109=-200, "д.вх.", IF(N109, O109, L109))</f>
        <v/>
      </c>
      <c r="V109" s="5">
        <f>CurrAttrValue(G109, 0)</f>
        <v/>
      </c>
      <c r="W109" s="5">
        <f>IF(M109, "Блокирована", IF(N109, "Проверено", "-"))</f>
        <v/>
      </c>
    </row>
    <row r="110" ht="20" customHeight="1">
      <c r="A110">
        <f>"System.PZ.A087"</f>
        <v/>
      </c>
      <c r="B110">
        <f>CONCATENATE($A$2, $A$1, $A110, B$2)</f>
        <v/>
      </c>
      <c r="C110">
        <f>CONCATENATE($A$2, $A$1, $A110, C$2)</f>
        <v/>
      </c>
      <c r="D110">
        <f>CONCATENATE($A$2, $A$1, $A110, D$2)</f>
        <v/>
      </c>
      <c r="E110">
        <f>CONCATENATE($A$2, $A$1, $A110, E$2)</f>
        <v/>
      </c>
      <c r="F110">
        <f>CONCATENATE($A$2, $A$1, $A110, F$2)</f>
        <v/>
      </c>
      <c r="G110">
        <f>CONCATENATE($A$2, $A$1, $A110, G$2)</f>
        <v/>
      </c>
      <c r="H110">
        <f>CONCATENATE($A$2, $A$1, $A110, H$2)</f>
        <v/>
      </c>
      <c r="I110">
        <f>CONCATENATE($A$2, $A$1, $A110, I$2)</f>
        <v/>
      </c>
      <c r="J110">
        <f>CONCATENATE($A$2, $A$1, $A110, J$2)</f>
        <v/>
      </c>
      <c r="K110">
        <f>CurrAttrValue(D110, 0)</f>
        <v/>
      </c>
      <c r="L110">
        <f>CurrAttrValue(E110, 0)</f>
        <v/>
      </c>
      <c r="M110">
        <f>CurrAttrValue(H110, 0)</f>
        <v/>
      </c>
      <c r="N110">
        <f>CurrAttrValue(I110, 0)</f>
        <v/>
      </c>
      <c r="O110">
        <f>CurrAttrValue(J110, 0)</f>
        <v/>
      </c>
      <c r="P110" s="5">
        <f>"80"</f>
        <v/>
      </c>
      <c r="Q110" s="6">
        <f>"АОсс. Загаз. после 2ой ст. СГУ со ст. привода 20% от НКПР  "</f>
        <v/>
      </c>
      <c r="R110" s="7">
        <f>IF(N110, S110, "")</f>
        <v/>
      </c>
      <c r="S110" s="7">
        <f>CurrAttrValue(C110, 0)</f>
        <v/>
      </c>
      <c r="T110" s="5">
        <f>IF(K110=-200, "д.вх.", K110)</f>
        <v/>
      </c>
      <c r="U110" s="5">
        <f>IF(L110=-200, "д.вх.", IF(N110, O110, L110))</f>
        <v/>
      </c>
      <c r="V110" s="5">
        <f>CurrAttrValue(G110, 0)</f>
        <v/>
      </c>
      <c r="W110" s="5">
        <f>IF(M110, "Блокирована", IF(N110, "Проверено", "-"))</f>
        <v/>
      </c>
    </row>
    <row r="111" ht="20" customHeight="1">
      <c r="A111">
        <f>"System.PZ.A088"</f>
        <v/>
      </c>
      <c r="B111">
        <f>CONCATENATE($A$2, $A$1, $A111, B$2)</f>
        <v/>
      </c>
      <c r="C111">
        <f>CONCATENATE($A$2, $A$1, $A111, C$2)</f>
        <v/>
      </c>
      <c r="D111">
        <f>CONCATENATE($A$2, $A$1, $A111, D$2)</f>
        <v/>
      </c>
      <c r="E111">
        <f>CONCATENATE($A$2, $A$1, $A111, E$2)</f>
        <v/>
      </c>
      <c r="F111">
        <f>CONCATENATE($A$2, $A$1, $A111, F$2)</f>
        <v/>
      </c>
      <c r="G111">
        <f>CONCATENATE($A$2, $A$1, $A111, G$2)</f>
        <v/>
      </c>
      <c r="H111">
        <f>CONCATENATE($A$2, $A$1, $A111, H$2)</f>
        <v/>
      </c>
      <c r="I111">
        <f>CONCATENATE($A$2, $A$1, $A111, I$2)</f>
        <v/>
      </c>
      <c r="J111">
        <f>CONCATENATE($A$2, $A$1, $A111, J$2)</f>
        <v/>
      </c>
      <c r="K111">
        <f>CurrAttrValue(D111, 0)</f>
        <v/>
      </c>
      <c r="L111">
        <f>CurrAttrValue(E111, 0)</f>
        <v/>
      </c>
      <c r="M111">
        <f>CurrAttrValue(H111, 0)</f>
        <v/>
      </c>
      <c r="N111">
        <f>CurrAttrValue(I111, 0)</f>
        <v/>
      </c>
      <c r="O111">
        <f>CurrAttrValue(J111, 0)</f>
        <v/>
      </c>
      <c r="P111" s="5">
        <f>"81"</f>
        <v/>
      </c>
      <c r="Q111" s="6">
        <f>"АОсс. Загаз. после 2ой ст. СГУ со ст. свободн.20% от НКПР  "</f>
        <v/>
      </c>
      <c r="R111" s="7">
        <f>IF(N111, S111, "")</f>
        <v/>
      </c>
      <c r="S111" s="7">
        <f>CurrAttrValue(C111, 0)</f>
        <v/>
      </c>
      <c r="T111" s="5">
        <f>IF(K111=-200, "д.вх.", K111)</f>
        <v/>
      </c>
      <c r="U111" s="5">
        <f>IF(L111=-200, "д.вх.", IF(N111, O111, L111))</f>
        <v/>
      </c>
      <c r="V111" s="5">
        <f>CurrAttrValue(G111, 0)</f>
        <v/>
      </c>
      <c r="W111" s="5">
        <f>IF(M111, "Блокирована", IF(N111, "Проверено", "-"))</f>
        <v/>
      </c>
    </row>
    <row r="112" ht="20" customHeight="1">
      <c r="A112">
        <f>"System.PZ.A089"</f>
        <v/>
      </c>
      <c r="B112">
        <f>CONCATENATE($A$2, $A$1, $A112, B$2)</f>
        <v/>
      </c>
      <c r="C112">
        <f>CONCATENATE($A$2, $A$1, $A112, C$2)</f>
        <v/>
      </c>
      <c r="D112">
        <f>CONCATENATE($A$2, $A$1, $A112, D$2)</f>
        <v/>
      </c>
      <c r="E112">
        <f>CONCATENATE($A$2, $A$1, $A112, E$2)</f>
        <v/>
      </c>
      <c r="F112">
        <f>CONCATENATE($A$2, $A$1, $A112, F$2)</f>
        <v/>
      </c>
      <c r="G112">
        <f>CONCATENATE($A$2, $A$1, $A112, G$2)</f>
        <v/>
      </c>
      <c r="H112">
        <f>CONCATENATE($A$2, $A$1, $A112, H$2)</f>
        <v/>
      </c>
      <c r="I112">
        <f>CONCATENATE($A$2, $A$1, $A112, I$2)</f>
        <v/>
      </c>
      <c r="J112">
        <f>CONCATENATE($A$2, $A$1, $A112, J$2)</f>
        <v/>
      </c>
      <c r="K112">
        <f>CurrAttrValue(D112, 0)</f>
        <v/>
      </c>
      <c r="L112">
        <f>CurrAttrValue(E112, 0)</f>
        <v/>
      </c>
      <c r="M112">
        <f>CurrAttrValue(H112, 0)</f>
        <v/>
      </c>
      <c r="N112">
        <f>CurrAttrValue(I112, 0)</f>
        <v/>
      </c>
      <c r="O112">
        <f>CurrAttrValue(J112, 0)</f>
        <v/>
      </c>
      <c r="P112" s="5">
        <f>"82"</f>
        <v/>
      </c>
      <c r="Q112" s="6">
        <f>"АОсс. Самопроизвольное закрытие крана 1  "</f>
        <v/>
      </c>
      <c r="R112" s="7">
        <f>IF(N112, S112, "")</f>
        <v/>
      </c>
      <c r="S112" s="7">
        <f>CurrAttrValue(C112, 0)</f>
        <v/>
      </c>
      <c r="T112" s="5">
        <f>IF(K112=-200, "д.вх.", K112)</f>
        <v/>
      </c>
      <c r="U112" s="5">
        <f>IF(L112=-200, "д.вх.", IF(N112, O112, L112))</f>
        <v/>
      </c>
      <c r="V112" s="5">
        <f>CurrAttrValue(G112, 0)</f>
        <v/>
      </c>
      <c r="W112" s="5">
        <f>IF(M112, "Блокирована", IF(N112, "Проверено", "-"))</f>
        <v/>
      </c>
    </row>
    <row r="113" ht="20" customHeight="1">
      <c r="A113">
        <f>"System.PZ.A090"</f>
        <v/>
      </c>
      <c r="B113">
        <f>CONCATENATE($A$2, $A$1, $A113, B$2)</f>
        <v/>
      </c>
      <c r="C113">
        <f>CONCATENATE($A$2, $A$1, $A113, C$2)</f>
        <v/>
      </c>
      <c r="D113">
        <f>CONCATENATE($A$2, $A$1, $A113, D$2)</f>
        <v/>
      </c>
      <c r="E113">
        <f>CONCATENATE($A$2, $A$1, $A113, E$2)</f>
        <v/>
      </c>
      <c r="F113">
        <f>CONCATENATE($A$2, $A$1, $A113, F$2)</f>
        <v/>
      </c>
      <c r="G113">
        <f>CONCATENATE($A$2, $A$1, $A113, G$2)</f>
        <v/>
      </c>
      <c r="H113">
        <f>CONCATENATE($A$2, $A$1, $A113, H$2)</f>
        <v/>
      </c>
      <c r="I113">
        <f>CONCATENATE($A$2, $A$1, $A113, I$2)</f>
        <v/>
      </c>
      <c r="J113">
        <f>CONCATENATE($A$2, $A$1, $A113, J$2)</f>
        <v/>
      </c>
      <c r="K113">
        <f>CurrAttrValue(D113, 0)</f>
        <v/>
      </c>
      <c r="L113">
        <f>CurrAttrValue(E113, 0)</f>
        <v/>
      </c>
      <c r="M113">
        <f>CurrAttrValue(H113, 0)</f>
        <v/>
      </c>
      <c r="N113">
        <f>CurrAttrValue(I113, 0)</f>
        <v/>
      </c>
      <c r="O113">
        <f>CurrAttrValue(J113, 0)</f>
        <v/>
      </c>
      <c r="P113" s="5">
        <f>"83"</f>
        <v/>
      </c>
      <c r="Q113" s="6">
        <f>"АОсс. Самопроизвольное открытие крана 5  "</f>
        <v/>
      </c>
      <c r="R113" s="7">
        <f>IF(N113, S113, "")</f>
        <v/>
      </c>
      <c r="S113" s="7">
        <f>CurrAttrValue(C113, 0)</f>
        <v/>
      </c>
      <c r="T113" s="5">
        <f>IF(K113=-200, "д.вх.", K113)</f>
        <v/>
      </c>
      <c r="U113" s="5">
        <f>IF(L113=-200, "д.вх.", IF(N113, O113, L113))</f>
        <v/>
      </c>
      <c r="V113" s="5">
        <f>CurrAttrValue(G113, 0)</f>
        <v/>
      </c>
      <c r="W113" s="5">
        <f>IF(M113, "Блокирована", IF(N113, "Проверено", "-"))</f>
        <v/>
      </c>
    </row>
    <row r="114" ht="20" customHeight="1">
      <c r="A114">
        <f>"System.PZ.A091"</f>
        <v/>
      </c>
      <c r="B114">
        <f>CONCATENATE($A$2, $A$1, $A114, B$2)</f>
        <v/>
      </c>
      <c r="C114">
        <f>CONCATENATE($A$2, $A$1, $A114, C$2)</f>
        <v/>
      </c>
      <c r="D114">
        <f>CONCATENATE($A$2, $A$1, $A114, D$2)</f>
        <v/>
      </c>
      <c r="E114">
        <f>CONCATENATE($A$2, $A$1, $A114, E$2)</f>
        <v/>
      </c>
      <c r="F114">
        <f>CONCATENATE($A$2, $A$1, $A114, F$2)</f>
        <v/>
      </c>
      <c r="G114">
        <f>CONCATENATE($A$2, $A$1, $A114, G$2)</f>
        <v/>
      </c>
      <c r="H114">
        <f>CONCATENATE($A$2, $A$1, $A114, H$2)</f>
        <v/>
      </c>
      <c r="I114">
        <f>CONCATENATE($A$2, $A$1, $A114, I$2)</f>
        <v/>
      </c>
      <c r="J114">
        <f>CONCATENATE($A$2, $A$1, $A114, J$2)</f>
        <v/>
      </c>
      <c r="K114">
        <f>CurrAttrValue(D114, 0)</f>
        <v/>
      </c>
      <c r="L114">
        <f>CurrAttrValue(E114, 0)</f>
        <v/>
      </c>
      <c r="M114">
        <f>CurrAttrValue(H114, 0)</f>
        <v/>
      </c>
      <c r="N114">
        <f>CurrAttrValue(I114, 0)</f>
        <v/>
      </c>
      <c r="O114">
        <f>CurrAttrValue(J114, 0)</f>
        <v/>
      </c>
      <c r="P114" s="5">
        <f>"84"</f>
        <v/>
      </c>
      <c r="Q114" s="6">
        <f>"АОсс. Пожар в ОД  "</f>
        <v/>
      </c>
      <c r="R114" s="7">
        <f>IF(N114, S114, "")</f>
        <v/>
      </c>
      <c r="S114" s="7">
        <f>CurrAttrValue(C114, 0)</f>
        <v/>
      </c>
      <c r="T114" s="5">
        <f>IF(K114=-200, "д.вх.", K114)</f>
        <v/>
      </c>
      <c r="U114" s="5">
        <f>IF(L114=-200, "д.вх.", IF(N114, O114, L114))</f>
        <v/>
      </c>
      <c r="V114" s="5">
        <f>CurrAttrValue(G114, 0)</f>
        <v/>
      </c>
      <c r="W114" s="5">
        <f>IF(M114, "Блокирована", IF(N114, "Проверено", "-"))</f>
        <v/>
      </c>
    </row>
    <row r="115" ht="20" customHeight="1">
      <c r="A115">
        <f>"System.PZ.A092"</f>
        <v/>
      </c>
      <c r="B115">
        <f>CONCATENATE($A$2, $A$1, $A115, B$2)</f>
        <v/>
      </c>
      <c r="C115">
        <f>CONCATENATE($A$2, $A$1, $A115, C$2)</f>
        <v/>
      </c>
      <c r="D115">
        <f>CONCATENATE($A$2, $A$1, $A115, D$2)</f>
        <v/>
      </c>
      <c r="E115">
        <f>CONCATENATE($A$2, $A$1, $A115, E$2)</f>
        <v/>
      </c>
      <c r="F115">
        <f>CONCATENATE($A$2, $A$1, $A115, F$2)</f>
        <v/>
      </c>
      <c r="G115">
        <f>CONCATENATE($A$2, $A$1, $A115, G$2)</f>
        <v/>
      </c>
      <c r="H115">
        <f>CONCATENATE($A$2, $A$1, $A115, H$2)</f>
        <v/>
      </c>
      <c r="I115">
        <f>CONCATENATE($A$2, $A$1, $A115, I$2)</f>
        <v/>
      </c>
      <c r="J115">
        <f>CONCATENATE($A$2, $A$1, $A115, J$2)</f>
        <v/>
      </c>
      <c r="K115">
        <f>CurrAttrValue(D115, 0)</f>
        <v/>
      </c>
      <c r="L115">
        <f>CurrAttrValue(E115, 0)</f>
        <v/>
      </c>
      <c r="M115">
        <f>CurrAttrValue(H115, 0)</f>
        <v/>
      </c>
      <c r="N115">
        <f>CurrAttrValue(I115, 0)</f>
        <v/>
      </c>
      <c r="O115">
        <f>CurrAttrValue(J115, 0)</f>
        <v/>
      </c>
      <c r="P115" s="5">
        <f>"85"</f>
        <v/>
      </c>
      <c r="Q115" s="6">
        <f>"АОсс. Пожар в ангаре  "</f>
        <v/>
      </c>
      <c r="R115" s="7">
        <f>IF(N115, S115, "")</f>
        <v/>
      </c>
      <c r="S115" s="7">
        <f>CurrAttrValue(C115, 0)</f>
        <v/>
      </c>
      <c r="T115" s="5">
        <f>IF(K115=-200, "д.вх.", K115)</f>
        <v/>
      </c>
      <c r="U115" s="5">
        <f>IF(L115=-200, "д.вх.", IF(N115, O115, L115))</f>
        <v/>
      </c>
      <c r="V115" s="5">
        <f>CurrAttrValue(G115, 0)</f>
        <v/>
      </c>
      <c r="W115" s="5">
        <f>IF(M115, "Блокирована", IF(N115, "Проверено", "-"))</f>
        <v/>
      </c>
    </row>
    <row r="116" ht="20" customHeight="1">
      <c r="A116">
        <f>"System.PZ.A093"</f>
        <v/>
      </c>
      <c r="B116">
        <f>CONCATENATE($A$2, $A$1, $A116, B$2)</f>
        <v/>
      </c>
      <c r="C116">
        <f>CONCATENATE($A$2, $A$1, $A116, C$2)</f>
        <v/>
      </c>
      <c r="D116">
        <f>CONCATENATE($A$2, $A$1, $A116, D$2)</f>
        <v/>
      </c>
      <c r="E116">
        <f>CONCATENATE($A$2, $A$1, $A116, E$2)</f>
        <v/>
      </c>
      <c r="F116">
        <f>CONCATENATE($A$2, $A$1, $A116, F$2)</f>
        <v/>
      </c>
      <c r="G116">
        <f>CONCATENATE($A$2, $A$1, $A116, G$2)</f>
        <v/>
      </c>
      <c r="H116">
        <f>CONCATENATE($A$2, $A$1, $A116, H$2)</f>
        <v/>
      </c>
      <c r="I116">
        <f>CONCATENATE($A$2, $A$1, $A116, I$2)</f>
        <v/>
      </c>
      <c r="J116">
        <f>CONCATENATE($A$2, $A$1, $A116, J$2)</f>
        <v/>
      </c>
      <c r="K116">
        <f>CurrAttrValue(D116, 0)</f>
        <v/>
      </c>
      <c r="L116">
        <f>CurrAttrValue(E116, 0)</f>
        <v/>
      </c>
      <c r="M116">
        <f>CurrAttrValue(H116, 0)</f>
        <v/>
      </c>
      <c r="N116">
        <f>CurrAttrValue(I116, 0)</f>
        <v/>
      </c>
      <c r="O116">
        <f>CurrAttrValue(J116, 0)</f>
        <v/>
      </c>
      <c r="P116" s="5">
        <f>"86"</f>
        <v/>
      </c>
      <c r="Q116" s="6">
        <f>"АОсс. Пожар в блоке ЭТ  "</f>
        <v/>
      </c>
      <c r="R116" s="7">
        <f>IF(N116, S116, "")</f>
        <v/>
      </c>
      <c r="S116" s="7">
        <f>CurrAttrValue(C116, 0)</f>
        <v/>
      </c>
      <c r="T116" s="5">
        <f>IF(K116=-200, "д.вх.", K116)</f>
        <v/>
      </c>
      <c r="U116" s="5">
        <f>IF(L116=-200, "д.вх.", IF(N116, O116, L116))</f>
        <v/>
      </c>
      <c r="V116" s="5">
        <f>CurrAttrValue(G116, 0)</f>
        <v/>
      </c>
      <c r="W116" s="5">
        <f>IF(M116, "Блокирована", IF(N116, "Проверено", "-"))</f>
        <v/>
      </c>
    </row>
    <row r="117" ht="20" customHeight="1">
      <c r="A117">
        <f>"System.PZ.A094"</f>
        <v/>
      </c>
      <c r="B117">
        <f>CONCATENATE($A$2, $A$1, $A117, B$2)</f>
        <v/>
      </c>
      <c r="C117">
        <f>CONCATENATE($A$2, $A$1, $A117, C$2)</f>
        <v/>
      </c>
      <c r="D117">
        <f>CONCATENATE($A$2, $A$1, $A117, D$2)</f>
        <v/>
      </c>
      <c r="E117">
        <f>CONCATENATE($A$2, $A$1, $A117, E$2)</f>
        <v/>
      </c>
      <c r="F117">
        <f>CONCATENATE($A$2, $A$1, $A117, F$2)</f>
        <v/>
      </c>
      <c r="G117">
        <f>CONCATENATE($A$2, $A$1, $A117, G$2)</f>
        <v/>
      </c>
      <c r="H117">
        <f>CONCATENATE($A$2, $A$1, $A117, H$2)</f>
        <v/>
      </c>
      <c r="I117">
        <f>CONCATENATE($A$2, $A$1, $A117, I$2)</f>
        <v/>
      </c>
      <c r="J117">
        <f>CONCATENATE($A$2, $A$1, $A117, J$2)</f>
        <v/>
      </c>
      <c r="K117">
        <f>CurrAttrValue(D117, 0)</f>
        <v/>
      </c>
      <c r="L117">
        <f>CurrAttrValue(E117, 0)</f>
        <v/>
      </c>
      <c r="M117">
        <f>CurrAttrValue(H117, 0)</f>
        <v/>
      </c>
      <c r="N117">
        <f>CurrAttrValue(I117, 0)</f>
        <v/>
      </c>
      <c r="O117">
        <f>CurrAttrValue(J117, 0)</f>
        <v/>
      </c>
      <c r="P117" s="5">
        <f>"87"</f>
        <v/>
      </c>
      <c r="Q117" s="6">
        <f>"АОсс. Пожар в блоке САУ  "</f>
        <v/>
      </c>
      <c r="R117" s="7">
        <f>IF(N117, S117, "")</f>
        <v/>
      </c>
      <c r="S117" s="7">
        <f>CurrAttrValue(C117, 0)</f>
        <v/>
      </c>
      <c r="T117" s="5">
        <f>IF(K117=-200, "д.вх.", K117)</f>
        <v/>
      </c>
      <c r="U117" s="5">
        <f>IF(L117=-200, "д.вх.", IF(N117, O117, L117))</f>
        <v/>
      </c>
      <c r="V117" s="5">
        <f>CurrAttrValue(G117, 0)</f>
        <v/>
      </c>
      <c r="W117" s="5">
        <f>IF(M117, "Блокирована", IF(N117, "Проверено", "-"))</f>
        <v/>
      </c>
    </row>
    <row r="118" ht="20" customHeight="1">
      <c r="A118">
        <f>"System.PZ.A095"</f>
        <v/>
      </c>
      <c r="B118">
        <f>CONCATENATE($A$2, $A$1, $A118, B$2)</f>
        <v/>
      </c>
      <c r="C118">
        <f>CONCATENATE($A$2, $A$1, $A118, C$2)</f>
        <v/>
      </c>
      <c r="D118">
        <f>CONCATENATE($A$2, $A$1, $A118, D$2)</f>
        <v/>
      </c>
      <c r="E118">
        <f>CONCATENATE($A$2, $A$1, $A118, E$2)</f>
        <v/>
      </c>
      <c r="F118">
        <f>CONCATENATE($A$2, $A$1, $A118, F$2)</f>
        <v/>
      </c>
      <c r="G118">
        <f>CONCATENATE($A$2, $A$1, $A118, G$2)</f>
        <v/>
      </c>
      <c r="H118">
        <f>CONCATENATE($A$2, $A$1, $A118, H$2)</f>
        <v/>
      </c>
      <c r="I118">
        <f>CONCATENATE($A$2, $A$1, $A118, I$2)</f>
        <v/>
      </c>
      <c r="J118">
        <f>CONCATENATE($A$2, $A$1, $A118, J$2)</f>
        <v/>
      </c>
      <c r="K118">
        <f>CurrAttrValue(D118, 0)</f>
        <v/>
      </c>
      <c r="L118">
        <f>CurrAttrValue(E118, 0)</f>
        <v/>
      </c>
      <c r="M118">
        <f>CurrAttrValue(H118, 0)</f>
        <v/>
      </c>
      <c r="N118">
        <f>CurrAttrValue(I118, 0)</f>
        <v/>
      </c>
      <c r="O118">
        <f>CurrAttrValue(J118, 0)</f>
        <v/>
      </c>
      <c r="P118" s="5">
        <f>"88"</f>
        <v/>
      </c>
      <c r="Q118" s="6">
        <f>"АОсс. Пожар в АВГМ  "</f>
        <v/>
      </c>
      <c r="R118" s="7">
        <f>IF(N118, S118, "")</f>
        <v/>
      </c>
      <c r="S118" s="7">
        <f>CurrAttrValue(C118, 0)</f>
        <v/>
      </c>
      <c r="T118" s="5">
        <f>IF(K118=-200, "д.вх.", K118)</f>
        <v/>
      </c>
      <c r="U118" s="5">
        <f>IF(L118=-200, "д.вх.", IF(N118, O118, L118))</f>
        <v/>
      </c>
      <c r="V118" s="5">
        <f>CurrAttrValue(G118, 0)</f>
        <v/>
      </c>
      <c r="W118" s="5">
        <f>IF(M118, "Блокирована", IF(N118, "Проверено", "-"))</f>
        <v/>
      </c>
    </row>
    <row r="119" ht="20" customHeight="1">
      <c r="A119">
        <f>"System.PZ.A096"</f>
        <v/>
      </c>
      <c r="B119">
        <f>CONCATENATE($A$2, $A$1, $A119, B$2)</f>
        <v/>
      </c>
      <c r="C119">
        <f>CONCATENATE($A$2, $A$1, $A119, C$2)</f>
        <v/>
      </c>
      <c r="D119">
        <f>CONCATENATE($A$2, $A$1, $A119, D$2)</f>
        <v/>
      </c>
      <c r="E119">
        <f>CONCATENATE($A$2, $A$1, $A119, E$2)</f>
        <v/>
      </c>
      <c r="F119">
        <f>CONCATENATE($A$2, $A$1, $A119, F$2)</f>
        <v/>
      </c>
      <c r="G119">
        <f>CONCATENATE($A$2, $A$1, $A119, G$2)</f>
        <v/>
      </c>
      <c r="H119">
        <f>CONCATENATE($A$2, $A$1, $A119, H$2)</f>
        <v/>
      </c>
      <c r="I119">
        <f>CONCATENATE($A$2, $A$1, $A119, I$2)</f>
        <v/>
      </c>
      <c r="J119">
        <f>CONCATENATE($A$2, $A$1, $A119, J$2)</f>
        <v/>
      </c>
      <c r="K119">
        <f>CurrAttrValue(D119, 0)</f>
        <v/>
      </c>
      <c r="L119">
        <f>CurrAttrValue(E119, 0)</f>
        <v/>
      </c>
      <c r="M119">
        <f>CurrAttrValue(H119, 0)</f>
        <v/>
      </c>
      <c r="N119">
        <f>CurrAttrValue(I119, 0)</f>
        <v/>
      </c>
      <c r="O119">
        <f>CurrAttrValue(J119, 0)</f>
        <v/>
      </c>
      <c r="P119" s="5">
        <f>"89"</f>
        <v/>
      </c>
      <c r="Q119" s="6">
        <f>"АОсс. Загазованность 20% НКПВ в ОД  "</f>
        <v/>
      </c>
      <c r="R119" s="7">
        <f>IF(N119, S119, "")</f>
        <v/>
      </c>
      <c r="S119" s="7">
        <f>CurrAttrValue(C119, 0)</f>
        <v/>
      </c>
      <c r="T119" s="5">
        <f>IF(K119=-200, "д.вх.", K119)</f>
        <v/>
      </c>
      <c r="U119" s="5">
        <f>IF(L119=-200, "д.вх.", IF(N119, O119, L119))</f>
        <v/>
      </c>
      <c r="V119" s="5">
        <f>CurrAttrValue(G119, 0)</f>
        <v/>
      </c>
      <c r="W119" s="5">
        <f>IF(M119, "Блокирована", IF(N119, "Проверено", "-"))</f>
        <v/>
      </c>
    </row>
    <row r="120" ht="20" customHeight="1">
      <c r="A120">
        <f>"System.PZ.A097"</f>
        <v/>
      </c>
      <c r="B120">
        <f>CONCATENATE($A$2, $A$1, $A120, B$2)</f>
        <v/>
      </c>
      <c r="C120">
        <f>CONCATENATE($A$2, $A$1, $A120, C$2)</f>
        <v/>
      </c>
      <c r="D120">
        <f>CONCATENATE($A$2, $A$1, $A120, D$2)</f>
        <v/>
      </c>
      <c r="E120">
        <f>CONCATENATE($A$2, $A$1, $A120, E$2)</f>
        <v/>
      </c>
      <c r="F120">
        <f>CONCATENATE($A$2, $A$1, $A120, F$2)</f>
        <v/>
      </c>
      <c r="G120">
        <f>CONCATENATE($A$2, $A$1, $A120, G$2)</f>
        <v/>
      </c>
      <c r="H120">
        <f>CONCATENATE($A$2, $A$1, $A120, H$2)</f>
        <v/>
      </c>
      <c r="I120">
        <f>CONCATENATE($A$2, $A$1, $A120, I$2)</f>
        <v/>
      </c>
      <c r="J120">
        <f>CONCATENATE($A$2, $A$1, $A120, J$2)</f>
        <v/>
      </c>
      <c r="K120">
        <f>CurrAttrValue(D120, 0)</f>
        <v/>
      </c>
      <c r="L120">
        <f>CurrAttrValue(E120, 0)</f>
        <v/>
      </c>
      <c r="M120">
        <f>CurrAttrValue(H120, 0)</f>
        <v/>
      </c>
      <c r="N120">
        <f>CurrAttrValue(I120, 0)</f>
        <v/>
      </c>
      <c r="O120">
        <f>CurrAttrValue(J120, 0)</f>
        <v/>
      </c>
      <c r="P120" s="5">
        <f>"90"</f>
        <v/>
      </c>
      <c r="Q120" s="6">
        <f>"АОсс. Загазованность 20% НКПВ в ангаре  "</f>
        <v/>
      </c>
      <c r="R120" s="7">
        <f>IF(N120, S120, "")</f>
        <v/>
      </c>
      <c r="S120" s="7">
        <f>CurrAttrValue(C120, 0)</f>
        <v/>
      </c>
      <c r="T120" s="5">
        <f>IF(K120=-200, "д.вх.", K120)</f>
        <v/>
      </c>
      <c r="U120" s="5">
        <f>IF(L120=-200, "д.вх.", IF(N120, O120, L120))</f>
        <v/>
      </c>
      <c r="V120" s="5">
        <f>CurrAttrValue(G120, 0)</f>
        <v/>
      </c>
      <c r="W120" s="5">
        <f>IF(M120, "Блокирована", IF(N120, "Проверено", "-"))</f>
        <v/>
      </c>
    </row>
    <row r="121" ht="20" customHeight="1">
      <c r="A121">
        <f>"System.PZ.A098"</f>
        <v/>
      </c>
      <c r="B121">
        <f>CONCATENATE($A$2, $A$1, $A121, B$2)</f>
        <v/>
      </c>
      <c r="C121">
        <f>CONCATENATE($A$2, $A$1, $A121, C$2)</f>
        <v/>
      </c>
      <c r="D121">
        <f>CONCATENATE($A$2, $A$1, $A121, D$2)</f>
        <v/>
      </c>
      <c r="E121">
        <f>CONCATENATE($A$2, $A$1, $A121, E$2)</f>
        <v/>
      </c>
      <c r="F121">
        <f>CONCATENATE($A$2, $A$1, $A121, F$2)</f>
        <v/>
      </c>
      <c r="G121">
        <f>CONCATENATE($A$2, $A$1, $A121, G$2)</f>
        <v/>
      </c>
      <c r="H121">
        <f>CONCATENATE($A$2, $A$1, $A121, H$2)</f>
        <v/>
      </c>
      <c r="I121">
        <f>CONCATENATE($A$2, $A$1, $A121, I$2)</f>
        <v/>
      </c>
      <c r="J121">
        <f>CONCATENATE($A$2, $A$1, $A121, J$2)</f>
        <v/>
      </c>
      <c r="K121">
        <f>CurrAttrValue(D121, 0)</f>
        <v/>
      </c>
      <c r="L121">
        <f>CurrAttrValue(E121, 0)</f>
        <v/>
      </c>
      <c r="M121">
        <f>CurrAttrValue(H121, 0)</f>
        <v/>
      </c>
      <c r="N121">
        <f>CurrAttrValue(I121, 0)</f>
        <v/>
      </c>
      <c r="O121">
        <f>CurrAttrValue(J121, 0)</f>
        <v/>
      </c>
      <c r="P121" s="5">
        <f>"91"</f>
        <v/>
      </c>
      <c r="Q121" s="6">
        <f>"АОсс. Загазованность 20% НКПВ в АВГМ  "</f>
        <v/>
      </c>
      <c r="R121" s="7">
        <f>IF(N121, S121, "")</f>
        <v/>
      </c>
      <c r="S121" s="7">
        <f>CurrAttrValue(C121, 0)</f>
        <v/>
      </c>
      <c r="T121" s="5">
        <f>IF(K121=-200, "д.вх.", K121)</f>
        <v/>
      </c>
      <c r="U121" s="5">
        <f>IF(L121=-200, "д.вх.", IF(N121, O121, L121))</f>
        <v/>
      </c>
      <c r="V121" s="5">
        <f>CurrAttrValue(G121, 0)</f>
        <v/>
      </c>
      <c r="W121" s="5">
        <f>IF(M121, "Блокирована", IF(N121, "Проверено", "-"))</f>
        <v/>
      </c>
    </row>
    <row r="122" ht="20" customHeight="1">
      <c r="A122">
        <f>"System.PZ.A099"</f>
        <v/>
      </c>
      <c r="B122">
        <f>CONCATENATE($A$2, $A$1, $A122, B$2)</f>
        <v/>
      </c>
      <c r="C122">
        <f>CONCATENATE($A$2, $A$1, $A122, C$2)</f>
        <v/>
      </c>
      <c r="D122">
        <f>CONCATENATE($A$2, $A$1, $A122, D$2)</f>
        <v/>
      </c>
      <c r="E122">
        <f>CONCATENATE($A$2, $A$1, $A122, E$2)</f>
        <v/>
      </c>
      <c r="F122">
        <f>CONCATENATE($A$2, $A$1, $A122, F$2)</f>
        <v/>
      </c>
      <c r="G122">
        <f>CONCATENATE($A$2, $A$1, $A122, G$2)</f>
        <v/>
      </c>
      <c r="H122">
        <f>CONCATENATE($A$2, $A$1, $A122, H$2)</f>
        <v/>
      </c>
      <c r="I122">
        <f>CONCATENATE($A$2, $A$1, $A122, I$2)</f>
        <v/>
      </c>
      <c r="J122">
        <f>CONCATENATE($A$2, $A$1, $A122, J$2)</f>
        <v/>
      </c>
      <c r="K122">
        <f>CurrAttrValue(D122, 0)</f>
        <v/>
      </c>
      <c r="L122">
        <f>CurrAttrValue(E122, 0)</f>
        <v/>
      </c>
      <c r="M122">
        <f>CurrAttrValue(H122, 0)</f>
        <v/>
      </c>
      <c r="N122">
        <f>CurrAttrValue(I122, 0)</f>
        <v/>
      </c>
      <c r="O122">
        <f>CurrAttrValue(J122, 0)</f>
        <v/>
      </c>
      <c r="P122" s="5">
        <f>"92"</f>
        <v/>
      </c>
      <c r="Q122" s="6">
        <f>"АОсс. АОсс по команде оператора с АРМ  "</f>
        <v/>
      </c>
      <c r="R122" s="7">
        <f>IF(N122, S122, "")</f>
        <v/>
      </c>
      <c r="S122" s="7">
        <f>CurrAttrValue(C122, 0)</f>
        <v/>
      </c>
      <c r="T122" s="5">
        <f>IF(K122=-200, "д.вх.", K122)</f>
        <v/>
      </c>
      <c r="U122" s="5">
        <f>IF(L122=-200, "д.вх.", IF(N122, O122, L122))</f>
        <v/>
      </c>
      <c r="V122" s="5">
        <f>CurrAttrValue(G122, 0)</f>
        <v/>
      </c>
      <c r="W122" s="5">
        <f>IF(M122, "Блокирована", IF(N122, "Проверено", "-"))</f>
        <v/>
      </c>
    </row>
    <row r="123" ht="20" customHeight="1">
      <c r="A123">
        <f>"System.PZ.A100"</f>
        <v/>
      </c>
      <c r="B123">
        <f>CONCATENATE($A$2, $A$1, $A123, B$2)</f>
        <v/>
      </c>
      <c r="C123">
        <f>CONCATENATE($A$2, $A$1, $A123, C$2)</f>
        <v/>
      </c>
      <c r="D123">
        <f>CONCATENATE($A$2, $A$1, $A123, D$2)</f>
        <v/>
      </c>
      <c r="E123">
        <f>CONCATENATE($A$2, $A$1, $A123, E$2)</f>
        <v/>
      </c>
      <c r="F123">
        <f>CONCATENATE($A$2, $A$1, $A123, F$2)</f>
        <v/>
      </c>
      <c r="G123">
        <f>CONCATENATE($A$2, $A$1, $A123, G$2)</f>
        <v/>
      </c>
      <c r="H123">
        <f>CONCATENATE($A$2, $A$1, $A123, H$2)</f>
        <v/>
      </c>
      <c r="I123">
        <f>CONCATENATE($A$2, $A$1, $A123, I$2)</f>
        <v/>
      </c>
      <c r="J123">
        <f>CONCATENATE($A$2, $A$1, $A123, J$2)</f>
        <v/>
      </c>
      <c r="K123">
        <f>CurrAttrValue(D123, 0)</f>
        <v/>
      </c>
      <c r="L123">
        <f>CurrAttrValue(E123, 0)</f>
        <v/>
      </c>
      <c r="M123">
        <f>CurrAttrValue(H123, 0)</f>
        <v/>
      </c>
      <c r="N123">
        <f>CurrAttrValue(I123, 0)</f>
        <v/>
      </c>
      <c r="O123">
        <f>CurrAttrValue(J123, 0)</f>
        <v/>
      </c>
      <c r="P123" s="5">
        <f>"93"</f>
        <v/>
      </c>
      <c r="Q123" s="6">
        <f>"АОбс. АОбс по команде оператора с АРМ  "</f>
        <v/>
      </c>
      <c r="R123" s="7">
        <f>IF(N123, S123, "")</f>
        <v/>
      </c>
      <c r="S123" s="7">
        <f>CurrAttrValue(C123, 0)</f>
        <v/>
      </c>
      <c r="T123" s="5">
        <f>IF(K123=-200, "д.вх.", K123)</f>
        <v/>
      </c>
      <c r="U123" s="5">
        <f>IF(L123=-200, "д.вх.", IF(N123, O123, L123))</f>
        <v/>
      </c>
      <c r="V123" s="5">
        <f>CurrAttrValue(G123, 0)</f>
        <v/>
      </c>
      <c r="W123" s="5">
        <f>IF(M123, "Блокирована", IF(N123, "Проверено", "-"))</f>
        <v/>
      </c>
    </row>
    <row r="124" ht="20" customHeight="1">
      <c r="A124">
        <f>"System.PZ.A101"</f>
        <v/>
      </c>
      <c r="B124">
        <f>CONCATENATE($A$2, $A$1, $A124, B$2)</f>
        <v/>
      </c>
      <c r="C124">
        <f>CONCATENATE($A$2, $A$1, $A124, C$2)</f>
        <v/>
      </c>
      <c r="D124">
        <f>CONCATENATE($A$2, $A$1, $A124, D$2)</f>
        <v/>
      </c>
      <c r="E124">
        <f>CONCATENATE($A$2, $A$1, $A124, E$2)</f>
        <v/>
      </c>
      <c r="F124">
        <f>CONCATENATE($A$2, $A$1, $A124, F$2)</f>
        <v/>
      </c>
      <c r="G124">
        <f>CONCATENATE($A$2, $A$1, $A124, G$2)</f>
        <v/>
      </c>
      <c r="H124">
        <f>CONCATENATE($A$2, $A$1, $A124, H$2)</f>
        <v/>
      </c>
      <c r="I124">
        <f>CONCATENATE($A$2, $A$1, $A124, I$2)</f>
        <v/>
      </c>
      <c r="J124">
        <f>CONCATENATE($A$2, $A$1, $A124, J$2)</f>
        <v/>
      </c>
      <c r="K124">
        <f>CurrAttrValue(D124, 0)</f>
        <v/>
      </c>
      <c r="L124">
        <f>CurrAttrValue(E124, 0)</f>
        <v/>
      </c>
      <c r="M124">
        <f>CurrAttrValue(H124, 0)</f>
        <v/>
      </c>
      <c r="N124">
        <f>CurrAttrValue(I124, 0)</f>
        <v/>
      </c>
      <c r="O124">
        <f>CurrAttrValue(J124, 0)</f>
        <v/>
      </c>
      <c r="P124" s="5">
        <f>"94"</f>
        <v/>
      </c>
      <c r="Q124" s="6">
        <f>"АОсс. АОсс по команде оператора с ПРУ  "</f>
        <v/>
      </c>
      <c r="R124" s="7">
        <f>IF(N124, S124, "")</f>
        <v/>
      </c>
      <c r="S124" s="7">
        <f>CurrAttrValue(C124, 0)</f>
        <v/>
      </c>
      <c r="T124" s="5">
        <f>IF(K124=-200, "д.вх.", K124)</f>
        <v/>
      </c>
      <c r="U124" s="5">
        <f>IF(L124=-200, "д.вх.", IF(N124, O124, L124))</f>
        <v/>
      </c>
      <c r="V124" s="5">
        <f>CurrAttrValue(G124, 0)</f>
        <v/>
      </c>
      <c r="W124" s="5">
        <f>IF(M124, "Блокирована", IF(N124, "Проверено", "-"))</f>
        <v/>
      </c>
    </row>
    <row r="125" ht="20" customHeight="1">
      <c r="A125">
        <f>"System.PZ.A102"</f>
        <v/>
      </c>
      <c r="B125">
        <f>CONCATENATE($A$2, $A$1, $A125, B$2)</f>
        <v/>
      </c>
      <c r="C125">
        <f>CONCATENATE($A$2, $A$1, $A125, C$2)</f>
        <v/>
      </c>
      <c r="D125">
        <f>CONCATENATE($A$2, $A$1, $A125, D$2)</f>
        <v/>
      </c>
      <c r="E125">
        <f>CONCATENATE($A$2, $A$1, $A125, E$2)</f>
        <v/>
      </c>
      <c r="F125">
        <f>CONCATENATE($A$2, $A$1, $A125, F$2)</f>
        <v/>
      </c>
      <c r="G125">
        <f>CONCATENATE($A$2, $A$1, $A125, G$2)</f>
        <v/>
      </c>
      <c r="H125">
        <f>CONCATENATE($A$2, $A$1, $A125, H$2)</f>
        <v/>
      </c>
      <c r="I125">
        <f>CONCATENATE($A$2, $A$1, $A125, I$2)</f>
        <v/>
      </c>
      <c r="J125">
        <f>CONCATENATE($A$2, $A$1, $A125, J$2)</f>
        <v/>
      </c>
      <c r="K125">
        <f>CurrAttrValue(D125, 0)</f>
        <v/>
      </c>
      <c r="L125">
        <f>CurrAttrValue(E125, 0)</f>
        <v/>
      </c>
      <c r="M125">
        <f>CurrAttrValue(H125, 0)</f>
        <v/>
      </c>
      <c r="N125">
        <f>CurrAttrValue(I125, 0)</f>
        <v/>
      </c>
      <c r="O125">
        <f>CurrAttrValue(J125, 0)</f>
        <v/>
      </c>
      <c r="P125" s="5">
        <f>"95"</f>
        <v/>
      </c>
      <c r="Q125" s="6">
        <f>"АОбс. АОбс по команде оператора с ПРУ  "</f>
        <v/>
      </c>
      <c r="R125" s="7">
        <f>IF(N125, S125, "")</f>
        <v/>
      </c>
      <c r="S125" s="7">
        <f>CurrAttrValue(C125, 0)</f>
        <v/>
      </c>
      <c r="T125" s="5">
        <f>IF(K125=-200, "д.вх.", K125)</f>
        <v/>
      </c>
      <c r="U125" s="5">
        <f>IF(L125=-200, "д.вх.", IF(N125, O125, L125))</f>
        <v/>
      </c>
      <c r="V125" s="5">
        <f>CurrAttrValue(G125, 0)</f>
        <v/>
      </c>
      <c r="W125" s="5">
        <f>IF(M125, "Блокирована", IF(N125, "Проверено", "-"))</f>
        <v/>
      </c>
    </row>
    <row r="126" ht="20" customHeight="1">
      <c r="A126">
        <f>"System.PZ.A103"</f>
        <v/>
      </c>
      <c r="B126">
        <f>CONCATENATE($A$2, $A$1, $A126, B$2)</f>
        <v/>
      </c>
      <c r="C126">
        <f>CONCATENATE($A$2, $A$1, $A126, C$2)</f>
        <v/>
      </c>
      <c r="D126">
        <f>CONCATENATE($A$2, $A$1, $A126, D$2)</f>
        <v/>
      </c>
      <c r="E126">
        <f>CONCATENATE($A$2, $A$1, $A126, E$2)</f>
        <v/>
      </c>
      <c r="F126">
        <f>CONCATENATE($A$2, $A$1, $A126, F$2)</f>
        <v/>
      </c>
      <c r="G126">
        <f>CONCATENATE($A$2, $A$1, $A126, G$2)</f>
        <v/>
      </c>
      <c r="H126">
        <f>CONCATENATE($A$2, $A$1, $A126, H$2)</f>
        <v/>
      </c>
      <c r="I126">
        <f>CONCATENATE($A$2, $A$1, $A126, I$2)</f>
        <v/>
      </c>
      <c r="J126">
        <f>CONCATENATE($A$2, $A$1, $A126, J$2)</f>
        <v/>
      </c>
      <c r="K126">
        <f>CurrAttrValue(D126, 0)</f>
        <v/>
      </c>
      <c r="L126">
        <f>CurrAttrValue(E126, 0)</f>
        <v/>
      </c>
      <c r="M126">
        <f>CurrAttrValue(H126, 0)</f>
        <v/>
      </c>
      <c r="N126">
        <f>CurrAttrValue(I126, 0)</f>
        <v/>
      </c>
      <c r="O126">
        <f>CurrAttrValue(J126, 0)</f>
        <v/>
      </c>
      <c r="P126" s="5">
        <f>"96"</f>
        <v/>
      </c>
      <c r="Q126" s="6">
        <f>"АОсс. АО от кнопки на ПРУ  "</f>
        <v/>
      </c>
      <c r="R126" s="7">
        <f>IF(N126, S126, "")</f>
        <v/>
      </c>
      <c r="S126" s="7">
        <f>CurrAttrValue(C126, 0)</f>
        <v/>
      </c>
      <c r="T126" s="5">
        <f>IF(K126=-200, "д.вх.", K126)</f>
        <v/>
      </c>
      <c r="U126" s="5">
        <f>IF(L126=-200, "д.вх.", IF(N126, O126, L126))</f>
        <v/>
      </c>
      <c r="V126" s="5">
        <f>CurrAttrValue(G126, 0)</f>
        <v/>
      </c>
      <c r="W126" s="5">
        <f>IF(M126, "Блокирована", IF(N126, "Проверено", "-"))</f>
        <v/>
      </c>
    </row>
    <row r="127" ht="20" customHeight="1">
      <c r="A127">
        <f>"System.PZ.A104"</f>
        <v/>
      </c>
      <c r="B127">
        <f>CONCATENATE($A$2, $A$1, $A127, B$2)</f>
        <v/>
      </c>
      <c r="C127">
        <f>CONCATENATE($A$2, $A$1, $A127, C$2)</f>
        <v/>
      </c>
      <c r="D127">
        <f>CONCATENATE($A$2, $A$1, $A127, D$2)</f>
        <v/>
      </c>
      <c r="E127">
        <f>CONCATENATE($A$2, $A$1, $A127, E$2)</f>
        <v/>
      </c>
      <c r="F127">
        <f>CONCATENATE($A$2, $A$1, $A127, F$2)</f>
        <v/>
      </c>
      <c r="G127">
        <f>CONCATENATE($A$2, $A$1, $A127, G$2)</f>
        <v/>
      </c>
      <c r="H127">
        <f>CONCATENATE($A$2, $A$1, $A127, H$2)</f>
        <v/>
      </c>
      <c r="I127">
        <f>CONCATENATE($A$2, $A$1, $A127, I$2)</f>
        <v/>
      </c>
      <c r="J127">
        <f>CONCATENATE($A$2, $A$1, $A127, J$2)</f>
        <v/>
      </c>
      <c r="K127">
        <f>CurrAttrValue(D127, 0)</f>
        <v/>
      </c>
      <c r="L127">
        <f>CurrAttrValue(E127, 0)</f>
        <v/>
      </c>
      <c r="M127">
        <f>CurrAttrValue(H127, 0)</f>
        <v/>
      </c>
      <c r="N127">
        <f>CurrAttrValue(I127, 0)</f>
        <v/>
      </c>
      <c r="O127">
        <f>CurrAttrValue(J127, 0)</f>
        <v/>
      </c>
      <c r="P127" s="5">
        <f>"97"</f>
        <v/>
      </c>
      <c r="Q127" s="6">
        <f>"АОсс. ЭО от кнопки на ПРУ (Запуск БЭО)  "</f>
        <v/>
      </c>
      <c r="R127" s="7">
        <f>IF(N127, S127, "")</f>
        <v/>
      </c>
      <c r="S127" s="7">
        <f>CurrAttrValue(C127, 0)</f>
        <v/>
      </c>
      <c r="T127" s="5">
        <f>IF(K127=-200, "д.вх.", K127)</f>
        <v/>
      </c>
      <c r="U127" s="5">
        <f>IF(L127=-200, "д.вх.", IF(N127, O127, L127))</f>
        <v/>
      </c>
      <c r="V127" s="5">
        <f>CurrAttrValue(G127, 0)</f>
        <v/>
      </c>
      <c r="W127" s="5">
        <f>IF(M127, "Блокирована", IF(N127, "Проверено", "-"))</f>
        <v/>
      </c>
    </row>
    <row r="128" ht="20" customHeight="1">
      <c r="A128">
        <f>"System.PZ.A105"</f>
        <v/>
      </c>
      <c r="B128">
        <f>CONCATENATE($A$2, $A$1, $A128, B$2)</f>
        <v/>
      </c>
      <c r="C128">
        <f>CONCATENATE($A$2, $A$1, $A128, C$2)</f>
        <v/>
      </c>
      <c r="D128">
        <f>CONCATENATE($A$2, $A$1, $A128, D$2)</f>
        <v/>
      </c>
      <c r="E128">
        <f>CONCATENATE($A$2, $A$1, $A128, E$2)</f>
        <v/>
      </c>
      <c r="F128">
        <f>CONCATENATE($A$2, $A$1, $A128, F$2)</f>
        <v/>
      </c>
      <c r="G128">
        <f>CONCATENATE($A$2, $A$1, $A128, G$2)</f>
        <v/>
      </c>
      <c r="H128">
        <f>CONCATENATE($A$2, $A$1, $A128, H$2)</f>
        <v/>
      </c>
      <c r="I128">
        <f>CONCATENATE($A$2, $A$1, $A128, I$2)</f>
        <v/>
      </c>
      <c r="J128">
        <f>CONCATENATE($A$2, $A$1, $A128, J$2)</f>
        <v/>
      </c>
      <c r="K128">
        <f>CurrAttrValue(D128, 0)</f>
        <v/>
      </c>
      <c r="L128">
        <f>CurrAttrValue(E128, 0)</f>
        <v/>
      </c>
      <c r="M128">
        <f>CurrAttrValue(H128, 0)</f>
        <v/>
      </c>
      <c r="N128">
        <f>CurrAttrValue(I128, 0)</f>
        <v/>
      </c>
      <c r="O128">
        <f>CurrAttrValue(J128, 0)</f>
        <v/>
      </c>
      <c r="P128" s="5">
        <f>"98"</f>
        <v/>
      </c>
      <c r="Q128" s="6">
        <f>"АОсс. АО от кнопки ""АО"" в блоке САУ  "</f>
        <v/>
      </c>
      <c r="R128" s="7">
        <f>IF(N128, S128, "")</f>
        <v/>
      </c>
      <c r="S128" s="7">
        <f>CurrAttrValue(C128, 0)</f>
        <v/>
      </c>
      <c r="T128" s="5">
        <f>IF(K128=-200, "д.вх.", K128)</f>
        <v/>
      </c>
      <c r="U128" s="5">
        <f>IF(L128=-200, "д.вх.", IF(N128, O128, L128))</f>
        <v/>
      </c>
      <c r="V128" s="5">
        <f>CurrAttrValue(G128, 0)</f>
        <v/>
      </c>
      <c r="W128" s="5">
        <f>IF(M128, "Блокирована", IF(N128, "Проверено", "-"))</f>
        <v/>
      </c>
    </row>
    <row r="129" ht="20" customHeight="1">
      <c r="A129">
        <f>"System.PZ.A106"</f>
        <v/>
      </c>
      <c r="B129">
        <f>CONCATENATE($A$2, $A$1, $A129, B$2)</f>
        <v/>
      </c>
      <c r="C129">
        <f>CONCATENATE($A$2, $A$1, $A129, C$2)</f>
        <v/>
      </c>
      <c r="D129">
        <f>CONCATENATE($A$2, $A$1, $A129, D$2)</f>
        <v/>
      </c>
      <c r="E129">
        <f>CONCATENATE($A$2, $A$1, $A129, E$2)</f>
        <v/>
      </c>
      <c r="F129">
        <f>CONCATENATE($A$2, $A$1, $A129, F$2)</f>
        <v/>
      </c>
      <c r="G129">
        <f>CONCATENATE($A$2, $A$1, $A129, G$2)</f>
        <v/>
      </c>
      <c r="H129">
        <f>CONCATENATE($A$2, $A$1, $A129, H$2)</f>
        <v/>
      </c>
      <c r="I129">
        <f>CONCATENATE($A$2, $A$1, $A129, I$2)</f>
        <v/>
      </c>
      <c r="J129">
        <f>CONCATENATE($A$2, $A$1, $A129, J$2)</f>
        <v/>
      </c>
      <c r="K129">
        <f>CurrAttrValue(D129, 0)</f>
        <v/>
      </c>
      <c r="L129">
        <f>CurrAttrValue(E129, 0)</f>
        <v/>
      </c>
      <c r="M129">
        <f>CurrAttrValue(H129, 0)</f>
        <v/>
      </c>
      <c r="N129">
        <f>CurrAttrValue(I129, 0)</f>
        <v/>
      </c>
      <c r="O129">
        <f>CurrAttrValue(J129, 0)</f>
        <v/>
      </c>
      <c r="P129" s="5">
        <f>"99"</f>
        <v/>
      </c>
      <c r="Q129" s="6">
        <f>"АОсс. АО от кнопки ""АО"" на ГПА  "</f>
        <v/>
      </c>
      <c r="R129" s="7">
        <f>IF(N129, S129, "")</f>
        <v/>
      </c>
      <c r="S129" s="7">
        <f>CurrAttrValue(C129, 0)</f>
        <v/>
      </c>
      <c r="T129" s="5">
        <f>IF(K129=-200, "д.вх.", K129)</f>
        <v/>
      </c>
      <c r="U129" s="5">
        <f>IF(L129=-200, "д.вх.", IF(N129, O129, L129))</f>
        <v/>
      </c>
      <c r="V129" s="5">
        <f>CurrAttrValue(G129, 0)</f>
        <v/>
      </c>
      <c r="W129" s="5">
        <f>IF(M129, "Блокирована", IF(N129, "Проверено", "-"))</f>
        <v/>
      </c>
    </row>
    <row r="130" ht="20" customHeight="1">
      <c r="A130">
        <f>"System.PZ.A107"</f>
        <v/>
      </c>
      <c r="B130">
        <f>CONCATENATE($A$2, $A$1, $A130, B$2)</f>
        <v/>
      </c>
      <c r="C130">
        <f>CONCATENATE($A$2, $A$1, $A130, C$2)</f>
        <v/>
      </c>
      <c r="D130">
        <f>CONCATENATE($A$2, $A$1, $A130, D$2)</f>
        <v/>
      </c>
      <c r="E130">
        <f>CONCATENATE($A$2, $A$1, $A130, E$2)</f>
        <v/>
      </c>
      <c r="F130">
        <f>CONCATENATE($A$2, $A$1, $A130, F$2)</f>
        <v/>
      </c>
      <c r="G130">
        <f>CONCATENATE($A$2, $A$1, $A130, G$2)</f>
        <v/>
      </c>
      <c r="H130">
        <f>CONCATENATE($A$2, $A$1, $A130, H$2)</f>
        <v/>
      </c>
      <c r="I130">
        <f>CONCATENATE($A$2, $A$1, $A130, I$2)</f>
        <v/>
      </c>
      <c r="J130">
        <f>CONCATENATE($A$2, $A$1, $A130, J$2)</f>
        <v/>
      </c>
      <c r="K130">
        <f>CurrAttrValue(D130, 0)</f>
        <v/>
      </c>
      <c r="L130">
        <f>CurrAttrValue(E130, 0)</f>
        <v/>
      </c>
      <c r="M130">
        <f>CurrAttrValue(H130, 0)</f>
        <v/>
      </c>
      <c r="N130">
        <f>CurrAttrValue(I130, 0)</f>
        <v/>
      </c>
      <c r="O130">
        <f>CurrAttrValue(J130, 0)</f>
        <v/>
      </c>
      <c r="P130" s="5">
        <f>"100"</f>
        <v/>
      </c>
      <c r="Q130" s="6">
        <f>"АОбс. АОбс от САУ КЦ  "</f>
        <v/>
      </c>
      <c r="R130" s="7">
        <f>IF(N130, S130, "")</f>
        <v/>
      </c>
      <c r="S130" s="7">
        <f>CurrAttrValue(C130, 0)</f>
        <v/>
      </c>
      <c r="T130" s="5">
        <f>IF(K130=-200, "д.вх.", K130)</f>
        <v/>
      </c>
      <c r="U130" s="5">
        <f>IF(L130=-200, "д.вх.", IF(N130, O130, L130))</f>
        <v/>
      </c>
      <c r="V130" s="5">
        <f>CurrAttrValue(G130, 0)</f>
        <v/>
      </c>
      <c r="W130" s="5">
        <f>IF(M130, "Блокирована", IF(N130, "Проверено", "-"))</f>
        <v/>
      </c>
    </row>
    <row r="131" ht="20" customHeight="1">
      <c r="A131">
        <f>"System.PZ.A108"</f>
        <v/>
      </c>
      <c r="B131">
        <f>CONCATENATE($A$2, $A$1, $A131, B$2)</f>
        <v/>
      </c>
      <c r="C131">
        <f>CONCATENATE($A$2, $A$1, $A131, C$2)</f>
        <v/>
      </c>
      <c r="D131">
        <f>CONCATENATE($A$2, $A$1, $A131, D$2)</f>
        <v/>
      </c>
      <c r="E131">
        <f>CONCATENATE($A$2, $A$1, $A131, E$2)</f>
        <v/>
      </c>
      <c r="F131">
        <f>CONCATENATE($A$2, $A$1, $A131, F$2)</f>
        <v/>
      </c>
      <c r="G131">
        <f>CONCATENATE($A$2, $A$1, $A131, G$2)</f>
        <v/>
      </c>
      <c r="H131">
        <f>CONCATENATE($A$2, $A$1, $A131, H$2)</f>
        <v/>
      </c>
      <c r="I131">
        <f>CONCATENATE($A$2, $A$1, $A131, I$2)</f>
        <v/>
      </c>
      <c r="J131">
        <f>CONCATENATE($A$2, $A$1, $A131, J$2)</f>
        <v/>
      </c>
      <c r="K131">
        <f>CurrAttrValue(D131, 0)</f>
        <v/>
      </c>
      <c r="L131">
        <f>CurrAttrValue(E131, 0)</f>
        <v/>
      </c>
      <c r="M131">
        <f>CurrAttrValue(H131, 0)</f>
        <v/>
      </c>
      <c r="N131">
        <f>CurrAttrValue(I131, 0)</f>
        <v/>
      </c>
      <c r="O131">
        <f>CurrAttrValue(J131, 0)</f>
        <v/>
      </c>
      <c r="P131" s="5">
        <f>"101"</f>
        <v/>
      </c>
      <c r="Q131" s="6">
        <f>"АОсс. АОсс от САУ КЦ  "</f>
        <v/>
      </c>
      <c r="R131" s="7">
        <f>IF(N131, S131, "")</f>
        <v/>
      </c>
      <c r="S131" s="7">
        <f>CurrAttrValue(C131, 0)</f>
        <v/>
      </c>
      <c r="T131" s="5">
        <f>IF(K131=-200, "д.вх.", K131)</f>
        <v/>
      </c>
      <c r="U131" s="5">
        <f>IF(L131=-200, "д.вх.", IF(N131, O131, L131))</f>
        <v/>
      </c>
      <c r="V131" s="5">
        <f>CurrAttrValue(G131, 0)</f>
        <v/>
      </c>
      <c r="W131" s="5">
        <f>IF(M131, "Блокирована", IF(N131, "Проверено", "-"))</f>
        <v/>
      </c>
    </row>
    <row r="132" ht="20" customHeight="1">
      <c r="A132">
        <f>"System.PZ.A109"</f>
        <v/>
      </c>
      <c r="B132">
        <f>CONCATENATE($A$2, $A$1, $A132, B$2)</f>
        <v/>
      </c>
      <c r="C132">
        <f>CONCATENATE($A$2, $A$1, $A132, C$2)</f>
        <v/>
      </c>
      <c r="D132">
        <f>CONCATENATE($A$2, $A$1, $A132, D$2)</f>
        <v/>
      </c>
      <c r="E132">
        <f>CONCATENATE($A$2, $A$1, $A132, E$2)</f>
        <v/>
      </c>
      <c r="F132">
        <f>CONCATENATE($A$2, $A$1, $A132, F$2)</f>
        <v/>
      </c>
      <c r="G132">
        <f>CONCATENATE($A$2, $A$1, $A132, G$2)</f>
        <v/>
      </c>
      <c r="H132">
        <f>CONCATENATE($A$2, $A$1, $A132, H$2)</f>
        <v/>
      </c>
      <c r="I132">
        <f>CONCATENATE($A$2, $A$1, $A132, I$2)</f>
        <v/>
      </c>
      <c r="J132">
        <f>CONCATENATE($A$2, $A$1, $A132, J$2)</f>
        <v/>
      </c>
      <c r="K132">
        <f>CurrAttrValue(D132, 0)</f>
        <v/>
      </c>
      <c r="L132">
        <f>CurrAttrValue(E132, 0)</f>
        <v/>
      </c>
      <c r="M132">
        <f>CurrAttrValue(H132, 0)</f>
        <v/>
      </c>
      <c r="N132">
        <f>CurrAttrValue(I132, 0)</f>
        <v/>
      </c>
      <c r="O132">
        <f>CurrAttrValue(J132, 0)</f>
        <v/>
      </c>
      <c r="P132" s="5">
        <f>"102"</f>
        <v/>
      </c>
      <c r="Q132" s="6">
        <f>"АОсс. СТ2 сработал (Запуск БЭО)  "</f>
        <v/>
      </c>
      <c r="R132" s="7">
        <f>IF(N132, S132, "")</f>
        <v/>
      </c>
      <c r="S132" s="7">
        <f>CurrAttrValue(C132, 0)</f>
        <v/>
      </c>
      <c r="T132" s="5">
        <f>IF(K132=-200, "д.вх.", K132)</f>
        <v/>
      </c>
      <c r="U132" s="5">
        <f>IF(L132=-200, "д.вх.", IF(N132, O132, L132))</f>
        <v/>
      </c>
      <c r="V132" s="5">
        <f>CurrAttrValue(G132, 0)</f>
        <v/>
      </c>
      <c r="W132" s="5">
        <f>IF(M132, "Блокирована", IF(N132, "Проверено", "-"))</f>
        <v/>
      </c>
    </row>
    <row r="133" ht="20" customHeight="1">
      <c r="A133">
        <f>"System.PZ.A110"</f>
        <v/>
      </c>
      <c r="B133">
        <f>CONCATENATE($A$2, $A$1, $A133, B$2)</f>
        <v/>
      </c>
      <c r="C133">
        <f>CONCATENATE($A$2, $A$1, $A133, C$2)</f>
        <v/>
      </c>
      <c r="D133">
        <f>CONCATENATE($A$2, $A$1, $A133, D$2)</f>
        <v/>
      </c>
      <c r="E133">
        <f>CONCATENATE($A$2, $A$1, $A133, E$2)</f>
        <v/>
      </c>
      <c r="F133">
        <f>CONCATENATE($A$2, $A$1, $A133, F$2)</f>
        <v/>
      </c>
      <c r="G133">
        <f>CONCATENATE($A$2, $A$1, $A133, G$2)</f>
        <v/>
      </c>
      <c r="H133">
        <f>CONCATENATE($A$2, $A$1, $A133, H$2)</f>
        <v/>
      </c>
      <c r="I133">
        <f>CONCATENATE($A$2, $A$1, $A133, I$2)</f>
        <v/>
      </c>
      <c r="J133">
        <f>CONCATENATE($A$2, $A$1, $A133, J$2)</f>
        <v/>
      </c>
      <c r="K133">
        <f>CurrAttrValue(D133, 0)</f>
        <v/>
      </c>
      <c r="L133">
        <f>CurrAttrValue(E133, 0)</f>
        <v/>
      </c>
      <c r="M133">
        <f>CurrAttrValue(H133, 0)</f>
        <v/>
      </c>
      <c r="N133">
        <f>CurrAttrValue(I133, 0)</f>
        <v/>
      </c>
      <c r="O133">
        <f>CurrAttrValue(J133, 0)</f>
        <v/>
      </c>
      <c r="P133" s="5">
        <f>"103"</f>
        <v/>
      </c>
      <c r="Q133" s="6">
        <f>"АОсс. ЭО от САУ КЦ (Запуск БЭО)  "</f>
        <v/>
      </c>
      <c r="R133" s="7">
        <f>IF(N133, S133, "")</f>
        <v/>
      </c>
      <c r="S133" s="7">
        <f>CurrAttrValue(C133, 0)</f>
        <v/>
      </c>
      <c r="T133" s="5">
        <f>IF(K133=-200, "д.вх.", K133)</f>
        <v/>
      </c>
      <c r="U133" s="5">
        <f>IF(L133=-200, "д.вх.", IF(N133, O133, L133))</f>
        <v/>
      </c>
      <c r="V133" s="5">
        <f>CurrAttrValue(G133, 0)</f>
        <v/>
      </c>
      <c r="W133" s="5">
        <f>IF(M133, "Блокирована", IF(N133, "Проверено", "-"))</f>
        <v/>
      </c>
    </row>
    <row r="134" ht="20" customHeight="1">
      <c r="A134">
        <f>"System.PZ.A111"</f>
        <v/>
      </c>
      <c r="B134">
        <f>CONCATENATE($A$2, $A$1, $A134, B$2)</f>
        <v/>
      </c>
      <c r="C134">
        <f>CONCATENATE($A$2, $A$1, $A134, C$2)</f>
        <v/>
      </c>
      <c r="D134">
        <f>CONCATENATE($A$2, $A$1, $A134, D$2)</f>
        <v/>
      </c>
      <c r="E134">
        <f>CONCATENATE($A$2, $A$1, $A134, E$2)</f>
        <v/>
      </c>
      <c r="F134">
        <f>CONCATENATE($A$2, $A$1, $A134, F$2)</f>
        <v/>
      </c>
      <c r="G134">
        <f>CONCATENATE($A$2, $A$1, $A134, G$2)</f>
        <v/>
      </c>
      <c r="H134">
        <f>CONCATENATE($A$2, $A$1, $A134, H$2)</f>
        <v/>
      </c>
      <c r="I134">
        <f>CONCATENATE($A$2, $A$1, $A134, I$2)</f>
        <v/>
      </c>
      <c r="J134">
        <f>CONCATENATE($A$2, $A$1, $A134, J$2)</f>
        <v/>
      </c>
      <c r="K134">
        <f>CurrAttrValue(D134, 0)</f>
        <v/>
      </c>
      <c r="L134">
        <f>CurrAttrValue(E134, 0)</f>
        <v/>
      </c>
      <c r="M134">
        <f>CurrAttrValue(H134, 0)</f>
        <v/>
      </c>
      <c r="N134">
        <f>CurrAttrValue(I134, 0)</f>
        <v/>
      </c>
      <c r="O134">
        <f>CurrAttrValue(J134, 0)</f>
        <v/>
      </c>
      <c r="P134" s="5">
        <f>"104"</f>
        <v/>
      </c>
      <c r="Q134" s="6">
        <f>"АОсс. ЭО запущен (BR2)  "</f>
        <v/>
      </c>
      <c r="R134" s="7">
        <f>IF(N134, S134, "")</f>
        <v/>
      </c>
      <c r="S134" s="7">
        <f>CurrAttrValue(C134, 0)</f>
        <v/>
      </c>
      <c r="T134" s="5">
        <f>IF(K134=-200, "д.вх.", K134)</f>
        <v/>
      </c>
      <c r="U134" s="5">
        <f>IF(L134=-200, "д.вх.", IF(N134, O134, L134))</f>
        <v/>
      </c>
      <c r="V134" s="5">
        <f>CurrAttrValue(G134, 0)</f>
        <v/>
      </c>
      <c r="W134" s="5">
        <f>IF(M134, "Блокирована", IF(N134, "Проверено", "-"))</f>
        <v/>
      </c>
    </row>
    <row r="137" ht="35" customHeight="1">
      <c r="Q137" s="8">
        <f>"должность"</f>
        <v/>
      </c>
      <c r="R137" s="9" t="n"/>
      <c r="S137" s="8">
        <f>"ФИО"</f>
        <v/>
      </c>
      <c r="T137" s="9" t="n"/>
      <c r="U137" s="8">
        <f>"подпись"</f>
        <v/>
      </c>
    </row>
    <row r="138" ht="35" customHeight="1">
      <c r="Q138" s="8">
        <f>"должность"</f>
        <v/>
      </c>
      <c r="R138" s="9" t="n"/>
      <c r="S138" s="8">
        <f>"ФИО"</f>
        <v/>
      </c>
      <c r="T138" s="9" t="n"/>
      <c r="U138" s="8">
        <f>"подпись"</f>
        <v/>
      </c>
    </row>
    <row r="139" ht="35" customHeight="1">
      <c r="Q139" s="8">
        <f>"должность"</f>
        <v/>
      </c>
      <c r="R139" s="9" t="n"/>
      <c r="S139" s="8">
        <f>"ФИО"</f>
        <v/>
      </c>
      <c r="T139" s="9" t="n"/>
      <c r="U139" s="8">
        <f>"подпись"</f>
        <v/>
      </c>
    </row>
    <row r="141" ht="25" customHeight="1">
      <c r="Q141" s="1">
        <f>"Протокол проверки защит ГПА №6 на "</f>
        <v/>
      </c>
      <c r="R141" s="2">
        <f>R1</f>
        <v/>
      </c>
      <c r="S141" s="3">
        <f>S1</f>
        <v/>
      </c>
    </row>
    <row r="143" ht="20" customHeight="1">
      <c r="P143" s="4">
        <f>"№"</f>
        <v/>
      </c>
      <c r="Q143" s="4">
        <f>"Наименование защиты  "</f>
        <v/>
      </c>
      <c r="R143" s="4">
        <f>"Таймер"</f>
        <v/>
      </c>
      <c r="S143" s="4">
        <f>"Задержка"</f>
        <v/>
      </c>
      <c r="T143" s="4">
        <f>"Уставка"</f>
        <v/>
      </c>
      <c r="U143" s="4">
        <f>"Значение"</f>
        <v/>
      </c>
      <c r="V143" s="4">
        <f>"Eд.изм"</f>
        <v/>
      </c>
      <c r="W143" s="4">
        <f>"Отметка о проверке"</f>
        <v/>
      </c>
    </row>
    <row r="144" ht="20" customHeight="1">
      <c r="A144">
        <f>"System.PZ.A112"</f>
        <v/>
      </c>
      <c r="B144">
        <f>CONCATENATE($A$2, $A$1, $A144, B$2)</f>
        <v/>
      </c>
      <c r="C144">
        <f>CONCATENATE($A$2, $A$1, $A144, C$2)</f>
        <v/>
      </c>
      <c r="D144">
        <f>CONCATENATE($A$2, $A$1, $A144, D$2)</f>
        <v/>
      </c>
      <c r="E144">
        <f>CONCATENATE($A$2, $A$1, $A144, E$2)</f>
        <v/>
      </c>
      <c r="F144">
        <f>CONCATENATE($A$2, $A$1, $A144, F$2)</f>
        <v/>
      </c>
      <c r="G144">
        <f>CONCATENATE($A$2, $A$1, $A144, G$2)</f>
        <v/>
      </c>
      <c r="H144">
        <f>CONCATENATE($A$2, $A$1, $A144, H$2)</f>
        <v/>
      </c>
      <c r="I144">
        <f>CONCATENATE($A$2, $A$1, $A144, I$2)</f>
        <v/>
      </c>
      <c r="J144">
        <f>CONCATENATE($A$2, $A$1, $A144, J$2)</f>
        <v/>
      </c>
      <c r="K144">
        <f>CurrAttrValue(D144, 0)</f>
        <v/>
      </c>
      <c r="L144">
        <f>CurrAttrValue(E144, 0)</f>
        <v/>
      </c>
      <c r="M144">
        <f>CurrAttrValue(H144, 0)</f>
        <v/>
      </c>
      <c r="N144">
        <f>CurrAttrValue(I144, 0)</f>
        <v/>
      </c>
      <c r="O144">
        <f>CurrAttrValue(J144, 0)</f>
        <v/>
      </c>
      <c r="P144" s="5">
        <f>"105"</f>
        <v/>
      </c>
      <c r="Q144" s="6">
        <f>"АОсс. Обрыв связи с контроллером ГТУ  "</f>
        <v/>
      </c>
      <c r="R144" s="7">
        <f>IF(N144, S144, "")</f>
        <v/>
      </c>
      <c r="S144" s="7">
        <f>CurrAttrValue(C144, 0)</f>
        <v/>
      </c>
      <c r="T144" s="5">
        <f>IF(K144=-200, "д.вх.", K144)</f>
        <v/>
      </c>
      <c r="U144" s="5">
        <f>IF(L144=-200, "д.вх.", IF(N144, O144, L144))</f>
        <v/>
      </c>
      <c r="V144" s="5">
        <f>CurrAttrValue(G144, 0)</f>
        <v/>
      </c>
      <c r="W144" s="5">
        <f>IF(M144, "Блокирована", IF(N144, "Проверено", "-"))</f>
        <v/>
      </c>
    </row>
    <row r="145" ht="20" customHeight="1">
      <c r="A145">
        <f>"System.PZ.A113"</f>
        <v/>
      </c>
      <c r="B145">
        <f>CONCATENATE($A$2, $A$1, $A145, B$2)</f>
        <v/>
      </c>
      <c r="C145">
        <f>CONCATENATE($A$2, $A$1, $A145, C$2)</f>
        <v/>
      </c>
      <c r="D145">
        <f>CONCATENATE($A$2, $A$1, $A145, D$2)</f>
        <v/>
      </c>
      <c r="E145">
        <f>CONCATENATE($A$2, $A$1, $A145, E$2)</f>
        <v/>
      </c>
      <c r="F145">
        <f>CONCATENATE($A$2, $A$1, $A145, F$2)</f>
        <v/>
      </c>
      <c r="G145">
        <f>CONCATENATE($A$2, $A$1, $A145, G$2)</f>
        <v/>
      </c>
      <c r="H145">
        <f>CONCATENATE($A$2, $A$1, $A145, H$2)</f>
        <v/>
      </c>
      <c r="I145">
        <f>CONCATENATE($A$2, $A$1, $A145, I$2)</f>
        <v/>
      </c>
      <c r="J145">
        <f>CONCATENATE($A$2, $A$1, $A145, J$2)</f>
        <v/>
      </c>
      <c r="K145">
        <f>CurrAttrValue(D145, 0)</f>
        <v/>
      </c>
      <c r="L145">
        <f>CurrAttrValue(E145, 0)</f>
        <v/>
      </c>
      <c r="M145">
        <f>CurrAttrValue(H145, 0)</f>
        <v/>
      </c>
      <c r="N145">
        <f>CurrAttrValue(I145, 0)</f>
        <v/>
      </c>
      <c r="O145">
        <f>CurrAttrValue(J145, 0)</f>
        <v/>
      </c>
      <c r="P145" s="5">
        <f>"106"</f>
        <v/>
      </c>
      <c r="Q145" s="6">
        <f>"АОбс. Обрыв связи САУ с СУВД НКУ  "</f>
        <v/>
      </c>
      <c r="R145" s="7">
        <f>IF(N145, S145, "")</f>
        <v/>
      </c>
      <c r="S145" s="7">
        <f>CurrAttrValue(C145, 0)</f>
        <v/>
      </c>
      <c r="T145" s="5">
        <f>IF(K145=-200, "д.вх.", K145)</f>
        <v/>
      </c>
      <c r="U145" s="5">
        <f>IF(L145=-200, "д.вх.", IF(N145, O145, L145))</f>
        <v/>
      </c>
      <c r="V145" s="5">
        <f>CurrAttrValue(G145, 0)</f>
        <v/>
      </c>
      <c r="W145" s="5">
        <f>IF(M145, "Блокирована", IF(N145, "Проверено", "-"))</f>
        <v/>
      </c>
    </row>
    <row r="148" ht="35" customHeight="1">
      <c r="Q148" s="8">
        <f>"должность"</f>
        <v/>
      </c>
      <c r="R148" s="9" t="n"/>
      <c r="S148" s="8">
        <f>"ФИО"</f>
        <v/>
      </c>
      <c r="T148" s="9" t="n"/>
      <c r="U148" s="8">
        <f>"подпись"</f>
        <v/>
      </c>
    </row>
    <row r="149" ht="35" customHeight="1">
      <c r="Q149" s="8">
        <f>"должность"</f>
        <v/>
      </c>
      <c r="R149" s="9" t="n"/>
      <c r="S149" s="8">
        <f>"ФИО"</f>
        <v/>
      </c>
      <c r="T149" s="9" t="n"/>
      <c r="U149" s="8">
        <f>"подпись"</f>
        <v/>
      </c>
    </row>
    <row r="150" ht="35" customHeight="1">
      <c r="Q150" s="8">
        <f>"должность"</f>
        <v/>
      </c>
      <c r="R150" s="9" t="n"/>
      <c r="S150" s="8">
        <f>"ФИО"</f>
        <v/>
      </c>
      <c r="T150" s="9" t="n"/>
      <c r="U150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